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09CD4FD-03E2-408D-BC32-1799A46BD9D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Table of Contents - Excel" sheetId="185" r:id="rId21"/>
    <sheet name="Opinion, GAS Rept &amp; Notes - PDF" sheetId="129" r:id="rId22"/>
    <sheet name="Activity Funds - Excel" sheetId="184" r:id="rId23"/>
    <sheet name="DeficitAFRSum Calc 36" sheetId="146" r:id="rId24"/>
    <sheet name="AUDITCHECK" sheetId="36" r:id="rId25"/>
    <sheet name="AFR19"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a" localSheetId="22">#REF!</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17">#REF!</definedName>
    <definedName name="SCHADDRS" localSheetId="22">#REF!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17">#REF!</definedName>
    <definedName name="SCHCTY" localSheetId="22">#REF!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17">#REF!</definedName>
    <definedName name="SCHNMBR" localSheetId="22">#REF!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17">#REF!</definedName>
    <definedName name="SCHNME" localSheetId="22">#REF!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17">#REF!</definedName>
    <definedName name="SUPT" localSheetId="22">#REF!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81029"/>
</workbook>
</file>

<file path=xl/calcChain.xml><?xml version="1.0" encoding="utf-8"?>
<calcChain xmlns="http://schemas.openxmlformats.org/spreadsheetml/2006/main">
  <c r="F5" i="29" l="1"/>
  <c r="C5" i="29"/>
  <c r="C168" i="5"/>
  <c r="C137" i="5"/>
  <c r="C65" i="5"/>
  <c r="C7" i="5"/>
  <c r="C5" i="5"/>
  <c r="D10" i="29"/>
  <c r="C10" i="29"/>
  <c r="D55" i="29"/>
  <c r="C55" i="29"/>
  <c r="D50" i="29"/>
  <c r="F49" i="29"/>
  <c r="E49" i="29"/>
  <c r="F45" i="29"/>
  <c r="F44" i="29"/>
  <c r="D44" i="29"/>
  <c r="C41" i="29"/>
  <c r="D37" i="29"/>
  <c r="D17" i="29"/>
  <c r="H14" i="29"/>
  <c r="F14" i="29"/>
  <c r="E14" i="29"/>
  <c r="D14" i="29"/>
  <c r="F13" i="29"/>
  <c r="E10" i="29"/>
  <c r="D8" i="29"/>
  <c r="E5" i="29"/>
  <c r="D5" i="29"/>
  <c r="F7" i="29"/>
  <c r="E7" i="29"/>
  <c r="D7" i="29"/>
  <c r="C7" i="29"/>
  <c r="H5" i="29"/>
  <c r="K65" i="5"/>
  <c r="K5" i="5"/>
  <c r="E322" i="29"/>
  <c r="E320" i="29"/>
  <c r="J65" i="5"/>
  <c r="J5" i="5"/>
  <c r="I65" i="5"/>
  <c r="I5" i="5"/>
  <c r="D268" i="29"/>
  <c r="D267" i="29"/>
  <c r="D266" i="29"/>
  <c r="D264" i="29"/>
  <c r="D259" i="29"/>
  <c r="D237" i="29"/>
  <c r="D234" i="29"/>
  <c r="D223" i="29"/>
  <c r="D215" i="29"/>
  <c r="D216" i="29"/>
  <c r="G65" i="5"/>
  <c r="F182" i="29"/>
  <c r="E182" i="29"/>
  <c r="D182" i="29"/>
  <c r="C182" i="29"/>
  <c r="F65" i="5"/>
  <c r="F5" i="5"/>
  <c r="E65" i="5"/>
  <c r="E5" i="5"/>
  <c r="G124" i="29"/>
  <c r="F124" i="29"/>
  <c r="E124" i="29"/>
  <c r="C124" i="29"/>
  <c r="D65" i="5"/>
  <c r="D5" i="5"/>
  <c r="M19" i="3"/>
  <c r="G72" i="184" l="1"/>
  <c r="G12" i="184" s="1"/>
  <c r="G15" i="184" s="1"/>
  <c r="E72" i="184"/>
  <c r="E12" i="184" s="1"/>
  <c r="E15" i="184" s="1"/>
  <c r="C72" i="184"/>
  <c r="C12" i="184" s="1"/>
  <c r="I70" i="184"/>
  <c r="I69" i="184"/>
  <c r="I68" i="184"/>
  <c r="I67" i="184"/>
  <c r="I66" i="184"/>
  <c r="I65" i="184"/>
  <c r="I64" i="184"/>
  <c r="I63" i="184"/>
  <c r="I62" i="184"/>
  <c r="I61" i="184"/>
  <c r="I60" i="184"/>
  <c r="I59" i="184"/>
  <c r="I58" i="184"/>
  <c r="I57" i="184"/>
  <c r="I56" i="184"/>
  <c r="I55" i="184"/>
  <c r="I54" i="184"/>
  <c r="I53" i="184"/>
  <c r="I52" i="184"/>
  <c r="I51" i="184"/>
  <c r="I50" i="184"/>
  <c r="I49" i="184"/>
  <c r="I48" i="184"/>
  <c r="I47" i="184"/>
  <c r="I46" i="184"/>
  <c r="I45" i="184"/>
  <c r="I44" i="184"/>
  <c r="I43" i="184"/>
  <c r="I42" i="184"/>
  <c r="I41" i="184"/>
  <c r="I40" i="184"/>
  <c r="I39" i="184"/>
  <c r="I72" i="184" s="1"/>
  <c r="I38" i="184"/>
  <c r="I37" i="184"/>
  <c r="I36" i="184"/>
  <c r="I35" i="184"/>
  <c r="I34" i="184"/>
  <c r="I33" i="184"/>
  <c r="I32" i="184"/>
  <c r="I31" i="184"/>
  <c r="I30" i="184"/>
  <c r="I29" i="184"/>
  <c r="I28" i="184"/>
  <c r="I27" i="184"/>
  <c r="I26" i="184"/>
  <c r="I25" i="184"/>
  <c r="I24" i="184"/>
  <c r="I23" i="184"/>
  <c r="I22" i="184"/>
  <c r="I21" i="184"/>
  <c r="I20" i="184"/>
  <c r="I13" i="184"/>
  <c r="I12" i="184" l="1"/>
  <c r="I15" i="184" s="1"/>
  <c r="C15" i="18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F34" i="34" l="1"/>
  <c r="E29" i="108"/>
  <c r="L13" i="11"/>
  <c r="B2060" i="106" s="1"/>
  <c r="D2060" i="106" s="1"/>
  <c r="F42" i="34"/>
  <c r="J41" i="3"/>
  <c r="B6216" i="106" s="1"/>
  <c r="D6216" i="106" s="1"/>
  <c r="F19" i="7"/>
  <c r="B1807" i="106" s="1"/>
  <c r="D1807" i="106" s="1"/>
  <c r="J77" i="4"/>
  <c r="B6262" i="106" s="1"/>
  <c r="D6262" i="106" s="1"/>
  <c r="B3488" i="106"/>
  <c r="D3488" i="106" s="1"/>
  <c r="L367" i="29"/>
  <c r="L5" i="11"/>
  <c r="B2056" i="106" s="1"/>
  <c r="D2056" i="106" s="1"/>
  <c r="D7245" i="106"/>
  <c r="B6995" i="106"/>
  <c r="D6995" i="106" s="1"/>
  <c r="D6103" i="106"/>
  <c r="H365" i="29"/>
  <c r="B7242" i="106" s="1"/>
  <c r="D7242" i="106" s="1"/>
  <c r="G29" i="108"/>
  <c r="H342" i="29"/>
  <c r="J210" i="29"/>
  <c r="B7072" i="106" s="1"/>
  <c r="D7072" i="106" s="1"/>
  <c r="J129" i="29"/>
  <c r="B7038" i="106" s="1"/>
  <c r="D7038" i="106" s="1"/>
  <c r="B4211" i="106"/>
  <c r="D4211" i="106" s="1"/>
  <c r="G15" i="145"/>
  <c r="G30" i="108"/>
  <c r="F50" i="34"/>
  <c r="I210" i="29"/>
  <c r="B7071" i="106" s="1"/>
  <c r="D7071" i="106" s="1"/>
  <c r="I129" i="29"/>
  <c r="B7037" i="106" s="1"/>
  <c r="D7037" i="106" s="1"/>
  <c r="K184" i="29"/>
  <c r="F13" i="4" s="1"/>
  <c r="B2596" i="106" s="1"/>
  <c r="D2596" i="106" s="1"/>
  <c r="G210"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5527" i="106"/>
  <c r="D5527" i="106" s="1"/>
  <c r="L16" i="11"/>
  <c r="B2061" i="106" s="1"/>
  <c r="D2061" i="106" s="1"/>
  <c r="N23" i="3"/>
  <c r="B284" i="106" s="1"/>
  <c r="D284" i="106" s="1"/>
  <c r="B1365" i="106"/>
  <c r="D1365" i="106" s="1"/>
  <c r="F65" i="34"/>
  <c r="C114" i="29"/>
  <c r="B757" i="106" s="1"/>
  <c r="D757" i="106" s="1"/>
  <c r="D7256" i="106"/>
  <c r="D7251" i="10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<sst xmlns="http://schemas.openxmlformats.org/spreadsheetml/2006/main" count="5214" uniqueCount="2225">
  <si>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</si>
  <si>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</si>
  <si>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</si>
  <si>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</si>
  <si>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</si>
  <si>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</si>
  <si>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</si>
  <si>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</si>
  <si>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</si>
  <si>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</si>
  <si>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</si>
  <si>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</si>
  <si>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</si>
  <si>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</si>
  <si>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</si>
  <si>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</si>
  <si>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</si>
  <si>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</si>
  <si>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</si>
  <si>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</si>
  <si>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</si>
  <si>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</si>
  <si>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</si>
  <si>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</si>
  <si>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</si>
  <si>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</si>
  <si>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</si>
  <si>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</si>
  <si>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</si>
  <si>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</si>
  <si>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</si>
  <si>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</si>
  <si>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</si>
  <si>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</si>
  <si>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</si>
  <si>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</si>
  <si>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</si>
  <si>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</si>
  <si>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</si>
  <si>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</si>
  <si>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</si>
  <si>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</si>
  <si>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</si>
  <si>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</si>
  <si>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</si>
  <si>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</si>
  <si>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</si>
  <si>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</si>
  <si>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</si>
  <si>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</si>
  <si>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</si>
  <si>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</si>
  <si>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</si>
  <si>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</si>
  <si>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</si>
  <si>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</si>
  <si>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</si>
  <si>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</si>
  <si>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</si>
  <si>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</si>
  <si>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</si>
  <si>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</si>
  <si>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</si>
  <si>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</si>
  <si>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</si>
  <si>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</si>
  <si>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</si>
  <si>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</si>
  <si>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</si>
  <si>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</si>
  <si>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</si>
  <si>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</si>
  <si>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</si>
  <si>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</si>
  <si>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</si>
  <si>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</si>
  <si>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</si>
  <si>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</si>
  <si>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</si>
  <si>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</si>
  <si>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</si>
  <si>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</si>
  <si>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</si>
  <si>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</si>
  <si>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</si>
  <si>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</si>
  <si>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</si>
  <si>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</si>
  <si>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</si>
  <si>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</si>
  <si>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</si>
  <si>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</si>
  <si>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</si>
  <si>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</si>
  <si>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</si>
  <si>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</si>
  <si>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</si>
  <si>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</si>
  <si>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</si>
  <si>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</si>
  <si>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</si>
  <si>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</si>
  <si>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</si>
  <si>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</si>
  <si>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</si>
  <si>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</si>
  <si>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</si>
  <si>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</si>
  <si>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</si>
  <si>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</si>
  <si>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</si>
  <si>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</si>
  <si>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</si>
  <si>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</si>
  <si>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</si>
  <si>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</si>
  <si>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</si>
  <si>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</si>
  <si>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</si>
  <si>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</si>
  <si>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</si>
  <si>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</si>
  <si>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</si>
  <si>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</si>
  <si>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</si>
  <si>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</si>
  <si>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</si>
  <si>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</si>
  <si>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</si>
  <si>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</si>
  <si>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</si>
  <si>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</si>
  <si>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</si>
  <si>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</si>
  <si>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</si>
  <si>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</si>
  <si>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</si>
  <si>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</si>
  <si>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</si>
  <si>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</si>
  <si>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</si>
  <si>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</si>
  <si>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</si>
  <si>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</si>
  <si>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</si>
  <si>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</si>
  <si>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</si>
  <si>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</si>
  <si>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</si>
  <si>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</si>
  <si>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</si>
  <si>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</si>
  <si>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</si>
  <si>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</si>
  <si>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</si>
  <si>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</si>
  <si>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</si>
  <si>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</si>
  <si>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</si>
  <si>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</si>
  <si>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</si>
  <si>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</si>
  <si>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</si>
  <si>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</si>
  <si>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</si>
  <si>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</si>
  <si>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</si>
  <si>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</si>
  <si>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</si>
  <si>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</si>
  <si>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</si>
  <si>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</si>
  <si>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</si>
  <si>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</si>
  <si>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</si>
  <si>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</si>
  <si>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</si>
  <si>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</si>
  <si>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</si>
  <si>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</si>
  <si>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</si>
  <si>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</si>
  <si>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</si>
  <si>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</si>
  <si>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</si>
  <si>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</si>
  <si>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</si>
  <si>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</si>
  <si>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</si>
  <si>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</si>
  <si>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</si>
  <si>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</si>
  <si>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</si>
  <si>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</si>
  <si>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</si>
  <si>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</si>
  <si>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</si>
  <si>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</si>
  <si>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</si>
  <si>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</si>
  <si>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</si>
  <si>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</si>
  <si>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</si>
  <si>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</si>
  <si>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</si>
  <si>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</si>
  <si>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</si>
  <si>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</si>
  <si>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</si>
  <si>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</si>
  <si>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</si>
  <si>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</si>
  <si>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</si>
  <si>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</si>
  <si>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</si>
  <si>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</si>
  <si>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</si>
  <si>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</si>
  <si>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</si>
  <si>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</si>
  <si>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</si>
  <si>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</si>
  <si>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</si>
  <si>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</si>
  <si>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</si>
  <si>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</si>
  <si>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</si>
  <si>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</si>
  <si>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</si>
  <si>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</si>
  <si>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</si>
  <si>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</si>
  <si>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</si>
  <si>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</si>
  <si>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</si>
  <si>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</si>
  <si>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</si>
  <si>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</si>
  <si>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</si>
  <si>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</si>
  <si>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</si>
  <si>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</si>
  <si>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</si>
  <si>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</si>
  <si>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</si>
  <si>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</si>
  <si>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</si>
  <si>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</si>
  <si>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</si>
  <si>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</si>
  <si>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</si>
  <si>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</si>
  <si>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</si>
  <si>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</si>
  <si>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</si>
  <si>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</si>
  <si>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</si>
  <si>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</si>
  <si>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</si>
  <si>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</si>
  <si>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</si>
  <si>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</si>
  <si>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</si>
  <si>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</si>
  <si>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</si>
  <si>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</si>
  <si>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</si>
  <si>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</si>
  <si>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</si>
  <si>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</si>
  <si>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</si>
  <si>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</si>
  <si>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</si>
  <si>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</si>
  <si>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</si>
  <si>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</si>
  <si>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</si>
  <si>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</si>
  <si>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</si>
  <si>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</si>
  <si>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</si>
  <si>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</si>
  <si>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</si>
  <si>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</si>
  <si>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</si>
  <si>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</si>
  <si>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</si>
  <si>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</si>
  <si>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</si>
  <si>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</si>
  <si>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</si>
  <si>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</si>
  <si>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</si>
  <si>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</si>
  <si>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</si>
  <si>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</si>
  <si>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</si>
  <si>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</si>
  <si>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</si>
  <si>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</si>
  <si>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</si>
  <si>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</si>
  <si>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</si>
  <si>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</si>
  <si>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</si>
  <si>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</si>
  <si>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</si>
  <si>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</si>
  <si>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</si>
  <si>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</si>
  <si>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</si>
  <si>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</si>
  <si>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</si>
  <si>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</si>
  <si>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</si>
  <si>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</si>
  <si>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</si>
  <si>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</si>
  <si>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</si>
  <si>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</si>
  <si>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</si>
  <si>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</si>
  <si>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</si>
  <si>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</si>
  <si>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</si>
  <si>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</si>
  <si>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</si>
  <si>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</si>
  <si>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</si>
  <si>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</si>
  <si>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</si>
  <si>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</si>
  <si>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</si>
  <si>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</si>
  <si>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</si>
  <si>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</si>
  <si>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</si>
  <si>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</si>
  <si>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</si>
  <si>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</si>
  <si>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</si>
  <si>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</si>
  <si>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</si>
  <si>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</si>
  <si>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</si>
  <si>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</si>
  <si>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</si>
  <si>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</si>
  <si>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</si>
  <si>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</si>
  <si>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</si>
  <si>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</si>
  <si>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</si>
  <si>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</si>
  <si>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</si>
  <si>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</si>
  <si>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</si>
  <si>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</si>
  <si>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</si>
  <si>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</si>
  <si>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</si>
  <si>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</si>
  <si>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</si>
  <si>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</si>
  <si>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</si>
  <si>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</si>
  <si>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</si>
  <si>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</si>
  <si>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</si>
  <si>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</si>
  <si>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</si>
  <si>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</si>
  <si>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</si>
  <si>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</si>
  <si>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</si>
  <si>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</si>
  <si>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</si>
  <si>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</si>
  <si>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</si>
  <si>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</si>
  <si>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</si>
  <si>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</si>
  <si>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</si>
  <si>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</si>
  <si>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</si>
  <si>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</si>
  <si>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</si>
  <si>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</si>
  <si>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</si>
  <si>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</si>
  <si>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</si>
  <si>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</si>
  <si>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</si>
  <si>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</si>
  <si>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</si>
  <si>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</si>
  <si>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</si>
  <si>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</si>
  <si>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</si>
  <si>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</si>
  <si>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</si>
  <si>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</si>
  <si>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</si>
  <si>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</si>
  <si>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</si>
  <si>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</si>
  <si>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</si>
  <si>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</si>
  <si>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</si>
  <si>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</si>
  <si>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</si>
  <si>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</si>
  <si>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</si>
  <si>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</si>
  <si>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</si>
  <si>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</si>
  <si>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</si>
  <si>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</si>
  <si>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</si>
  <si>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</si>
  <si>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</si>
  <si>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</si>
  <si>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</si>
  <si>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</si>
  <si>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</si>
  <si>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</si>
  <si>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</si>
  <si>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</si>
  <si>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</si>
  <si>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</si>
  <si>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</si>
  <si>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</si>
  <si>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</si>
  <si>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</si>
  <si>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</si>
  <si>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</si>
  <si>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</si>
  <si>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</si>
  <si>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</si>
  <si>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</si>
  <si>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</si>
  <si>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</si>
  <si>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</si>
  <si>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</si>
  <si>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</si>
  <si>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</si>
  <si>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</si>
  <si>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</si>
  <si>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</si>
  <si>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</si>
  <si>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</si>
  <si>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</si>
  <si>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</si>
  <si>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</si>
  <si>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</si>
  <si>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</si>
  <si>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</si>
  <si>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</si>
  <si>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</si>
  <si>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</si>
  <si>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</si>
  <si>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</si>
  <si>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</si>
  <si>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</si>
  <si>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</si>
  <si>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</si>
  <si>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</si>
  <si>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</si>
  <si>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</si>
  <si>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</si>
  <si>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</si>
  <si>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</si>
  <si>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</si>
  <si>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</si>
  <si>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</si>
  <si>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</si>
  <si>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</si>
  <si>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</si>
  <si>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</si>
  <si>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</si>
  <si>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</si>
  <si>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</si>
  <si>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</si>
  <si>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</si>
  <si>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</si>
  <si>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</si>
  <si>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</si>
  <si>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</si>
  <si>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</si>
  <si>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</si>
  <si>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</si>
  <si>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</si>
  <si>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</si>
  <si>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</si>
  <si>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</si>
  <si>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</si>
  <si>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</si>
  <si>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</si>
  <si>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</si>
  <si>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</si>
  <si>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</si>
  <si>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</si>
  <si>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</si>
  <si>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</si>
  <si>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</si>
  <si>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</si>
  <si>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</si>
  <si>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</si>
  <si>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</si>
  <si>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</si>
  <si>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</si>
  <si>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</si>
  <si>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</si>
  <si>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</si>
  <si>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</si>
  <si>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</si>
  <si>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</si>
  <si>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</si>
  <si>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</si>
  <si>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</si>
  <si>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</si>
  <si>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</si>
  <si>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</si>
  <si>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</si>
  <si>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</si>
  <si>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</si>
  <si>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</si>
  <si>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</si>
  <si>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</si>
  <si>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</si>
  <si>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</si>
  <si>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</si>
  <si>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</si>
  <si>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</si>
  <si>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</si>
  <si>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</si>
  <si>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</si>
  <si>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</si>
  <si>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</si>
  <si>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</si>
  <si>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</si>
  <si>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</si>
  <si>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</si>
  <si>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</si>
  <si>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</si>
  <si>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</si>
  <si>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</si>
  <si>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</si>
  <si>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</si>
  <si>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</si>
  <si>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</si>
  <si>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</si>
  <si>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</si>
  <si>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</si>
  <si>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</si>
  <si>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</si>
  <si>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</si>
  <si>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</si>
  <si>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</si>
  <si>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</si>
  <si>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</si>
  <si>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</si>
  <si>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</si>
  <si>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</si>
  <si>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</si>
  <si>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</si>
  <si>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</si>
  <si>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</si>
  <si>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</si>
  <si>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</si>
  <si>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</si>
  <si>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</si>
  <si>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</si>
  <si>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</si>
  <si>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</si>
  <si>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</si>
  <si>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</si>
  <si>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</si>
  <si>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</si>
  <si>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</si>
  <si>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</si>
  <si>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</si>
  <si>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</si>
  <si>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</si>
  <si>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</si>
  <si>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</si>
  <si>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</si>
  <si>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</si>
  <si>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</si>
  <si>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</si>
  <si>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</si>
  <si>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</si>
  <si>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</si>
  <si>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</si>
  <si>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</si>
  <si>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</si>
  <si>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</si>
  <si>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</si>
  <si>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</si>
  <si>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</si>
  <si>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</si>
  <si>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</si>
  <si>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</si>
  <si>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</si>
  <si>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</si>
  <si>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</si>
  <si>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</si>
  <si>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</si>
  <si>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</si>
  <si>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</si>
  <si>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</si>
  <si>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</si>
  <si>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</si>
  <si>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</si>
  <si>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</si>
  <si>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</si>
  <si>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</si>
  <si>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</si>
  <si>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</si>
  <si>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</si>
  <si>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</si>
  <si>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</si>
  <si>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</si>
  <si>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</si>
  <si>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</si>
  <si>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</si>
  <si>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</si>
  <si>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</si>
  <si>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</si>
  <si>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</si>
  <si>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</si>
  <si>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</si>
  <si>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</si>
  <si>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</si>
  <si>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</si>
  <si>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</si>
  <si>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</si>
  <si>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</si>
  <si>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</si>
  <si>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</si>
  <si>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</si>
  <si>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</si>
  <si>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</si>
  <si>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</si>
  <si>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</si>
  <si>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</si>
  <si>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</si>
  <si>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</si>
  <si>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</si>
  <si>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</si>
  <si>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</si>
  <si>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</si>
  <si>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</si>
  <si>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</si>
  <si>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</si>
  <si>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</si>
  <si>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</si>
  <si>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</si>
  <si>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</si>
  <si>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</si>
  <si>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</si>
  <si>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</si>
  <si>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</si>
  <si>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</si>
  <si>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</si>
  <si>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</si>
  <si>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</si>
  <si>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</si>
  <si>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</si>
  <si>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</si>
  <si>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</si>
  <si>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</si>
  <si>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</si>
  <si>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</si>
  <si>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</si>
  <si>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</si>
  <si>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</si>
  <si>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</si>
  <si>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</si>
  <si>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</si>
  <si>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</si>
  <si>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</si>
  <si>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</si>
  <si>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</si>
  <si>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</si>
  <si>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</si>
  <si>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</si>
  <si>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</si>
  <si>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</si>
  <si>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</si>
  <si>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</si>
  <si>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</si>
  <si>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</si>
  <si>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</si>
  <si>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</si>
  <si>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</si>
  <si>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</si>
  <si>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</si>
  <si>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</si>
  <si>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</si>
  <si>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</si>
  <si>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</si>
  <si>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</si>
  <si>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</si>
  <si>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</si>
  <si>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</si>
  <si>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</si>
  <si>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</si>
  <si>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</si>
  <si>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</si>
  <si>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</si>
  <si>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</si>
  <si>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</si>
  <si>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</si>
  <si>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</si>
  <si>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</si>
  <si>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</si>
  <si>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</si>
  <si>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</si>
  <si>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</si>
  <si>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</si>
  <si>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</si>
  <si>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</si>
  <si>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</si>
  <si>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</si>
  <si>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</si>
  <si>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</si>
  <si>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</si>
  <si>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</si>
  <si>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</si>
  <si>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</si>
  <si>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</si>
  <si>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</si>
  <si>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</si>
  <si>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</si>
  <si>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</si>
  <si>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</si>
  <si>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</si>
  <si>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</si>
  <si>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</si>
  <si>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</si>
  <si>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</si>
  <si>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</si>
  <si>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</si>
  <si>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</si>
  <si>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</si>
  <si>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</si>
  <si>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</si>
  <si>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</si>
  <si>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</si>
  <si>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</si>
  <si>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</si>
  <si>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</si>
  <si>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</si>
  <si>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</si>
  <si>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</si>
  <si>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</si>
  <si>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</si>
  <si>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</si>
  <si>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</si>
  <si>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</si>
  <si>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</si>
  <si>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</si>
  <si>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</si>
  <si>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</si>
  <si>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</si>
  <si>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</si>
  <si>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</si>
  <si>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</si>
  <si>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</si>
  <si>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</si>
  <si>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</si>
  <si>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</si>
  <si>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</si>
  <si>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</si>
  <si>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</si>
  <si>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</si>
  <si>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</si>
  <si>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</si>
  <si>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</si>
  <si>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</si>
  <si>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</si>
  <si>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</si>
  <si>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</si>
  <si>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</si>
  <si>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</si>
  <si>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</si>
  <si>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</si>
  <si>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</si>
  <si>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</si>
  <si>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</si>
  <si>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</si>
  <si>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</si>
  <si>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</si>
  <si>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</si>
  <si>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</si>
  <si>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</si>
  <si>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</si>
  <si>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</si>
  <si>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</si>
  <si>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</si>
  <si>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</si>
  <si>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</si>
  <si>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</si>
  <si>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</si>
  <si>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</si>
  <si>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</si>
  <si>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</si>
  <si>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</si>
  <si>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</si>
  <si>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</si>
  <si>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</si>
  <si>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</si>
  <si>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</si>
  <si>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</si>
  <si>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</si>
  <si>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</si>
  <si>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</si>
  <si>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</si>
  <si>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</si>
  <si>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</si>
  <si>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</si>
  <si>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</si>
  <si>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</si>
  <si>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</si>
  <si>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</si>
  <si>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</si>
  <si>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</si>
  <si>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</si>
  <si>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</si>
  <si>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</si>
  <si>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</si>
  <si>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</si>
  <si>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</si>
  <si>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</si>
  <si>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</si>
  <si>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</si>
  <si>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</si>
  <si>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</si>
  <si>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</si>
  <si>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</si>
  <si>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</si>
  <si>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</si>
  <si>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</si>
  <si>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</si>
  <si>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</si>
  <si>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</si>
  <si>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</si>
  <si>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</si>
  <si>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</si>
  <si>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</si>
  <si>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</si>
  <si>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</si>
  <si>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</si>
  <si>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</si>
  <si>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</si>
  <si>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</si>
  <si>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</si>
  <si>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</si>
  <si>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</si>
  <si>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</si>
  <si>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</si>
  <si>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</si>
  <si>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</si>
  <si>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</si>
  <si>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</si>
  <si>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</si>
  <si>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</si>
  <si>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</si>
  <si>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</si>
  <si>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</si>
  <si>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</si>
  <si>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</si>
  <si>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</si>
  <si>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</si>
  <si>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</si>
  <si>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</si>
  <si>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</si>
  <si>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</si>
  <si>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</si>
  <si>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</si>
  <si>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</si>
  <si>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</si>
  <si>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</si>
  <si>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</si>
  <si>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</si>
  <si>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</si>
  <si>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</si>
  <si>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</si>
  <si>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</si>
  <si>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</si>
  <si>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</si>
  <si>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</si>
  <si>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</si>
  <si>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</si>
  <si>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</si>
  <si>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</si>
  <si>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</si>
  <si>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</si>
  <si>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</si>
  <si>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</si>
  <si>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</si>
  <si>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</si>
  <si>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</si>
  <si>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</si>
  <si>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</si>
  <si>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</si>
  <si>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</si>
  <si>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</si>
  <si>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</si>
  <si>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</si>
  <si>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</si>
  <si>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</si>
  <si>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</si>
  <si>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</si>
  <si>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</si>
  <si>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</si>
  <si>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</si>
  <si>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</si>
  <si>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</si>
  <si>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</si>
  <si>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</si>
  <si>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</si>
  <si>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</si>
  <si>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</si>
  <si>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</si>
  <si>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</si>
  <si>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</si>
  <si>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</si>
  <si>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</si>
  <si>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</si>
  <si>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</si>
  <si>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</si>
  <si>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</si>
  <si>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</si>
  <si>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</si>
  <si>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</si>
  <si>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</si>
  <si>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</si>
  <si>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</si>
  <si>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</si>
  <si>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</si>
  <si>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</si>
  <si>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</si>
  <si>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</si>
  <si>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</si>
  <si>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</si>
  <si>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</si>
  <si>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</si>
  <si>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</si>
  <si>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</si>
  <si>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</si>
  <si>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</si>
  <si>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</si>
  <si>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</si>
  <si>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</si>
  <si>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</si>
  <si>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</si>
  <si>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</si>
  <si>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</si>
  <si>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</si>
  <si>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</si>
  <si>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</si>
  <si>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</si>
  <si>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</si>
  <si>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</si>
  <si>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</si>
  <si>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</si>
  <si>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</si>
  <si>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</si>
  <si>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</si>
  <si>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</si>
  <si>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</si>
  <si>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</si>
  <si>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</si>
  <si>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</si>
  <si>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</si>
  <si>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</si>
  <si>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</si>
  <si>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</si>
  <si>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</si>
  <si>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</si>
  <si>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</si>
  <si>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</si>
  <si>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</si>
  <si>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</si>
  <si>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</si>
  <si>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</si>
  <si>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</si>
  <si>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</si>
  <si>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</si>
  <si>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</si>
  <si>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</si>
  <si>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</si>
  <si>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</si>
  <si>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</si>
  <si>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</si>
  <si>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</si>
  <si>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</si>
  <si>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</si>
  <si>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</si>
  <si>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</si>
  <si>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</si>
  <si>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</si>
  <si>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</si>
  <si>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</si>
  <si>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</si>
  <si>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</si>
  <si>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</si>
  <si>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</si>
  <si>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</si>
  <si>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</si>
  <si>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</si>
  <si>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</si>
  <si>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</si>
  <si>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</si>
  <si>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</si>
  <si>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</si>
  <si>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</si>
  <si>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</si>
  <si>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</si>
  <si>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</si>
  <si>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</si>
  <si>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</si>
  <si>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</si>
  <si>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</si>
  <si>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</si>
  <si>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</si>
  <si>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</si>
  <si>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</si>
  <si>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</si>
  <si>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</si>
  <si>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</si>
  <si>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</si>
  <si>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</si>
  <si>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</si>
  <si>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</si>
  <si>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</si>
  <si>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</si>
  <si>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</si>
  <si>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</si>
  <si>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</si>
  <si>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</si>
  <si>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</si>
  <si>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</si>
  <si>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</si>
  <si>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</si>
  <si>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</si>
  <si>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</si>
  <si>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</si>
  <si>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</si>
  <si>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</si>
  <si>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</si>
  <si>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</si>
  <si>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</si>
  <si>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</si>
  <si>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</si>
  <si>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</si>
  <si>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</si>
  <si>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</si>
  <si>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</si>
  <si>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</si>
  <si>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</si>
  <si>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</si>
  <si>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</si>
  <si>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</si>
  <si>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</si>
  <si>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</si>
  <si>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</si>
  <si>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</si>
  <si>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</si>
  <si>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</si>
  <si>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</si>
  <si>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</si>
  <si>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</si>
  <si>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</si>
  <si>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</si>
  <si>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</si>
  <si>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</si>
  <si>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</si>
  <si>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</si>
  <si>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</si>
  <si>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</si>
  <si>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</si>
  <si>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</si>
  <si>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</si>
  <si>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</si>
  <si>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</si>
  <si>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</si>
  <si>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</si>
  <si>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</si>
  <si>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</si>
  <si>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</si>
  <si>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</si>
  <si>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</si>
  <si>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</si>
  <si>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</si>
  <si>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</si>
  <si>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</si>
  <si>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</si>
  <si>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</si>
  <si>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</si>
  <si>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</si>
  <si>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</si>
  <si>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</si>
  <si>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</si>
  <si>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</si>
  <si>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</si>
  <si>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</si>
  <si>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</si>
  <si>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</si>
  <si>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</si>
  <si>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</si>
  <si>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</si>
  <si>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</si>
  <si>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</si>
  <si>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</si>
  <si>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</si>
  <si>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</si>
  <si>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</si>
  <si>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</si>
  <si>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</si>
  <si>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</si>
  <si>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</si>
  <si>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</si>
  <si>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</si>
  <si>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</si>
  <si>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</si>
  <si>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</si>
  <si>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</si>
  <si>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</si>
  <si>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</si>
  <si>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</si>
  <si>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</si>
  <si>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</si>
  <si>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</si>
  <si>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</si>
  <si>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</si>
  <si>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</si>
  <si>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</si>
  <si>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</si>
  <si>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</si>
  <si>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</si>
  <si>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</si>
  <si>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</si>
  <si>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</si>
  <si>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</si>
  <si>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</si>
  <si>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</si>
  <si>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</si>
  <si>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</si>
  <si>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</si>
  <si>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</si>
  <si>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</si>
  <si>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</si>
  <si>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</si>
  <si>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</si>
  <si>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</si>
  <si>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</si>
  <si>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</si>
  <si>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</si>
  <si>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</si>
  <si>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</si>
  <si>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</si>
  <si>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</si>
  <si>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</si>
  <si>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</si>
  <si>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</si>
  <si>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</si>
  <si>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</si>
  <si>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</si>
  <si>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</si>
  <si>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</si>
  <si>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</si>
  <si>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</si>
  <si>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</si>
  <si>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</si>
  <si>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</si>
  <si>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</si>
  <si>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</si>
  <si>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</si>
  <si>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</si>
  <si>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</si>
  <si>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</si>
  <si>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</si>
  <si>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</si>
  <si>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</si>
  <si>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</si>
  <si>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</si>
  <si>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</si>
  <si>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</si>
  <si>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</si>
  <si>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</si>
  <si>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</si>
  <si>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</si>
  <si>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</si>
  <si>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</si>
  <si>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</si>
  <si>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</si>
  <si>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</si>
  <si>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</si>
  <si>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</si>
  <si>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</si>
  <si>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</si>
  <si>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</si>
  <si>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</si>
  <si>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</si>
  <si>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</si>
  <si>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</si>
  <si>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</si>
  <si>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</si>
  <si>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</si>
  <si>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</si>
  <si>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</si>
  <si>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</si>
  <si>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</si>
  <si>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</si>
  <si>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</si>
  <si>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</si>
  <si>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</si>
  <si>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</si>
  <si>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</si>
  <si>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</si>
  <si>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</si>
  <si>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</si>
  <si>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</si>
  <si>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</si>
  <si>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</si>
  <si>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</si>
  <si>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</si>
  <si>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</si>
  <si>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</si>
  <si>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</si>
  <si>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</si>
  <si>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</si>
  <si>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</si>
  <si>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</si>
  <si>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</si>
  <si>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</si>
  <si>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</si>
  <si>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</si>
  <si>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</si>
  <si>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</si>
  <si>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</si>
  <si>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</si>
  <si>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</si>
  <si>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</si>
  <si>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</si>
  <si>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</si>
  <si>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</si>
  <si>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</si>
  <si>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</si>
  <si>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</si>
  <si>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</si>
  <si>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</si>
  <si>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</si>
  <si>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</si>
  <si>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</si>
  <si>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</si>
  <si>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</si>
  <si>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</si>
  <si>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</si>
  <si>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</si>
  <si>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</si>
  <si>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</si>
  <si>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</si>
  <si>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</si>
  <si>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</si>
  <si>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</si>
  <si>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</si>
  <si>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</si>
  <si>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</si>
  <si>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</si>
  <si>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</si>
  <si>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</si>
  <si>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</si>
  <si>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</si>
  <si>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</si>
  <si>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</si>
  <si>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</si>
  <si>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</si>
  <si>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</si>
  <si>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</si>
  <si>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</si>
  <si>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</si>
  <si>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</si>
  <si>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</si>
  <si>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</si>
  <si>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</si>
  <si>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</si>
  <si>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</si>
  <si>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</si>
  <si>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</si>
  <si>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</si>
  <si>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</si>
  <si>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</si>
  <si>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</si>
  <si>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</si>
  <si>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</si>
  <si>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</si>
  <si>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</si>
  <si>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</si>
  <si>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</si>
  <si>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</si>
  <si>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</si>
  <si>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</si>
  <si>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</si>
  <si>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</si>
  <si>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</si>
  <si>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</si>
  <si>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</si>
  <si>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</si>
  <si>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</si>
  <si>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</si>
  <si>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</si>
  <si>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</si>
  <si>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</si>
  <si>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</si>
  <si>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</si>
  <si>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</si>
  <si>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</si>
  <si>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</si>
  <si>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</si>
  <si>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</si>
  <si>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</si>
  <si>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</si>
  <si>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</si>
  <si>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</si>
  <si>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</si>
  <si>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</si>
  <si>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</si>
  <si>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</si>
  <si>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</si>
  <si>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</si>
  <si>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</si>
  <si>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</si>
  <si>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</si>
  <si>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</si>
  <si>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</si>
  <si>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</si>
  <si>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</si>
  <si>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</si>
  <si>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</si>
  <si>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</si>
  <si>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</si>
  <si>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</si>
  <si>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</si>
  <si>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</si>
  <si>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</si>
  <si>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</si>
  <si>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</si>
  <si>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</si>
  <si>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</si>
  <si>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</si>
  <si>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</si>
  <si>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</si>
  <si>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</si>
  <si>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</si>
  <si>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</si>
  <si>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</si>
  <si>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</si>
  <si>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</si>
  <si>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</si>
  <si>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</si>
  <si>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</si>
  <si>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</si>
  <si>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</si>
  <si>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</si>
  <si>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</si>
  <si>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</si>
  <si>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</si>
  <si>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</si>
  <si>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</si>
  <si>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</si>
  <si>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</si>
  <si>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</si>
  <si>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</si>
  <si>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</si>
  <si>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</si>
  <si>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</si>
  <si>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</si>
  <si>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</si>
  <si>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</si>
  <si>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</si>
  <si>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</si>
  <si>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</si>
  <si>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</si>
  <si>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</si>
  <si>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</si>
  <si>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</si>
  <si>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</si>
  <si>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</si>
  <si>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</si>
  <si>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</si>
  <si>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</si>
  <si>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</si>
  <si>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</si>
  <si>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</si>
  <si>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</si>
  <si>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</si>
  <si>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</si>
  <si>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</si>
  <si>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</si>
  <si>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</si>
  <si>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</si>
  <si>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</si>
  <si>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</si>
  <si>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</si>
  <si>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</si>
  <si>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</si>
  <si>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</si>
  <si>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</si>
  <si>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</si>
  <si>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</si>
  <si>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</si>
  <si>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</si>
  <si>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</si>
  <si>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</si>
  <si>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</si>
  <si>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</si>
  <si>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</si>
  <si>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</si>
  <si>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</si>
  <si>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</si>
  <si>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</si>
  <si>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</si>
  <si>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</si>
  <si>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</si>
  <si>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</si>
  <si>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</si>
  <si>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</si>
  <si>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</si>
  <si>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</si>
  <si>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</si>
  <si>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</si>
  <si>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</si>
  <si>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</si>
  <si>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</si>
  <si>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</si>
  <si>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</si>
  <si>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</si>
  <si>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</si>
  <si>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</si>
  <si>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</si>
  <si>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</si>
  <si>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</si>
  <si>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</si>
  <si>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</si>
  <si>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</si>
  <si>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</si>
  <si>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</si>
  <si>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</si>
  <si>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</si>
  <si>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</si>
  <si>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</si>
  <si>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</si>
  <si>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</si>
  <si>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</si>
  <si>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</si>
  <si>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</si>
  <si>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</si>
  <si>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</si>
  <si>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</si>
  <si>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</si>
  <si>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</si>
  <si>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</si>
  <si>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</si>
  <si>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</si>
  <si>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</si>
  <si>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</si>
  <si>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</si>
  <si>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</si>
  <si>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</si>
  <si>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</si>
  <si>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</si>
  <si>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</si>
  <si>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</si>
  <si>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</si>
  <si>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</si>
  <si>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</si>
  <si>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</si>
  <si>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</si>
  <si>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</si>
  <si>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</si>
  <si>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</si>
  <si>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</si>
  <si>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</si>
  <si>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</si>
  <si>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</si>
  <si>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</si>
  <si>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</si>
  <si>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</si>
  <si>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</si>
  <si>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</si>
  <si>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</si>
  <si>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</si>
  <si>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</si>
  <si>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</si>
  <si>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</si>
  <si>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</si>
  <si>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</si>
  <si>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</si>
  <si>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</si>
  <si>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</si>
  <si>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</si>
  <si>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</si>
  <si>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</si>
  <si>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</si>
  <si>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</si>
  <si>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</si>
  <si>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</si>
  <si>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</si>
  <si>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</si>
  <si>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</si>
  <si>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</si>
  <si>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</si>
  <si>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</si>
  <si>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</si>
  <si>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</si>
  <si>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</si>
  <si>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</si>
  <si>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</si>
  <si>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</si>
  <si>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</si>
  <si>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</si>
  <si>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</si>
  <si>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</si>
  <si>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</si>
  <si>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</si>
  <si>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</si>
  <si>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</si>
  <si>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</si>
  <si>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</si>
  <si>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</si>
  <si>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</si>
  <si>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</si>
  <si>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</si>
  <si>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</si>
  <si>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</si>
  <si>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</si>
  <si>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</si>
  <si>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</si>
  <si>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</si>
  <si>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</si>
  <si>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</si>
  <si>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</si>
  <si>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</si>
  <si>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</si>
  <si>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</si>
  <si>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</si>
  <si>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</si>
  <si>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</si>
  <si>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</si>
  <si>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</si>
  <si>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</si>
  <si>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</si>
  <si>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</si>
  <si>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</si>
  <si>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</si>
  <si>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</si>
  <si>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</si>
  <si>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</si>
  <si>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</si>
  <si>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</si>
  <si>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</si>
  <si>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</si>
  <si>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</si>
  <si>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</si>
  <si>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</si>
  <si>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</si>
  <si>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</si>
  <si>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</si>
  <si>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</si>
  <si>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</si>
  <si>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</si>
  <si>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</si>
  <si>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</si>
  <si>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</si>
  <si>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</si>
  <si>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</si>
  <si>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</si>
  <si>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</si>
  <si>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</si>
  <si>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</si>
  <si>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</si>
  <si>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</si>
  <si>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</si>
  <si>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</si>
  <si>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</si>
  <si>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</si>
  <si>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</si>
  <si>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</si>
  <si>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</si>
  <si>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</si>
  <si>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</si>
  <si>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</si>
  <si>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</si>
  <si>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</si>
  <si>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</si>
  <si>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</si>
  <si>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</si>
  <si>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</si>
  <si>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</si>
  <si>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</si>
  <si>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</si>
  <si>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</si>
  <si>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</si>
  <si>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</si>
  <si>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</si>
  <si>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</si>
  <si>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</si>
  <si>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</si>
  <si>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</si>
  <si>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</si>
  <si>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</si>
  <si>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</si>
  <si>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</si>
  <si>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</si>
  <si>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</si>
  <si>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</si>
  <si>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</si>
  <si>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</si>
  <si>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</si>
  <si>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</si>
  <si>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</si>
  <si>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</si>
  <si>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</si>
  <si>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</si>
  <si>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</si>
  <si>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</si>
  <si>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</si>
  <si>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</si>
  <si>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</si>
  <si>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</si>
  <si>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</si>
  <si>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</si>
  <si>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</si>
  <si>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</si>
  <si>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</si>
  <si>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</si>
  <si>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</si>
  <si>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</si>
  <si>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</si>
  <si>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</si>
  <si>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</si>
  <si>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</si>
  <si>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</si>
  <si>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</si>
  <si>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</si>
  <si>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</si>
  <si>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</si>
  <si>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</si>
  <si>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</si>
  <si>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</si>
  <si>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</si>
  <si>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</si>
  <si>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</si>
  <si>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</si>
  <si>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</si>
  <si>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</si>
  <si>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</si>
  <si>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</si>
  <si>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</si>
  <si>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</si>
  <si>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</si>
  <si>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</si>
  <si>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</si>
  <si>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</si>
  <si>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</si>
  <si>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</si>
  <si>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</si>
  <si>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</si>
  <si>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</si>
  <si>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</si>
  <si>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</si>
  <si>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</si>
  <si>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</si>
  <si>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</si>
  <si>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</si>
  <si>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</si>
  <si>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</si>
  <si>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</si>
  <si>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</si>
  <si>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</si>
  <si>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</si>
  <si>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</si>
  <si>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</si>
  <si>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</si>
  <si>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</si>
  <si>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</si>
  <si>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</si>
  <si>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</si>
  <si>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</si>
  <si>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</si>
  <si>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</si>
  <si>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</si>
  <si>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</si>
  <si>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</si>
  <si>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</si>
  <si>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</si>
  <si>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</si>
  <si>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</si>
  <si>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</si>
  <si>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</si>
  <si>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</si>
  <si>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</si>
  <si>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</si>
  <si>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</si>
  <si>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</si>
  <si>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</si>
  <si>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</si>
  <si>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</si>
  <si>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</si>
  <si>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</si>
  <si>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</si>
  <si>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</si>
  <si>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</si>
  <si>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</si>
  <si>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</si>
  <si>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</si>
  <si>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</si>
  <si>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</si>
  <si>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</si>
  <si>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</si>
  <si>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</si>
  <si>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</si>
  <si>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</si>
  <si>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</si>
  <si>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</si>
  <si>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</si>
  <si>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</si>
  <si>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</si>
  <si>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</si>
  <si>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</si>
  <si>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</si>
  <si>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</si>
  <si>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</si>
  <si>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</si>
  <si>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</si>
  <si>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</si>
  <si>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</si>
  <si>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</si>
  <si>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</si>
  <si>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</si>
  <si>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</si>
  <si>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</si>
  <si>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</si>
  <si>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</si>
  <si>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</si>
  <si>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</si>
  <si>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</si>
  <si>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</si>
  <si>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</si>
  <si>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</si>
  <si>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</si>
  <si>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</si>
  <si>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</si>
  <si>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</si>
  <si>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</si>
  <si>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</si>
  <si>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</si>
  <si>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</si>
  <si>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</si>
  <si>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</si>
  <si>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</si>
  <si>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</si>
  <si>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</si>
  <si>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</si>
  <si>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</si>
  <si>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</si>
  <si>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</si>
  <si>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</si>
  <si>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</si>
  <si>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</si>
  <si>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</si>
  <si>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</si>
  <si>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</si>
  <si>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</si>
  <si>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</si>
  <si>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</si>
  <si>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</si>
  <si>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</si>
  <si>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</si>
  <si>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</si>
  <si>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</si>
  <si>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</si>
  <si>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</si>
  <si>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</si>
  <si>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</si>
  <si>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</si>
  <si>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</si>
  <si>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</si>
  <si>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</si>
  <si>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</si>
  <si>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</si>
  <si>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</si>
  <si>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</si>
  <si>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</si>
  <si>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</si>
  <si>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</si>
  <si>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</si>
  <si>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</si>
  <si>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</si>
  <si>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</si>
  <si>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</si>
  <si>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</si>
  <si>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</si>
  <si>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</si>
  <si>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</si>
  <si>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</si>
  <si>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</si>
  <si>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</si>
  <si>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</si>
  <si>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</si>
  <si>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</si>
  <si>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</si>
  <si>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</si>
  <si>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</si>
  <si>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</si>
  <si>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</si>
  <si>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</si>
  <si>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</si>
  <si>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</si>
  <si>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</si>
  <si>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</si>
  <si>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</si>
  <si>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</si>
  <si>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</si>
  <si>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</si>
  <si>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</si>
  <si>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</si>
  <si>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</si>
  <si>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</si>
  <si>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</si>
  <si>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</si>
  <si>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</si>
  <si>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</si>
  <si>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</si>
  <si>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</si>
  <si>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</si>
  <si>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</si>
  <si>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</si>
  <si>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</si>
  <si>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</si>
  <si>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</si>
  <si>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</si>
  <si>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</si>
  <si>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</si>
  <si>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</si>
  <si>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</si>
  <si>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</si>
  <si>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</si>
  <si>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</si>
  <si>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</si>
  <si>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</si>
  <si>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</si>
  <si>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</si>
  <si>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</si>
  <si>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</si>
  <si>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</si>
  <si>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</si>
  <si>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</si>
  <si>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</si>
  <si>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</si>
  <si>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</si>
  <si>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</si>
  <si>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</si>
  <si>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</si>
  <si>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</si>
  <si>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</si>
  <si>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</si>
  <si>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</si>
  <si>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</si>
  <si>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</si>
  <si>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</si>
  <si>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</si>
  <si>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</si>
  <si>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</si>
  <si>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</si>
  <si>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</si>
  <si>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</si>
  <si>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</si>
  <si>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</si>
  <si>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</si>
  <si>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</si>
  <si>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</si>
  <si>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</si>
  <si>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</si>
  <si>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</si>
  <si>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</si>
  <si>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</si>
  <si>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</si>
  <si>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</si>
  <si>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</si>
  <si>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</si>
  <si>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</si>
  <si>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</si>
  <si>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</si>
  <si>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</si>
  <si>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</si>
  <si>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</si>
  <si>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</si>
  <si>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</si>
  <si>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</si>
  <si>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</si>
  <si>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</si>
  <si>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</si>
  <si>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</si>
  <si>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</si>
  <si>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</si>
  <si>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</si>
  <si>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</si>
  <si>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</si>
  <si>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</si>
  <si>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</si>
  <si>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</si>
  <si>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</si>
  <si>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</si>
  <si>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</si>
  <si>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</si>
  <si>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</si>
  <si>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</si>
  <si>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</si>
  <si>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</si>
  <si>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</si>
  <si>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</si>
  <si>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</si>
  <si>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</si>
  <si>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</si>
  <si>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</si>
  <si>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</si>
  <si>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</si>
  <si>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</si>
  <si>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</si>
  <si>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</si>
  <si>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</si>
  <si>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</si>
  <si>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</si>
  <si>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</si>
  <si>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</si>
  <si>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</si>
  <si>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</si>
  <si>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</si>
  <si>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</si>
  <si>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</si>
  <si>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</si>
  <si>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</si>
  <si>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</si>
  <si>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</si>
  <si>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</si>
  <si>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</si>
  <si>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</si>
  <si>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</si>
  <si>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</si>
  <si>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</si>
  <si>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</si>
  <si>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</si>
  <si>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</si>
  <si>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</si>
  <si>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</si>
  <si>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</si>
  <si>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</si>
  <si>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</si>
  <si>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</si>
  <si>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</si>
  <si>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</si>
  <si>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</si>
  <si>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</si>
  <si>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</si>
  <si>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</si>
  <si>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</si>
  <si>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</si>
  <si>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</si>
  <si>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</si>
  <si>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</si>
  <si>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</si>
  <si>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</si>
  <si>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</si>
  <si>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</si>
  <si>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</si>
  <si>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</si>
  <si>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</si>
  <si>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</si>
  <si>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</si>
  <si>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</si>
  <si>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</si>
  <si>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</si>
  <si>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</si>
  <si>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</si>
  <si>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</si>
  <si>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</si>
  <si>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</si>
  <si>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</si>
  <si>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</si>
  <si>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</si>
  <si>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</si>
  <si>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</si>
  <si>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</si>
  <si>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</si>
  <si>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</si>
  <si>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</si>
  <si>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</si>
  <si>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</si>
  <si>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</si>
  <si>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</si>
  <si>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</si>
  <si>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</si>
  <si>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</si>
  <si>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</si>
  <si>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</si>
  <si>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</si>
  <si>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</si>
  <si>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</si>
  <si>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</si>
  <si>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</si>
  <si>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</si>
  <si>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</si>
  <si>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</si>
  <si>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</si>
  <si>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</si>
  <si>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</si>
  <si>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</si>
  <si>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</si>
  <si>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</si>
  <si>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</si>
  <si>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</si>
  <si>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</si>
  <si>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</si>
  <si>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</si>
  <si>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</si>
  <si>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</si>
  <si>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</si>
  <si>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</si>
  <si>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</si>
  <si>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</si>
  <si>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</si>
  <si>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</si>
  <si>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</si>
  <si>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</si>
  <si>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</si>
  <si>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</si>
  <si>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</si>
  <si>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</si>
  <si>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</si>
  <si>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</si>
  <si>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</si>
  <si>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</si>
  <si>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</si>
  <si>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</si>
  <si>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</si>
  <si>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</si>
  <si>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</si>
  <si>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</si>
  <si>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</si>
  <si>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</si>
  <si>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</si>
  <si>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</si>
  <si>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</si>
  <si>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</si>
  <si>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</si>
  <si>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</si>
  <si>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</si>
  <si>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</si>
  <si>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</si>
  <si>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</si>
  <si>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LMHN, Ltd.</t>
  </si>
  <si>
    <t>M. Adam Mathias</t>
  </si>
  <si>
    <t>900 N Webster St - PO Box 87</t>
  </si>
  <si>
    <t>Taylorville</t>
  </si>
  <si>
    <t>IL</t>
  </si>
  <si>
    <t>217-824-9661</t>
  </si>
  <si>
    <t>217-824-2415</t>
  </si>
  <si>
    <t>066-003847</t>
  </si>
  <si>
    <t>Sangamon</t>
  </si>
  <si>
    <t>PO Box 290</t>
  </si>
  <si>
    <t>Buffalo</t>
  </si>
  <si>
    <t>jlarson@tricityschools.org</t>
  </si>
  <si>
    <t>Jill Larson</t>
  </si>
  <si>
    <t>217-364-4811</t>
  </si>
  <si>
    <t>217-364-4896</t>
  </si>
  <si>
    <t>TRI-CITY COMMUNITY UNIT SCHOOL DISTRICT NO. 1</t>
  </si>
  <si>
    <t>SCHEDULE OF CASH RECEIPTS AND DISBURSEMENTS</t>
  </si>
  <si>
    <t>ACTIVITY FUNDS</t>
  </si>
  <si>
    <t>FOR THE FISCAL YEAR ENDED JUNE 30, 2019</t>
  </si>
  <si>
    <t>Balance</t>
  </si>
  <si>
    <t>July 1, 2018</t>
  </si>
  <si>
    <t>Receipts</t>
  </si>
  <si>
    <t>Disbursements</t>
  </si>
  <si>
    <t>June 30, 2019</t>
  </si>
  <si>
    <t>ASSETS</t>
  </si>
  <si>
    <t>Cash</t>
  </si>
  <si>
    <t>TOTAL ASSETS</t>
  </si>
  <si>
    <t>LIABILITIES</t>
  </si>
  <si>
    <t>Amounts Due to Organizations:</t>
  </si>
  <si>
    <t xml:space="preserve">   AD Fund</t>
  </si>
  <si>
    <t xml:space="preserve">   Art</t>
  </si>
  <si>
    <t xml:space="preserve">   Band/Choir</t>
  </si>
  <si>
    <t xml:space="preserve">   Bookfair Snacks</t>
  </si>
  <si>
    <t xml:space="preserve">   Bass Fishing</t>
  </si>
  <si>
    <t xml:space="preserve">   Credit Recovery</t>
  </si>
  <si>
    <t xml:space="preserve">   Drama</t>
  </si>
  <si>
    <t xml:space="preserve">   Elementary Bookfair</t>
  </si>
  <si>
    <t xml:space="preserve">   Elementary Fund</t>
  </si>
  <si>
    <t xml:space="preserve">   Elementary Pepsi</t>
  </si>
  <si>
    <t xml:space="preserve">   Elementary Student Council</t>
  </si>
  <si>
    <t xml:space="preserve">   Elementary Supply</t>
  </si>
  <si>
    <t xml:space="preserve">   Elementary Yearbook</t>
  </si>
  <si>
    <t xml:space="preserve">   FFA</t>
  </si>
  <si>
    <t xml:space="preserve">   Field Trip</t>
  </si>
  <si>
    <t xml:space="preserve">   Freshman</t>
  </si>
  <si>
    <t xml:space="preserve">   Sophomores</t>
  </si>
  <si>
    <t xml:space="preserve">   General Elementary</t>
  </si>
  <si>
    <t xml:space="preserve">   General Junior High / High School</t>
  </si>
  <si>
    <t xml:space="preserve">   High School Cheer</t>
  </si>
  <si>
    <t xml:space="preserve">   High School Girls Basketball</t>
  </si>
  <si>
    <t xml:space="preserve">   High School Yearbook</t>
  </si>
  <si>
    <t xml:space="preserve">   Interest</t>
  </si>
  <si>
    <t xml:space="preserve">   Junior High Cheer</t>
  </si>
  <si>
    <t xml:space="preserve">   Junior High Girls Basketball</t>
  </si>
  <si>
    <t xml:space="preserve">   Junior High Student Council</t>
  </si>
  <si>
    <t xml:space="preserve">   Junior High Track</t>
  </si>
  <si>
    <t xml:space="preserve">   High School Baseball</t>
  </si>
  <si>
    <t xml:space="preserve">   Junior High Baseball</t>
  </si>
  <si>
    <t xml:space="preserve">   High School Boys Basketball</t>
  </si>
  <si>
    <t xml:space="preserve">   Junior High Boys Basketball</t>
  </si>
  <si>
    <t xml:space="preserve">   High School Volleyball</t>
  </si>
  <si>
    <t xml:space="preserve">   Junior High Volleyball</t>
  </si>
  <si>
    <t xml:space="preserve">   Junior High/High School Pepsi</t>
  </si>
  <si>
    <t xml:space="preserve">   High School Softball</t>
  </si>
  <si>
    <t xml:space="preserve">   Junior High Softball</t>
  </si>
  <si>
    <t xml:space="preserve">   Library</t>
  </si>
  <si>
    <t xml:space="preserve">   Seniors</t>
  </si>
  <si>
    <t xml:space="preserve">   Madrigals</t>
  </si>
  <si>
    <t xml:space="preserve">   Musical</t>
  </si>
  <si>
    <t xml:space="preserve">   National Honors Society</t>
  </si>
  <si>
    <t xml:space="preserve">   PE</t>
  </si>
  <si>
    <t xml:space="preserve">   Scholastic Bowl</t>
  </si>
  <si>
    <t xml:space="preserve">   Seniors (Previous Year)</t>
  </si>
  <si>
    <t xml:space="preserve">   Siders Scholarship</t>
  </si>
  <si>
    <t xml:space="preserve">   Juniors</t>
  </si>
  <si>
    <t xml:space="preserve">   SEMA</t>
  </si>
  <si>
    <t xml:space="preserve">   Spanish</t>
  </si>
  <si>
    <t xml:space="preserve">   Student Council</t>
  </si>
  <si>
    <t xml:space="preserve">   Student Donations</t>
  </si>
  <si>
    <t xml:space="preserve">   TCPVG</t>
  </si>
  <si>
    <t>TOTAL LIABILITIES</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</si>
  <si>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</si>
  <si>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</si>
  <si>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</si>
  <si>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</si>
  <si>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</si>
  <si>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</si>
  <si>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4-6</t>
  </si>
  <si>
    <t>Basic Financial Statements:</t>
  </si>
  <si>
    <t>Statement of Assets and Liabilities Arising from Cash Transactions / Statement</t>
  </si>
  <si>
    <t xml:space="preserve">   of Position (All Funds)</t>
  </si>
  <si>
    <t>7-8</t>
  </si>
  <si>
    <t>Statement of Revenues Received / Revenues, Expenditures Disbursed / Expenditures,</t>
  </si>
  <si>
    <t xml:space="preserve">  Other Sources (Uses) and Changes in Fund Balance (All Funds)</t>
  </si>
  <si>
    <t>9-10</t>
  </si>
  <si>
    <t>Statement of Revenues Received / Revenues (All Funds)</t>
  </si>
  <si>
    <t>11-16</t>
  </si>
  <si>
    <t>Statement of Expenditures Disbursed / Expenditures, Budget to Actual (All Funds)</t>
  </si>
  <si>
    <t>17-24</t>
  </si>
  <si>
    <t>Notes to Financial Statements</t>
  </si>
  <si>
    <t>25-42</t>
  </si>
  <si>
    <t>Supplementary Schedules:</t>
  </si>
  <si>
    <t>Schedule of Ad Valorem Tax Receipts</t>
  </si>
  <si>
    <t>43</t>
  </si>
  <si>
    <t>Schedule of Short Term Debt and Long Term Debt</t>
  </si>
  <si>
    <t>44</t>
  </si>
  <si>
    <t>Schedule of Restricted Local Tax Levies and Tort Immunity Expenditures</t>
  </si>
  <si>
    <t>45</t>
  </si>
  <si>
    <t>Estimated Indirect Cost Data</t>
  </si>
  <si>
    <t>46</t>
  </si>
  <si>
    <t>Statistical Section:</t>
  </si>
  <si>
    <t>Schedule of Capital Outlay and Depreciation</t>
  </si>
  <si>
    <t>47</t>
  </si>
  <si>
    <t>Estimated Operating Expenditures Per Pupil and Per Capita Tuition Charge</t>
  </si>
  <si>
    <t>48-49</t>
  </si>
  <si>
    <t>TABLE OF CONTENTS (CONTINUED)</t>
  </si>
  <si>
    <t>Other Schedules and Itemizations:</t>
  </si>
  <si>
    <t>Itemization Schedule</t>
  </si>
  <si>
    <t>50</t>
  </si>
  <si>
    <t>Reference Page</t>
  </si>
  <si>
    <t>51</t>
  </si>
  <si>
    <t>Auditor's Questionnaire</t>
  </si>
  <si>
    <t>52-53</t>
  </si>
  <si>
    <t>Financial Profile Information</t>
  </si>
  <si>
    <t>54-55</t>
  </si>
  <si>
    <t>Schedule of Cash Receipts and Disbursements - Activity Funds</t>
  </si>
  <si>
    <t>56</t>
  </si>
  <si>
    <t>Limitation of Administrative Costs Worksheet</t>
  </si>
  <si>
    <t>57</t>
  </si>
  <si>
    <t>Current Year Payment on Contracts for Indirect Cost Rate Computation</t>
  </si>
  <si>
    <t>58</t>
  </si>
  <si>
    <t>Report on Shared Services or Outsourcing</t>
  </si>
  <si>
    <t>59</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</si>
  <si>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</si>
  <si>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</si>
  <si>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</si>
  <si>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</si>
  <si>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</si>
  <si>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2019</t>
  </si>
  <si>
    <t xml:space="preserve">   Computation 2018-2019</t>
  </si>
  <si>
    <t>Limited School Bonds</t>
  </si>
  <si>
    <t>General Obligation Limited School Bonds</t>
  </si>
  <si>
    <t>4,1</t>
  </si>
  <si>
    <t>n/a</t>
  </si>
  <si>
    <t>Prairie State Insurance Cooperative</t>
  </si>
  <si>
    <t>Sangamon Area Special Education District</t>
  </si>
  <si>
    <t>Capital Area Career Center</t>
  </si>
  <si>
    <t>Sports with Sangamon Valley</t>
  </si>
  <si>
    <t>Page 11, Account 1999, Educational Fund - $4 represents miscellaneous revenues.</t>
  </si>
  <si>
    <t>Page 12, Account 3999, Educational Fund - $19,014 represents an e-rate grant for $17,490 and library grant for $1,524.</t>
  </si>
  <si>
    <t>Page 13, Account 4399, Educational Fund - $65,015 represents a Title I school improvement grant (account 4331).</t>
  </si>
  <si>
    <t>Page 15, Account 2190, Salaries - $188,209 represents special needs teacher aide salaries.</t>
  </si>
  <si>
    <t>Page 15, Account 2190, Employee Benefits - $34,793 represents special needs teacher aide benefits.</t>
  </si>
  <si>
    <t>Page 18, Account 5400, Other Objects - $802 represents bond agent fees.</t>
  </si>
  <si>
    <t>Page 19, Account 2190, Employee Benefits - $46,604 represents special needs teacher aide benefits.</t>
  </si>
  <si>
    <t>Note - the page numbers referred to above correlate to the page numbering system that ISBE utilizes on their AFR, located</t>
  </si>
  <si>
    <t xml:space="preserve">   at the top left or top right hand corner of each AFR page.</t>
  </si>
  <si>
    <t>lmhncpas@yahoo.com</t>
  </si>
  <si>
    <t>PDF with signature located in opinion tab</t>
  </si>
  <si>
    <t>Tri City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</si>
</sst>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xf numFmtId="44" fontId="9" fillId="0" borderId="0" applyFont="0" applyFill="0" applyBorder="0" applyAlignment="0" applyProtection="0"/>
  </cellStyleXfs>
  <cellXfs count="251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44" fillId="0" borderId="0" xfId="0" applyFont="1"/>
    <xf numFmtId="0" fontId="44" fillId="0" borderId="0" xfId="0" applyFont="1" applyAlignment="1">
      <alignment horizontal="center"/>
    </xf>
    <xf numFmtId="15" fontId="44" fillId="0" borderId="78" xfId="0" quotePrefix="1" applyNumberFormat="1" applyFont="1" applyBorder="1" applyAlignment="1">
      <alignment horizontal="center"/>
    </xf>
    <xf numFmtId="0" fontId="44" fillId="0" borderId="78" xfId="0" applyFont="1" applyBorder="1" applyAlignment="1">
      <alignment horizontal="center"/>
    </xf>
    <xf numFmtId="181" fontId="44" fillId="0" borderId="0" xfId="0" applyNumberFormat="1" applyFont="1"/>
    <xf numFmtId="182" fontId="44" fillId="0" borderId="78" xfId="1" applyNumberFormat="1" applyFont="1" applyBorder="1" applyAlignment="1">
      <alignment horizontal="right"/>
    </xf>
    <xf numFmtId="182" fontId="44" fillId="0" borderId="0" xfId="1" applyNumberFormat="1" applyFont="1" applyAlignment="1">
      <alignment horizontal="right"/>
    </xf>
    <xf numFmtId="181" fontId="44" fillId="0" borderId="165" xfId="19" applyNumberFormat="1" applyFont="1" applyBorder="1" applyAlignment="1">
      <alignment horizontal="right"/>
    </xf>
    <xf numFmtId="181" fontId="44" fillId="0" borderId="0" xfId="19" applyNumberFormat="1" applyFont="1" applyAlignment="1">
      <alignment horizontal="right"/>
    </xf>
    <xf numFmtId="0" fontId="44" fillId="0" borderId="0" xfId="0" applyFont="1" applyAlignment="1">
      <alignment horizontal="right"/>
    </xf>
    <xf numFmtId="181" fontId="44" fillId="0" borderId="0" xfId="20" applyNumberFormat="1" applyFont="1" applyAlignment="1">
      <alignment horizontal="right"/>
    </xf>
    <xf numFmtId="181" fontId="44" fillId="0" borderId="165" xfId="20" applyNumberFormat="1" applyFont="1" applyBorder="1" applyAlignment="1">
      <alignment horizontal="right"/>
    </xf>
    <xf numFmtId="0" fontId="44" fillId="0" borderId="0" xfId="3" applyFont="1"/>
    <xf numFmtId="0" fontId="140" fillId="0" borderId="0" xfId="3" applyFont="1" applyAlignment="1">
      <alignment horizontal="center"/>
    </xf>
    <xf numFmtId="0" fontId="139" fillId="0" borderId="0" xfId="3" applyFont="1" applyAlignment="1">
      <alignment horizontal="center"/>
    </xf>
    <xf numFmtId="0" fontId="141" fillId="0" borderId="0" xfId="3" applyFont="1" applyAlignment="1">
      <alignment horizontal="center"/>
    </xf>
    <xf numFmtId="16" fontId="142" fillId="0" borderId="0" xfId="3" applyNumberFormat="1" applyFont="1" applyAlignment="1">
      <alignment horizontal="center"/>
    </xf>
    <xf numFmtId="0" fontId="143" fillId="0" borderId="0" xfId="3" applyFont="1" applyAlignment="1">
      <alignment horizontal="left"/>
    </xf>
    <xf numFmtId="16" fontId="143" fillId="0" borderId="0" xfId="3" quotePrefix="1" applyNumberFormat="1" applyFont="1" applyAlignment="1">
      <alignment horizontal="center"/>
    </xf>
    <xf numFmtId="0" fontId="143" fillId="0" borderId="0" xfId="3" applyFont="1"/>
    <xf numFmtId="0" fontId="142" fillId="0" borderId="0" xfId="3" applyFont="1" applyAlignment="1">
      <alignment horizontal="left"/>
    </xf>
    <xf numFmtId="0" fontId="143" fillId="0" borderId="0" xfId="3" quotePrefix="1" applyFont="1"/>
    <xf numFmtId="0" fontId="143" fillId="0" borderId="0" xfId="3" applyFont="1" applyAlignment="1">
      <alignment horizontal="center"/>
    </xf>
    <xf numFmtId="0" fontId="143" fillId="0" borderId="0" xfId="3" quotePrefix="1" applyFont="1" applyAlignment="1">
      <alignment horizontal="center"/>
    </xf>
    <xf numFmtId="0" fontId="144" fillId="0" borderId="0" xfId="3" applyFont="1"/>
    <xf numFmtId="0" fontId="144" fillId="0" borderId="0" xfId="3" applyFont="1" applyAlignment="1">
      <alignment horizontal="center"/>
    </xf>
    <xf numFmtId="0" fontId="145" fillId="0" borderId="0" xfId="3" applyFont="1"/>
    <xf numFmtId="0" fontId="145" fillId="0" borderId="0" xfId="3" applyFont="1" applyAlignment="1">
      <alignment horizontal="center"/>
    </xf>
    <xf numFmtId="0" fontId="146" fillId="0" borderId="0" xfId="3" applyFont="1"/>
    <xf numFmtId="0" fontId="44" fillId="0" borderId="0" xfId="3" applyFont="1" applyAlignment="1">
      <alignment horizont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140" fillId="0" borderId="0" xfId="3" applyFont="1" applyAlignment="1">
      <alignment horizontal="center"/>
    </xf>
    <xf numFmtId="0" fontId="139" fillId="0" borderId="0" xfId="3" applyFont="1" applyAlignment="1">
      <alignment horizontal="center"/>
    </xf>
    <xf numFmtId="0" fontId="82" fillId="0" borderId="0" xfId="0" applyFont="1" applyAlignment="1">
      <alignment vertical="top" wrapText="1"/>
    </xf>
    <xf numFmtId="0" fontId="44" fillId="0" borderId="0" xfId="0" applyFont="1" applyAlignment="1">
      <alignment horizontal="center"/>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urrency" xfId="19" builtinId="4"/>
    <cellStyle name="Currency 2" xfId="20" xr:uid="{8C730A8E-4448-476B-9BBD-F287F010608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914400</xdr:colOff>
          <xdr:row>17</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103909</xdr:colOff>
          <xdr:row>19</xdr:row>
          <xdr:rowOff>0</xdr:rowOff>
        </xdr:from>
        <xdr:to>
          <xdr:col>1</xdr:col>
          <xdr:colOff>897082</xdr:colOff>
          <xdr:row>23</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5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1203613</xdr:colOff>
          <xdr:row>0</xdr:row>
          <xdr:rowOff>138545</xdr:rowOff>
        </xdr:from>
        <xdr:to>
          <xdr:col>1</xdr:col>
          <xdr:colOff>2115415</xdr:colOff>
          <xdr:row>5</xdr:row>
          <xdr:rowOff>97847</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E147E6EE-4BE0-4B0C-BFAB-9BF5FA554C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44" t="s">
        <v>405</v>
      </c>
      <c r="J1" s="2045"/>
      <c r="K1" s="2045"/>
      <c r="L1" s="2045"/>
      <c r="M1" s="2045"/>
      <c r="N1" s="2045"/>
      <c r="O1" s="2045"/>
      <c r="P1" s="2045"/>
      <c r="Q1" s="2045"/>
      <c r="R1" s="2045"/>
      <c r="S1" s="2045"/>
    </row>
    <row r="2" spans="1:28" ht="12" customHeight="1" x14ac:dyDescent="0.2">
      <c r="A2" s="47" t="s">
        <v>1991</v>
      </c>
      <c r="D2" s="48"/>
      <c r="I2" s="2046" t="s">
        <v>979</v>
      </c>
      <c r="J2" s="2045"/>
      <c r="K2" s="2045"/>
      <c r="L2" s="2045"/>
      <c r="M2" s="2045"/>
      <c r="N2" s="2045"/>
      <c r="O2" s="2045"/>
      <c r="P2" s="2045"/>
      <c r="Q2" s="2045"/>
      <c r="R2" s="2045"/>
      <c r="S2" s="2045"/>
    </row>
    <row r="3" spans="1:28" ht="12" customHeight="1" x14ac:dyDescent="0.2">
      <c r="A3" s="155" t="s">
        <v>1943</v>
      </c>
      <c r="B3" s="156"/>
      <c r="C3" s="156"/>
      <c r="D3" s="157"/>
      <c r="I3" s="2046" t="s">
        <v>52</v>
      </c>
      <c r="J3" s="2045"/>
      <c r="K3" s="2045"/>
      <c r="L3" s="2045"/>
      <c r="M3" s="2045"/>
      <c r="N3" s="2045"/>
      <c r="O3" s="2045"/>
      <c r="P3" s="2045"/>
      <c r="Q3" s="2045"/>
      <c r="R3" s="2045"/>
      <c r="S3" s="2045"/>
    </row>
    <row r="4" spans="1:28" ht="12" customHeight="1" x14ac:dyDescent="0.2">
      <c r="A4" s="37"/>
      <c r="I4" s="2046" t="s">
        <v>524</v>
      </c>
      <c r="J4" s="2045"/>
      <c r="K4" s="2045"/>
      <c r="L4" s="2045"/>
      <c r="M4" s="2045"/>
      <c r="N4" s="2045"/>
      <c r="O4" s="2045"/>
      <c r="P4" s="2045"/>
      <c r="Q4" s="2045"/>
      <c r="R4" s="2045"/>
      <c r="S4" s="2045"/>
    </row>
    <row r="5" spans="1:28" ht="14.1" customHeight="1" x14ac:dyDescent="0.2">
      <c r="B5" s="104" t="s">
        <v>2064</v>
      </c>
      <c r="C5" s="26" t="s">
        <v>910</v>
      </c>
      <c r="D5" s="84"/>
      <c r="E5" s="84"/>
      <c r="H5" s="38"/>
      <c r="I5" s="2053" t="s">
        <v>680</v>
      </c>
      <c r="J5" s="1998"/>
      <c r="K5" s="1998"/>
      <c r="L5" s="1998"/>
      <c r="M5" s="1998"/>
      <c r="N5" s="1998"/>
      <c r="O5" s="1998"/>
      <c r="P5" s="1998"/>
      <c r="Q5" s="1998"/>
      <c r="R5" s="1998"/>
      <c r="S5" s="1998"/>
    </row>
    <row r="6" spans="1:28" ht="14.1" customHeight="1" x14ac:dyDescent="0.2">
      <c r="B6" s="104"/>
      <c r="C6" s="26" t="s">
        <v>911</v>
      </c>
      <c r="D6" s="84"/>
      <c r="E6" s="84"/>
      <c r="I6" s="2052" t="s">
        <v>883</v>
      </c>
      <c r="J6" s="1998"/>
      <c r="K6" s="1998"/>
      <c r="L6" s="1998"/>
      <c r="M6" s="1998"/>
      <c r="N6" s="1998"/>
      <c r="O6" s="1998"/>
      <c r="P6" s="1998"/>
      <c r="Q6" s="1998"/>
      <c r="R6" s="1998"/>
      <c r="S6" s="1998"/>
    </row>
    <row r="7" spans="1:28" ht="12.2" customHeight="1" x14ac:dyDescent="0.2">
      <c r="I7" s="2047">
        <v>43646</v>
      </c>
      <c r="J7" s="2048"/>
      <c r="K7" s="2048"/>
      <c r="L7" s="2048"/>
      <c r="M7" s="2048"/>
      <c r="N7" s="2048"/>
      <c r="O7" s="2048"/>
      <c r="P7" s="2048"/>
      <c r="Q7" s="2048"/>
      <c r="R7" s="2048"/>
      <c r="S7" s="204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9" t="s">
        <v>674</v>
      </c>
      <c r="J9" s="2050"/>
      <c r="K9" s="2050"/>
      <c r="L9" s="2050"/>
      <c r="M9" s="2050"/>
      <c r="N9" s="2050"/>
      <c r="O9" s="2050"/>
      <c r="P9" s="2050"/>
      <c r="Q9" s="2050"/>
      <c r="R9" s="2050"/>
      <c r="S9" s="2051"/>
      <c r="T9" s="1994" t="s">
        <v>533</v>
      </c>
      <c r="U9" s="1995"/>
      <c r="V9" s="1995"/>
      <c r="W9" s="1995"/>
      <c r="X9" s="1995"/>
      <c r="Y9" s="1995"/>
      <c r="Z9" s="1995"/>
      <c r="AA9" s="1996"/>
    </row>
    <row r="10" spans="1:28" ht="13.5" customHeight="1" x14ac:dyDescent="0.2">
      <c r="A10" s="2003" t="s">
        <v>675</v>
      </c>
      <c r="B10" s="2004"/>
      <c r="C10" s="2004"/>
      <c r="D10" s="2004"/>
      <c r="E10" s="2004"/>
      <c r="F10" s="2004"/>
      <c r="G10" s="2004"/>
      <c r="H10" s="2005"/>
      <c r="I10" s="29"/>
      <c r="J10" s="30"/>
      <c r="K10" s="28"/>
      <c r="R10" s="30"/>
      <c r="S10" s="30"/>
      <c r="T10" s="1997"/>
      <c r="U10" s="1998"/>
      <c r="V10" s="1998"/>
      <c r="W10" s="1998"/>
      <c r="X10" s="1998"/>
      <c r="Y10" s="1998"/>
      <c r="Z10" s="1998"/>
      <c r="AA10" s="1999"/>
    </row>
    <row r="11" spans="1:28" ht="14.25" customHeight="1" x14ac:dyDescent="0.2">
      <c r="A11" s="2006" t="s">
        <v>955</v>
      </c>
      <c r="B11" s="2007"/>
      <c r="C11" s="2007"/>
      <c r="D11" s="2007"/>
      <c r="E11" s="2007"/>
      <c r="F11" s="2007"/>
      <c r="G11" s="2007"/>
      <c r="H11" s="2008"/>
      <c r="I11" s="27"/>
      <c r="J11" s="74"/>
      <c r="K11" s="27"/>
      <c r="O11" s="148" t="s">
        <v>2064</v>
      </c>
      <c r="P11" s="100" t="s">
        <v>201</v>
      </c>
      <c r="Q11" s="30"/>
      <c r="R11" s="28"/>
      <c r="S11" s="27"/>
      <c r="T11" s="2000"/>
      <c r="U11" s="2001"/>
      <c r="V11" s="2001"/>
      <c r="W11" s="2001"/>
      <c r="X11" s="2001"/>
      <c r="Y11" s="2001"/>
      <c r="Z11" s="2001"/>
      <c r="AA11" s="200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4">
        <v>51084001026</v>
      </c>
      <c r="B13" s="2015"/>
      <c r="C13" s="2015"/>
      <c r="D13" s="2015"/>
      <c r="E13" s="2015"/>
      <c r="F13" s="2015"/>
      <c r="G13" s="2015"/>
      <c r="H13" s="2016"/>
      <c r="I13" s="31"/>
      <c r="J13" s="30"/>
      <c r="K13" s="28"/>
      <c r="L13" s="30"/>
      <c r="M13" s="30"/>
      <c r="N13" s="30"/>
      <c r="O13" s="30"/>
      <c r="P13" s="30"/>
      <c r="Q13" s="30"/>
      <c r="R13" s="30"/>
      <c r="S13" s="30"/>
      <c r="T13" s="2019" t="s">
        <v>2065</v>
      </c>
      <c r="U13" s="2020"/>
      <c r="V13" s="2020"/>
      <c r="W13" s="2020"/>
      <c r="X13" s="2020"/>
      <c r="Y13" s="2021"/>
      <c r="Z13" s="2021"/>
      <c r="AA13" s="202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2" t="s">
        <v>2073</v>
      </c>
      <c r="B15" s="2017"/>
      <c r="C15" s="2017"/>
      <c r="D15" s="2017"/>
      <c r="E15" s="2017"/>
      <c r="F15" s="2017"/>
      <c r="G15" s="2017"/>
      <c r="H15" s="2018"/>
      <c r="T15" s="1980" t="s">
        <v>2066</v>
      </c>
      <c r="U15" s="1981"/>
      <c r="V15" s="1981"/>
      <c r="W15" s="1981"/>
      <c r="X15" s="1981"/>
      <c r="Y15" s="2023"/>
      <c r="Z15" s="2023"/>
      <c r="AA15" s="202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2" t="s">
        <v>2224</v>
      </c>
      <c r="B17" s="2042"/>
      <c r="C17" s="2042"/>
      <c r="D17" s="2042"/>
      <c r="E17" s="2042"/>
      <c r="F17" s="2042"/>
      <c r="G17" s="2042"/>
      <c r="H17" s="2043"/>
      <c r="T17" s="2029" t="s">
        <v>2067</v>
      </c>
      <c r="U17" s="2030"/>
      <c r="V17" s="2030"/>
      <c r="W17" s="2030"/>
      <c r="X17" s="2030"/>
      <c r="Y17" s="2030"/>
      <c r="Z17" s="2030"/>
      <c r="AA17" s="2031"/>
    </row>
    <row r="18" spans="1:27" ht="13.5" customHeight="1" x14ac:dyDescent="0.2">
      <c r="A18" s="85" t="s">
        <v>530</v>
      </c>
      <c r="B18" s="76"/>
      <c r="C18" s="72"/>
      <c r="D18" s="76"/>
      <c r="E18" s="76"/>
      <c r="F18" s="76"/>
      <c r="G18" s="76"/>
      <c r="H18" s="56"/>
      <c r="I18" s="2039" t="s">
        <v>676</v>
      </c>
      <c r="J18" s="2040"/>
      <c r="K18" s="2040"/>
      <c r="L18" s="2040"/>
      <c r="M18" s="2040"/>
      <c r="N18" s="2040"/>
      <c r="O18" s="2040"/>
      <c r="P18" s="2040"/>
      <c r="Q18" s="2040"/>
      <c r="R18" s="2040"/>
      <c r="S18" s="2041"/>
      <c r="T18" s="85" t="s">
        <v>711</v>
      </c>
      <c r="U18" s="51"/>
      <c r="V18" s="72"/>
      <c r="W18" s="50"/>
      <c r="X18" s="85" t="s">
        <v>266</v>
      </c>
      <c r="Y18" s="81"/>
      <c r="Z18" s="159" t="s">
        <v>677</v>
      </c>
      <c r="AA18" s="46"/>
    </row>
    <row r="19" spans="1:27" ht="13.5" customHeight="1" x14ac:dyDescent="0.2">
      <c r="A19" s="2012" t="s">
        <v>2074</v>
      </c>
      <c r="B19" s="2013"/>
      <c r="C19" s="2013"/>
      <c r="D19" s="2013"/>
      <c r="E19" s="2013"/>
      <c r="F19" s="2013"/>
      <c r="G19" s="2013"/>
      <c r="H19" s="2011"/>
      <c r="I19" s="30"/>
      <c r="J19" s="99"/>
      <c r="K19" s="40"/>
      <c r="L19" s="38"/>
      <c r="M19" s="112" t="s">
        <v>315</v>
      </c>
      <c r="P19" s="27"/>
      <c r="Q19" s="27"/>
      <c r="R19" s="27"/>
      <c r="S19" s="31"/>
      <c r="T19" s="2012" t="s">
        <v>2068</v>
      </c>
      <c r="U19" s="2010"/>
      <c r="V19" s="2010"/>
      <c r="W19" s="2011"/>
      <c r="X19" s="2027" t="s">
        <v>2069</v>
      </c>
      <c r="Y19" s="2028"/>
      <c r="Z19" s="2025">
        <v>62568</v>
      </c>
      <c r="AA19" s="202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9" t="s">
        <v>2075</v>
      </c>
      <c r="B21" s="2010"/>
      <c r="C21" s="2010"/>
      <c r="D21" s="2010"/>
      <c r="E21" s="2010"/>
      <c r="F21" s="2010"/>
      <c r="G21" s="2010"/>
      <c r="H21" s="2011"/>
      <c r="I21" s="2035" t="s">
        <v>678</v>
      </c>
      <c r="J21" s="1998"/>
      <c r="K21" s="1998"/>
      <c r="L21" s="1998"/>
      <c r="M21" s="1998"/>
      <c r="N21" s="1998"/>
      <c r="O21" s="1998"/>
      <c r="P21" s="1998"/>
      <c r="Q21" s="1998"/>
      <c r="R21" s="1998"/>
      <c r="S21" s="1999"/>
      <c r="T21" s="1977" t="s">
        <v>2070</v>
      </c>
      <c r="U21" s="1978"/>
      <c r="V21" s="1978"/>
      <c r="W21" s="1978"/>
      <c r="X21" s="1991" t="s">
        <v>2071</v>
      </c>
      <c r="Y21" s="1992"/>
      <c r="Z21" s="1992"/>
      <c r="AA21" s="1993"/>
    </row>
    <row r="22" spans="1:27" ht="13.5" customHeight="1" x14ac:dyDescent="0.2">
      <c r="A22" s="87" t="s">
        <v>531</v>
      </c>
      <c r="B22" s="59"/>
      <c r="C22" s="59"/>
      <c r="D22" s="59"/>
      <c r="E22" s="59"/>
      <c r="F22" s="59"/>
      <c r="G22" s="59"/>
      <c r="H22" s="60"/>
      <c r="I22" s="2036" t="s">
        <v>1429</v>
      </c>
      <c r="J22" s="2037"/>
      <c r="K22" s="2037"/>
      <c r="L22" s="2037"/>
      <c r="M22" s="2037"/>
      <c r="N22" s="2037"/>
      <c r="O22" s="2037"/>
      <c r="P22" s="2037"/>
      <c r="Q22" s="2037"/>
      <c r="R22" s="2037"/>
      <c r="S22" s="2038"/>
      <c r="T22" s="85" t="s">
        <v>1516</v>
      </c>
      <c r="U22" s="51"/>
      <c r="V22" s="72"/>
      <c r="W22" s="51"/>
      <c r="X22" s="160" t="s">
        <v>1318</v>
      </c>
      <c r="Z22" s="45"/>
      <c r="AA22" s="46"/>
    </row>
    <row r="23" spans="1:27" ht="13.5" customHeight="1" x14ac:dyDescent="0.2">
      <c r="A23" s="2032" t="s">
        <v>2076</v>
      </c>
      <c r="B23" s="2033"/>
      <c r="C23" s="2033"/>
      <c r="D23" s="2033"/>
      <c r="E23" s="2033"/>
      <c r="F23" s="2033"/>
      <c r="G23" s="2033"/>
      <c r="H23" s="2034"/>
      <c r="T23" s="1972" t="s">
        <v>2072</v>
      </c>
      <c r="U23" s="1973"/>
      <c r="V23" s="1973"/>
      <c r="W23" s="1973"/>
      <c r="X23" s="1988">
        <v>44530</v>
      </c>
      <c r="Y23" s="1989"/>
      <c r="Z23" s="1989"/>
      <c r="AA23" s="1990"/>
    </row>
    <row r="24" spans="1:27" ht="14.1" customHeight="1" x14ac:dyDescent="0.2">
      <c r="A24" s="88" t="s">
        <v>677</v>
      </c>
      <c r="B24" s="49"/>
      <c r="C24" s="49"/>
      <c r="D24" s="49"/>
      <c r="E24" s="49"/>
      <c r="F24" s="49"/>
      <c r="G24" s="49"/>
      <c r="H24" s="61"/>
      <c r="J24" s="2074">
        <f>IF(B5="x",IF(AUDITCHECK!D29="AFR form Incomplete.","",IF(AUDITCHECK!D29="Deficit reduction plan is required.","School District must complete a deficit reduction plan in the 2019-2020 Budget",)),"")</f>
        <v>0</v>
      </c>
      <c r="K24" s="2074"/>
      <c r="L24" s="2074"/>
      <c r="M24" s="2074"/>
      <c r="N24" s="2074"/>
      <c r="O24" s="2074"/>
      <c r="P24" s="2074"/>
      <c r="Q24" s="2074"/>
      <c r="R24" s="2074"/>
      <c r="S24" s="2075"/>
      <c r="T24" s="105" t="s">
        <v>531</v>
      </c>
      <c r="U24" s="106"/>
      <c r="V24" s="106"/>
      <c r="W24" s="106"/>
      <c r="X24" s="107"/>
      <c r="Y24" s="107"/>
      <c r="Z24" s="107"/>
      <c r="AA24" s="108"/>
    </row>
    <row r="25" spans="1:27" ht="14.1" customHeight="1" x14ac:dyDescent="0.2">
      <c r="A25" s="2009">
        <v>62515</v>
      </c>
      <c r="B25" s="2010"/>
      <c r="C25" s="2010"/>
      <c r="D25" s="2010"/>
      <c r="E25" s="2010"/>
      <c r="F25" s="2010"/>
      <c r="G25" s="2010"/>
      <c r="H25" s="2011"/>
      <c r="I25" s="113"/>
      <c r="J25" s="2076"/>
      <c r="K25" s="2076"/>
      <c r="L25" s="2076"/>
      <c r="M25" s="2076"/>
      <c r="N25" s="2076"/>
      <c r="O25" s="2076"/>
      <c r="P25" s="2076"/>
      <c r="Q25" s="2076"/>
      <c r="R25" s="2076"/>
      <c r="S25" s="2077"/>
      <c r="T25" s="1969" t="s">
        <v>2222</v>
      </c>
      <c r="U25" s="1970"/>
      <c r="V25" s="1970"/>
      <c r="W25" s="1970"/>
      <c r="X25" s="1970"/>
      <c r="Y25" s="1970"/>
      <c r="Z25" s="1970"/>
      <c r="AA25" s="19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7" t="s">
        <v>1511</v>
      </c>
      <c r="J27" s="2040"/>
      <c r="K27" s="2040"/>
      <c r="L27" s="2040"/>
      <c r="M27" s="2040"/>
      <c r="N27" s="2040"/>
      <c r="O27" s="2040"/>
      <c r="P27" s="2040"/>
      <c r="Q27" s="2040"/>
      <c r="R27" s="2040"/>
      <c r="S27" s="204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13"/>
      <c r="Q35" s="2010"/>
      <c r="R35" s="201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2" t="s">
        <v>2077</v>
      </c>
      <c r="B38" s="2042"/>
      <c r="C38" s="2042"/>
      <c r="D38" s="2042"/>
      <c r="E38" s="2042"/>
      <c r="F38" s="2010"/>
      <c r="G38" s="2010"/>
      <c r="H38" s="2011"/>
      <c r="I38" s="2061"/>
      <c r="J38" s="1981"/>
      <c r="K38" s="1981"/>
      <c r="L38" s="1981"/>
      <c r="M38" s="1981"/>
      <c r="N38" s="1981"/>
      <c r="O38" s="1981"/>
      <c r="P38" s="1982"/>
      <c r="Q38" s="1982"/>
      <c r="R38" s="1982"/>
      <c r="S38" s="1983"/>
      <c r="T38" s="1980"/>
      <c r="U38" s="1981"/>
      <c r="V38" s="1981"/>
      <c r="W38" s="1981"/>
      <c r="X38" s="1982"/>
      <c r="Y38" s="1982"/>
      <c r="Z38" s="1982"/>
      <c r="AA38" s="1983"/>
    </row>
    <row r="39" spans="1:27" ht="12" customHeight="1" x14ac:dyDescent="0.2">
      <c r="A39" s="2065" t="s">
        <v>531</v>
      </c>
      <c r="B39" s="2066"/>
      <c r="C39" s="72"/>
      <c r="D39" s="69"/>
      <c r="E39" s="69"/>
      <c r="F39" s="79"/>
      <c r="G39" s="69"/>
      <c r="H39" s="56"/>
      <c r="I39" s="2065" t="s">
        <v>531</v>
      </c>
      <c r="J39" s="2066"/>
      <c r="K39" s="2066"/>
      <c r="L39" s="2066"/>
      <c r="M39" s="2066"/>
      <c r="N39" s="67"/>
      <c r="O39" s="72"/>
      <c r="P39" s="72"/>
      <c r="Q39" s="78"/>
      <c r="R39" s="72"/>
      <c r="S39" s="56"/>
      <c r="T39" s="72" t="s">
        <v>531</v>
      </c>
      <c r="U39" s="51"/>
      <c r="V39" s="72"/>
      <c r="W39" s="50"/>
      <c r="X39" s="78"/>
      <c r="Y39" s="45"/>
      <c r="Z39" s="45"/>
      <c r="AA39" s="46"/>
    </row>
    <row r="40" spans="1:27" ht="13.5" customHeight="1" x14ac:dyDescent="0.2">
      <c r="A40" s="2068" t="s">
        <v>2076</v>
      </c>
      <c r="B40" s="2069"/>
      <c r="C40" s="2070"/>
      <c r="D40" s="2070"/>
      <c r="E40" s="2070"/>
      <c r="F40" s="2071"/>
      <c r="G40" s="2071"/>
      <c r="H40" s="2072"/>
      <c r="I40" s="1984"/>
      <c r="J40" s="1986"/>
      <c r="K40" s="1986"/>
      <c r="L40" s="1986"/>
      <c r="M40" s="1986"/>
      <c r="N40" s="1986"/>
      <c r="O40" s="1986"/>
      <c r="P40" s="1986"/>
      <c r="Q40" s="1986"/>
      <c r="R40" s="1986"/>
      <c r="S40" s="1987"/>
      <c r="T40" s="1984"/>
      <c r="U40" s="1985"/>
      <c r="V40" s="1986"/>
      <c r="W40" s="1986"/>
      <c r="X40" s="1986"/>
      <c r="Y40" s="1986"/>
      <c r="Z40" s="1986"/>
      <c r="AA40" s="19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8" t="s">
        <v>2078</v>
      </c>
      <c r="B42" s="2059"/>
      <c r="C42" s="2060"/>
      <c r="D42" s="2073" t="s">
        <v>2079</v>
      </c>
      <c r="E42" s="2059"/>
      <c r="F42" s="2059"/>
      <c r="G42" s="2059"/>
      <c r="H42" s="2060"/>
      <c r="I42" s="1979"/>
      <c r="J42" s="1975"/>
      <c r="K42" s="1975"/>
      <c r="L42" s="1975"/>
      <c r="M42" s="1975"/>
      <c r="N42" s="1975"/>
      <c r="O42" s="1976"/>
      <c r="P42" s="1974"/>
      <c r="Q42" s="1975"/>
      <c r="R42" s="1975"/>
      <c r="S42" s="1976"/>
      <c r="T42" s="1979"/>
      <c r="U42" s="1975"/>
      <c r="V42" s="1975"/>
      <c r="W42" s="1976"/>
      <c r="X42" s="1974"/>
      <c r="Y42" s="1975"/>
      <c r="Z42" s="1975"/>
      <c r="AA42" s="197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2"/>
      <c r="B44" s="2063"/>
      <c r="C44" s="2063"/>
      <c r="D44" s="2063"/>
      <c r="E44" s="2063"/>
      <c r="F44" s="2063"/>
      <c r="G44" s="2063"/>
      <c r="H44" s="2064"/>
      <c r="I44" s="2054"/>
      <c r="J44" s="2056"/>
      <c r="K44" s="2056"/>
      <c r="L44" s="2056"/>
      <c r="M44" s="2056"/>
      <c r="N44" s="2056"/>
      <c r="O44" s="2056"/>
      <c r="P44" s="2056"/>
      <c r="Q44" s="2056"/>
      <c r="R44" s="2056"/>
      <c r="S44" s="2057"/>
      <c r="T44" s="2054"/>
      <c r="U44" s="2055"/>
      <c r="V44" s="2055"/>
      <c r="W44" s="2055"/>
      <c r="X44" s="2055"/>
      <c r="Y44" s="2055"/>
      <c r="Z44" s="2056"/>
      <c r="AA44" s="20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5"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B16" sqref="B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11" t="s">
        <v>1802</v>
      </c>
      <c r="B2" s="1527" t="s">
        <v>1949</v>
      </c>
      <c r="C2" s="714" t="s">
        <v>1950</v>
      </c>
      <c r="D2" s="714" t="s">
        <v>1951</v>
      </c>
      <c r="E2" s="714" t="s">
        <v>1952</v>
      </c>
      <c r="F2" s="714" t="s">
        <v>1953</v>
      </c>
    </row>
    <row r="3" spans="1:6" ht="12" customHeight="1" x14ac:dyDescent="0.2">
      <c r="A3" s="2212"/>
      <c r="B3" s="1524"/>
      <c r="C3" s="1525"/>
      <c r="D3" s="1526" t="s">
        <v>256</v>
      </c>
      <c r="E3" s="1525"/>
      <c r="F3" s="1526" t="s">
        <v>257</v>
      </c>
    </row>
    <row r="4" spans="1:6" ht="13.7" customHeight="1" x14ac:dyDescent="0.2">
      <c r="A4" s="715" t="s">
        <v>1155</v>
      </c>
      <c r="B4" s="1748">
        <f>'Revenues 9-14'!C5</f>
        <v>2422998</v>
      </c>
      <c r="C4" s="1523">
        <v>1226883</v>
      </c>
      <c r="D4" s="1751">
        <f>B4-C4</f>
        <v>1196115</v>
      </c>
      <c r="E4" s="1523">
        <v>2443287</v>
      </c>
      <c r="F4" s="1751">
        <f>E4-C4</f>
        <v>1216404</v>
      </c>
    </row>
    <row r="5" spans="1:6" ht="13.7" customHeight="1" x14ac:dyDescent="0.2">
      <c r="A5" s="715" t="s">
        <v>870</v>
      </c>
      <c r="B5" s="1749">
        <f>'Revenues 9-14'!D5</f>
        <v>311868</v>
      </c>
      <c r="C5" s="585">
        <v>157939</v>
      </c>
      <c r="D5" s="1752">
        <f t="shared" ref="D5:D18" si="0">B5-C5</f>
        <v>153929</v>
      </c>
      <c r="E5" s="585">
        <v>314528</v>
      </c>
      <c r="F5" s="1752">
        <f>E5-C5</f>
        <v>156589</v>
      </c>
    </row>
    <row r="6" spans="1:6" ht="13.7" customHeight="1" x14ac:dyDescent="0.2">
      <c r="A6" s="715" t="s">
        <v>411</v>
      </c>
      <c r="B6" s="1749">
        <f>'Revenues 9-14'!E5</f>
        <v>620069</v>
      </c>
      <c r="C6" s="585">
        <v>309536</v>
      </c>
      <c r="D6" s="1752">
        <f t="shared" si="0"/>
        <v>310533</v>
      </c>
      <c r="E6" s="585">
        <v>616428</v>
      </c>
      <c r="F6" s="1752">
        <f t="shared" ref="F6:F18" si="1">E6-C6</f>
        <v>306892</v>
      </c>
    </row>
    <row r="7" spans="1:6" ht="13.7" customHeight="1" x14ac:dyDescent="0.2">
      <c r="A7" s="715" t="s">
        <v>155</v>
      </c>
      <c r="B7" s="1749">
        <f>'Revenues 9-14'!F5</f>
        <v>207941</v>
      </c>
      <c r="C7" s="585">
        <v>105307</v>
      </c>
      <c r="D7" s="1752">
        <f t="shared" si="0"/>
        <v>102634</v>
      </c>
      <c r="E7" s="585">
        <v>209714</v>
      </c>
      <c r="F7" s="1752">
        <f t="shared" si="1"/>
        <v>104407</v>
      </c>
    </row>
    <row r="8" spans="1:6" ht="13.7" customHeight="1" x14ac:dyDescent="0.2">
      <c r="A8" s="715" t="s">
        <v>1179</v>
      </c>
      <c r="B8" s="1749">
        <f>'Revenues 9-14'!G5</f>
        <v>63727</v>
      </c>
      <c r="C8" s="585">
        <v>32269</v>
      </c>
      <c r="D8" s="1752">
        <f t="shared" si="0"/>
        <v>31458</v>
      </c>
      <c r="E8" s="585">
        <v>64263</v>
      </c>
      <c r="F8" s="1752">
        <f t="shared" si="1"/>
        <v>31994</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20863</v>
      </c>
      <c r="C10" s="585">
        <v>10570</v>
      </c>
      <c r="D10" s="1752">
        <f t="shared" si="0"/>
        <v>10293</v>
      </c>
      <c r="E10" s="585">
        <v>21049</v>
      </c>
      <c r="F10" s="1752">
        <f t="shared" si="1"/>
        <v>10479</v>
      </c>
    </row>
    <row r="11" spans="1:6" x14ac:dyDescent="0.2">
      <c r="A11" s="715" t="s">
        <v>409</v>
      </c>
      <c r="B11" s="1749">
        <f>'Revenues 9-14'!J5</f>
        <v>100588</v>
      </c>
      <c r="C11" s="585">
        <v>50949</v>
      </c>
      <c r="D11" s="1752">
        <f t="shared" si="0"/>
        <v>49639</v>
      </c>
      <c r="E11" s="585">
        <v>101464</v>
      </c>
      <c r="F11" s="1752">
        <f t="shared" si="1"/>
        <v>50515</v>
      </c>
    </row>
    <row r="12" spans="1:6" ht="13.7" customHeight="1" x14ac:dyDescent="0.2">
      <c r="A12" s="715" t="s">
        <v>157</v>
      </c>
      <c r="B12" s="1749">
        <f>'Revenues 9-14'!K5</f>
        <v>48709</v>
      </c>
      <c r="C12" s="585">
        <v>24677</v>
      </c>
      <c r="D12" s="1752">
        <f t="shared" si="0"/>
        <v>24032</v>
      </c>
      <c r="E12" s="585">
        <v>49142</v>
      </c>
      <c r="F12" s="1752">
        <f t="shared" si="1"/>
        <v>24465</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34735</v>
      </c>
      <c r="C14" s="585">
        <v>17601</v>
      </c>
      <c r="D14" s="1752">
        <f t="shared" si="0"/>
        <v>17134</v>
      </c>
      <c r="E14" s="585">
        <v>35053</v>
      </c>
      <c r="F14" s="1752">
        <f t="shared" si="1"/>
        <v>17452</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63727</v>
      </c>
      <c r="C16" s="585">
        <v>32269</v>
      </c>
      <c r="D16" s="1752">
        <f t="shared" si="0"/>
        <v>31458</v>
      </c>
      <c r="E16" s="585">
        <v>64263</v>
      </c>
      <c r="F16" s="1752">
        <f t="shared" si="1"/>
        <v>31994</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3895225</v>
      </c>
      <c r="C19" s="1750">
        <f>SUM(C4:C18)</f>
        <v>1968000</v>
      </c>
      <c r="D19" s="1750">
        <f>SUM(D4:D18)</f>
        <v>1927225</v>
      </c>
      <c r="E19" s="1750">
        <f>SUM(E4:E18)</f>
        <v>3919191</v>
      </c>
      <c r="F19" s="1750">
        <f>SUM(F4:F18)</f>
        <v>1951191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5" right="0.5" top="1.3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629</v>
      </c>
      <c r="B1" s="2218"/>
      <c r="C1" s="721"/>
    </row>
    <row r="2" spans="1:7" ht="33.75" x14ac:dyDescent="0.2">
      <c r="A2" s="2226" t="s">
        <v>1802</v>
      </c>
      <c r="B2" s="2227"/>
      <c r="C2" s="1883" t="s">
        <v>1954</v>
      </c>
      <c r="D2" s="723" t="s">
        <v>1955</v>
      </c>
      <c r="E2" s="723" t="s">
        <v>1956</v>
      </c>
      <c r="F2" s="1883" t="s">
        <v>1957</v>
      </c>
    </row>
    <row r="3" spans="1:7" ht="15.75" customHeight="1" x14ac:dyDescent="0.2">
      <c r="A3" s="2230" t="s">
        <v>1114</v>
      </c>
      <c r="B3" s="2231"/>
      <c r="C3" s="2219"/>
      <c r="D3" s="2220"/>
      <c r="E3" s="2220"/>
      <c r="F3" s="2221"/>
    </row>
    <row r="4" spans="1:7" ht="12.75" customHeight="1" thickBot="1" x14ac:dyDescent="0.25">
      <c r="A4" s="2228" t="s">
        <v>630</v>
      </c>
      <c r="B4" s="2229"/>
      <c r="C4" s="581"/>
      <c r="D4" s="581"/>
      <c r="E4" s="581"/>
      <c r="F4" s="1754">
        <f>SUM(C4+D4)-E4</f>
        <v>0</v>
      </c>
    </row>
    <row r="5" spans="1:7" ht="15.75" customHeight="1" thickTop="1" x14ac:dyDescent="0.2">
      <c r="A5" s="2213" t="s">
        <v>1110</v>
      </c>
      <c r="B5" s="2214"/>
      <c r="C5" s="2222"/>
      <c r="D5" s="2223"/>
      <c r="E5" s="2223"/>
      <c r="F5" s="222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15" t="s">
        <v>631</v>
      </c>
      <c r="B15" s="2216"/>
      <c r="C15" s="1754">
        <f>SUM(C6:C14)</f>
        <v>0</v>
      </c>
      <c r="D15" s="1754">
        <f>SUM(D6:D14)</f>
        <v>0</v>
      </c>
      <c r="E15" s="1754">
        <f>SUM(E6:E14)</f>
        <v>0</v>
      </c>
      <c r="F15" s="1754">
        <f>SUM(F6:F14)</f>
        <v>0</v>
      </c>
      <c r="G15" s="552"/>
    </row>
    <row r="16" spans="1:7" s="202" customFormat="1" ht="15.75" customHeight="1" thickTop="1" x14ac:dyDescent="0.2">
      <c r="A16" s="2225" t="s">
        <v>1111</v>
      </c>
      <c r="B16" s="2214"/>
      <c r="C16" s="2222"/>
      <c r="D16" s="2223"/>
      <c r="E16" s="2223"/>
      <c r="F16" s="2224"/>
    </row>
    <row r="17" spans="1:11" ht="12.75" customHeight="1" thickBot="1" x14ac:dyDescent="0.25">
      <c r="A17" s="2238" t="s">
        <v>64</v>
      </c>
      <c r="B17" s="2239"/>
      <c r="C17" s="726"/>
      <c r="D17" s="585"/>
      <c r="E17" s="726"/>
      <c r="F17" s="1754">
        <f>SUM(C17+D17)-E17</f>
        <v>0</v>
      </c>
    </row>
    <row r="18" spans="1:11" ht="12.75" customHeight="1" thickTop="1" thickBot="1" x14ac:dyDescent="0.25">
      <c r="A18" s="2238" t="s">
        <v>6</v>
      </c>
      <c r="B18" s="2239"/>
      <c r="C18" s="726"/>
      <c r="D18" s="585"/>
      <c r="E18" s="726"/>
      <c r="F18" s="1754">
        <f>SUM(C18+D18)-E18</f>
        <v>0</v>
      </c>
    </row>
    <row r="19" spans="1:11" ht="12.75" customHeight="1" thickTop="1" thickBot="1" x14ac:dyDescent="0.25">
      <c r="A19" s="2238" t="s">
        <v>388</v>
      </c>
      <c r="B19" s="2239"/>
      <c r="C19" s="726"/>
      <c r="D19" s="585"/>
      <c r="E19" s="726"/>
      <c r="F19" s="1754">
        <f>SUM(C19+D19)-E19</f>
        <v>0</v>
      </c>
    </row>
    <row r="20" spans="1:11" ht="12.75" customHeight="1" thickTop="1" thickBot="1" x14ac:dyDescent="0.25">
      <c r="A20" s="2238" t="s">
        <v>448</v>
      </c>
      <c r="B20" s="2239"/>
      <c r="C20" s="726"/>
      <c r="D20" s="585"/>
      <c r="E20" s="726"/>
      <c r="F20" s="1754">
        <f>SUM(C20+D20)-E20</f>
        <v>0</v>
      </c>
    </row>
    <row r="21" spans="1:11" ht="14.25" thickTop="1" thickBot="1" x14ac:dyDescent="0.25">
      <c r="A21" s="2215" t="s">
        <v>632</v>
      </c>
      <c r="B21" s="2216"/>
      <c r="C21" s="1754">
        <f>SUM(C17:C20)</f>
        <v>0</v>
      </c>
      <c r="D21" s="1754">
        <f>SUM(D17:D20)</f>
        <v>0</v>
      </c>
      <c r="E21" s="1754">
        <f>SUM(E17:E20)</f>
        <v>0</v>
      </c>
      <c r="F21" s="1754">
        <f>SUM(F17:F20)</f>
        <v>0</v>
      </c>
      <c r="G21" s="552"/>
    </row>
    <row r="22" spans="1:11" ht="15.75" customHeight="1" thickTop="1" x14ac:dyDescent="0.2">
      <c r="A22" s="2240" t="s">
        <v>1112</v>
      </c>
      <c r="B22" s="2214"/>
      <c r="C22" s="2222"/>
      <c r="D22" s="2223"/>
      <c r="E22" s="2223"/>
      <c r="F22" s="2224"/>
    </row>
    <row r="23" spans="1:11" ht="13.5" thickBot="1" x14ac:dyDescent="0.25">
      <c r="A23" s="2228" t="s">
        <v>633</v>
      </c>
      <c r="B23" s="2229"/>
      <c r="C23" s="581"/>
      <c r="D23" s="581"/>
      <c r="E23" s="581"/>
      <c r="F23" s="1754">
        <f>SUM(C23+D23)-E23</f>
        <v>0</v>
      </c>
      <c r="G23" s="552"/>
    </row>
    <row r="24" spans="1:11" ht="15.75" customHeight="1" thickTop="1" x14ac:dyDescent="0.2">
      <c r="A24" s="2240" t="s">
        <v>1113</v>
      </c>
      <c r="B24" s="2214"/>
      <c r="C24" s="2222"/>
      <c r="D24" s="2223"/>
      <c r="E24" s="2223"/>
      <c r="F24" s="2224"/>
    </row>
    <row r="25" spans="1:11" ht="13.5" thickBot="1" x14ac:dyDescent="0.25">
      <c r="A25" s="2228" t="s">
        <v>634</v>
      </c>
      <c r="B25" s="2229"/>
      <c r="C25" s="581"/>
      <c r="D25" s="581"/>
      <c r="E25" s="581"/>
      <c r="F25" s="1754">
        <f>SUM(C25+D25)-E25</f>
        <v>0</v>
      </c>
      <c r="G25" s="552"/>
    </row>
    <row r="26" spans="1:11" ht="15.75" customHeight="1" thickTop="1" x14ac:dyDescent="0.2">
      <c r="A26" s="2213" t="s">
        <v>657</v>
      </c>
      <c r="B26" s="2214"/>
      <c r="C26" s="727"/>
      <c r="D26" s="727"/>
      <c r="E26" s="727"/>
      <c r="F26" s="728"/>
    </row>
    <row r="27" spans="1:11" ht="13.5" thickBot="1" x14ac:dyDescent="0.25">
      <c r="A27" s="2215" t="s">
        <v>1070</v>
      </c>
      <c r="B27" s="2216"/>
      <c r="C27" s="585"/>
      <c r="D27" s="585"/>
      <c r="E27" s="585"/>
      <c r="F27" s="1754">
        <f>SUM(C27+D27)-E27</f>
        <v>0</v>
      </c>
      <c r="G27" s="552"/>
    </row>
    <row r="28" spans="1:11" ht="7.5" customHeight="1" thickTop="1" x14ac:dyDescent="0.2">
      <c r="A28" s="593"/>
    </row>
    <row r="29" spans="1:11" ht="23.25" customHeight="1" x14ac:dyDescent="0.2">
      <c r="A29" s="2241" t="s">
        <v>582</v>
      </c>
      <c r="B29" s="2218"/>
      <c r="C29" s="729"/>
      <c r="D29" s="729"/>
      <c r="E29" s="729"/>
      <c r="F29" s="729"/>
      <c r="G29" s="729"/>
      <c r="H29" s="729"/>
      <c r="I29" s="729"/>
      <c r="J29" s="729"/>
    </row>
    <row r="30" spans="1:11" ht="33.75" x14ac:dyDescent="0.2">
      <c r="A30" s="1528" t="s">
        <v>1071</v>
      </c>
      <c r="B30" s="730" t="s">
        <v>1124</v>
      </c>
      <c r="C30" s="1884" t="s">
        <v>583</v>
      </c>
      <c r="D30" s="1884" t="s">
        <v>1673</v>
      </c>
      <c r="E30" s="1884" t="s">
        <v>1958</v>
      </c>
      <c r="F30" s="1884" t="s">
        <v>1959</v>
      </c>
      <c r="G30" s="1884" t="s">
        <v>1910</v>
      </c>
      <c r="H30" s="1884" t="s">
        <v>1960</v>
      </c>
      <c r="I30" s="1884" t="s">
        <v>1961</v>
      </c>
      <c r="J30" s="1885" t="s">
        <v>2</v>
      </c>
      <c r="K30" s="731"/>
    </row>
    <row r="31" spans="1:11" ht="12" customHeight="1" x14ac:dyDescent="0.2">
      <c r="A31" s="732" t="s">
        <v>2205</v>
      </c>
      <c r="B31" s="733">
        <v>39695</v>
      </c>
      <c r="C31" s="734">
        <v>1795000</v>
      </c>
      <c r="D31" s="735">
        <v>3</v>
      </c>
      <c r="E31" s="734">
        <v>1100000</v>
      </c>
      <c r="F31" s="734"/>
      <c r="G31" s="734"/>
      <c r="H31" s="734">
        <v>260000</v>
      </c>
      <c r="I31" s="1755">
        <f>((E31+F31)-H31)+G31</f>
        <v>840000</v>
      </c>
      <c r="J31" s="734">
        <v>467557</v>
      </c>
      <c r="K31" s="736"/>
    </row>
    <row r="32" spans="1:11" ht="12" customHeight="1" x14ac:dyDescent="0.2">
      <c r="A32" s="732" t="s">
        <v>2206</v>
      </c>
      <c r="B32" s="733">
        <v>42192</v>
      </c>
      <c r="C32" s="734">
        <v>3710000</v>
      </c>
      <c r="D32" s="735" t="s">
        <v>2207</v>
      </c>
      <c r="E32" s="734">
        <v>3480000</v>
      </c>
      <c r="F32" s="734"/>
      <c r="G32" s="734"/>
      <c r="H32" s="734">
        <v>190000</v>
      </c>
      <c r="I32" s="1755">
        <f>((E32+F32)-H32)+G32</f>
        <v>3290000</v>
      </c>
      <c r="J32" s="734">
        <v>3290000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5505000</v>
      </c>
      <c r="D49" s="745"/>
      <c r="E49" s="1755">
        <f t="shared" ref="E49:J49" si="2">SUM(E31:E48)</f>
        <v>4580000</v>
      </c>
      <c r="F49" s="1755">
        <f t="shared" si="2"/>
        <v>0</v>
      </c>
      <c r="G49" s="1755">
        <f t="shared" si="2"/>
        <v>0</v>
      </c>
      <c r="H49" s="1755">
        <f t="shared" si="2"/>
        <v>450000</v>
      </c>
      <c r="I49" s="1755">
        <f t="shared" si="2"/>
        <v>4130000</v>
      </c>
      <c r="J49" s="1755">
        <f t="shared" si="2"/>
        <v>3757557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32" t="s">
        <v>584</v>
      </c>
      <c r="C52" s="2233"/>
      <c r="D52" s="2233"/>
      <c r="E52" s="749" t="s">
        <v>845</v>
      </c>
      <c r="F52" s="2234"/>
      <c r="G52" s="2235"/>
      <c r="H52" s="736"/>
      <c r="I52" s="736"/>
      <c r="J52" s="746"/>
    </row>
    <row r="53" spans="1:11" ht="11.25" customHeight="1" x14ac:dyDescent="0.2">
      <c r="A53" s="750" t="s">
        <v>913</v>
      </c>
      <c r="B53" s="751" t="s">
        <v>951</v>
      </c>
      <c r="C53" s="746"/>
      <c r="D53" s="737"/>
      <c r="E53" s="749" t="s">
        <v>497</v>
      </c>
      <c r="F53" s="2236"/>
      <c r="G53" s="2237"/>
      <c r="H53" s="736"/>
      <c r="I53" s="736"/>
      <c r="J53" s="746"/>
    </row>
    <row r="54" spans="1:11" ht="11.25" customHeight="1" x14ac:dyDescent="0.2">
      <c r="A54" s="752" t="s">
        <v>914</v>
      </c>
      <c r="B54" s="747" t="s">
        <v>952</v>
      </c>
      <c r="C54" s="746"/>
      <c r="D54" s="737"/>
      <c r="E54" s="749" t="s">
        <v>498</v>
      </c>
      <c r="F54" s="2236"/>
      <c r="G54" s="223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2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6"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6" t="s">
        <v>856</v>
      </c>
      <c r="B1" s="2267"/>
      <c r="C1" s="2267"/>
      <c r="D1" s="2267"/>
      <c r="E1" s="2267"/>
      <c r="F1" s="2267"/>
      <c r="G1" s="2268"/>
      <c r="H1" s="1529"/>
      <c r="I1" s="760"/>
      <c r="J1" s="433"/>
    </row>
    <row r="2" spans="1:11" ht="26.25" x14ac:dyDescent="0.2">
      <c r="A2" s="2245" t="s">
        <v>1677</v>
      </c>
      <c r="B2" s="2246"/>
      <c r="C2" s="2246"/>
      <c r="D2" s="2246"/>
      <c r="E2" s="2247"/>
      <c r="F2" s="761" t="s">
        <v>904</v>
      </c>
      <c r="G2" s="762" t="s">
        <v>1674</v>
      </c>
      <c r="H2" s="762" t="s">
        <v>410</v>
      </c>
      <c r="I2" s="762" t="s">
        <v>1158</v>
      </c>
      <c r="J2" s="762" t="s">
        <v>1812</v>
      </c>
      <c r="K2" s="762" t="s">
        <v>138</v>
      </c>
    </row>
    <row r="3" spans="1:11" x14ac:dyDescent="0.2">
      <c r="A3" s="2248" t="s">
        <v>1962</v>
      </c>
      <c r="B3" s="2249"/>
      <c r="C3" s="2249"/>
      <c r="D3" s="2249"/>
      <c r="E3" s="2250"/>
      <c r="F3" s="763"/>
      <c r="G3" s="764"/>
      <c r="H3" s="764"/>
      <c r="I3" s="764"/>
      <c r="J3" s="765"/>
      <c r="K3" s="765"/>
    </row>
    <row r="4" spans="1:11" x14ac:dyDescent="0.2">
      <c r="A4" s="2251" t="s">
        <v>369</v>
      </c>
      <c r="B4" s="2252"/>
      <c r="C4" s="2252"/>
      <c r="D4" s="2252"/>
      <c r="E4" s="2233"/>
      <c r="F4" s="766"/>
      <c r="G4" s="767"/>
      <c r="H4" s="768"/>
      <c r="I4" s="767"/>
      <c r="J4" s="769"/>
      <c r="K4" s="769"/>
    </row>
    <row r="5" spans="1:11" x14ac:dyDescent="0.2">
      <c r="A5" s="2269" t="s">
        <v>1069</v>
      </c>
      <c r="B5" s="2242"/>
      <c r="C5" s="2242"/>
      <c r="D5" s="2242"/>
      <c r="E5" s="2270"/>
      <c r="F5" s="770" t="s">
        <v>848</v>
      </c>
      <c r="G5" s="771"/>
      <c r="H5" s="764">
        <v>14993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2500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7161</v>
      </c>
    </row>
    <row r="10" spans="1:11" x14ac:dyDescent="0.2">
      <c r="A10" s="2269" t="s">
        <v>1813</v>
      </c>
      <c r="B10" s="2242"/>
      <c r="C10" s="2242"/>
      <c r="D10" s="2242"/>
      <c r="E10" s="2271"/>
      <c r="F10" s="783" t="s">
        <v>862</v>
      </c>
      <c r="G10" s="782"/>
      <c r="H10" s="784"/>
      <c r="I10" s="764"/>
      <c r="J10" s="765"/>
      <c r="K10" s="765"/>
    </row>
    <row r="11" spans="1:11" x14ac:dyDescent="0.2">
      <c r="A11" s="2269" t="s">
        <v>160</v>
      </c>
      <c r="B11" s="2242"/>
      <c r="C11" s="2242"/>
      <c r="D11" s="2242"/>
      <c r="E11" s="2270"/>
      <c r="F11" s="770" t="s">
        <v>852</v>
      </c>
      <c r="G11" s="771"/>
      <c r="H11" s="764"/>
      <c r="I11" s="764"/>
      <c r="J11" s="765"/>
      <c r="K11" s="773"/>
    </row>
    <row r="12" spans="1:11" ht="13.5" thickBot="1" x14ac:dyDescent="0.25">
      <c r="A12" s="2259" t="s">
        <v>905</v>
      </c>
      <c r="B12" s="2260"/>
      <c r="C12" s="2260"/>
      <c r="D12" s="2260"/>
      <c r="E12" s="2261"/>
      <c r="F12" s="1756"/>
      <c r="G12" s="1757">
        <f>SUM(G5:G11)</f>
        <v>0</v>
      </c>
      <c r="H12" s="1757">
        <f>SUM(H5:H11)</f>
        <v>14993</v>
      </c>
      <c r="I12" s="1757">
        <f>SUM(I5:I11)</f>
        <v>0</v>
      </c>
      <c r="J12" s="1757">
        <f>SUM(J5:J11)</f>
        <v>0</v>
      </c>
      <c r="K12" s="1757">
        <f>SUM(K5:K11)</f>
        <v>9661</v>
      </c>
    </row>
    <row r="13" spans="1:11" ht="13.5" thickTop="1" x14ac:dyDescent="0.2">
      <c r="A13" s="2253" t="s">
        <v>370</v>
      </c>
      <c r="B13" s="2254"/>
      <c r="C13" s="2254"/>
      <c r="D13" s="2254"/>
      <c r="E13" s="2255"/>
      <c r="F13" s="785"/>
      <c r="G13" s="786"/>
      <c r="H13" s="787"/>
      <c r="I13" s="788"/>
      <c r="J13" s="788"/>
      <c r="K13" s="788"/>
    </row>
    <row r="14" spans="1:11" x14ac:dyDescent="0.2">
      <c r="A14" s="2275" t="s">
        <v>456</v>
      </c>
      <c r="B14" s="2275"/>
      <c r="C14" s="2275"/>
      <c r="D14" s="2275"/>
      <c r="E14" s="2276"/>
      <c r="F14" s="789" t="s">
        <v>854</v>
      </c>
      <c r="G14" s="782"/>
      <c r="H14" s="764">
        <v>14993</v>
      </c>
      <c r="I14" s="771"/>
      <c r="J14" s="773"/>
      <c r="K14" s="765">
        <v>9661</v>
      </c>
    </row>
    <row r="15" spans="1:11" x14ac:dyDescent="0.2">
      <c r="A15" s="2242" t="s">
        <v>4</v>
      </c>
      <c r="B15" s="2242"/>
      <c r="C15" s="2242"/>
      <c r="D15" s="2242"/>
      <c r="E15" s="2270"/>
      <c r="F15" s="789" t="s">
        <v>855</v>
      </c>
      <c r="G15" s="771"/>
      <c r="H15" s="764"/>
      <c r="I15" s="764"/>
      <c r="J15" s="765"/>
      <c r="K15" s="765"/>
    </row>
    <row r="16" spans="1:11" x14ac:dyDescent="0.2">
      <c r="A16" s="2242" t="s">
        <v>298</v>
      </c>
      <c r="B16" s="2242"/>
      <c r="C16" s="2242"/>
      <c r="D16" s="2242"/>
      <c r="E16" s="2270"/>
      <c r="F16" s="789" t="s">
        <v>923</v>
      </c>
      <c r="G16" s="772"/>
      <c r="H16" s="767"/>
      <c r="I16" s="767"/>
      <c r="J16" s="769"/>
      <c r="K16" s="769"/>
    </row>
    <row r="17" spans="1:11" x14ac:dyDescent="0.2">
      <c r="A17" s="2264" t="s">
        <v>935</v>
      </c>
      <c r="B17" s="2264"/>
      <c r="C17" s="2264"/>
      <c r="D17" s="2264"/>
      <c r="E17" s="2265"/>
      <c r="F17" s="790"/>
      <c r="G17" s="791"/>
      <c r="H17" s="792"/>
      <c r="I17" s="792"/>
      <c r="J17" s="793"/>
      <c r="K17" s="794"/>
    </row>
    <row r="18" spans="1:11" x14ac:dyDescent="0.2">
      <c r="A18" s="2256" t="s">
        <v>368</v>
      </c>
      <c r="B18" s="2257"/>
      <c r="C18" s="2257"/>
      <c r="D18" s="2257"/>
      <c r="E18" s="2258"/>
      <c r="F18" s="789" t="s">
        <v>932</v>
      </c>
      <c r="G18" s="782"/>
      <c r="H18" s="782"/>
      <c r="I18" s="782"/>
      <c r="J18" s="765"/>
      <c r="K18" s="795"/>
    </row>
    <row r="19" spans="1:11" ht="21.75" customHeight="1" x14ac:dyDescent="0.2">
      <c r="A19" s="2277" t="s">
        <v>1809</v>
      </c>
      <c r="B19" s="2277"/>
      <c r="C19" s="2277"/>
      <c r="D19" s="2277"/>
      <c r="E19" s="2278"/>
      <c r="F19" s="789" t="s">
        <v>933</v>
      </c>
      <c r="G19" s="782"/>
      <c r="H19" s="782"/>
      <c r="I19" s="782"/>
      <c r="J19" s="765"/>
      <c r="K19" s="795"/>
    </row>
    <row r="20" spans="1:11" x14ac:dyDescent="0.2">
      <c r="A20" s="2256" t="s">
        <v>1814</v>
      </c>
      <c r="B20" s="2257"/>
      <c r="C20" s="2257"/>
      <c r="D20" s="2257"/>
      <c r="E20" s="2258"/>
      <c r="F20" s="789" t="s">
        <v>934</v>
      </c>
      <c r="G20" s="782"/>
      <c r="H20" s="782"/>
      <c r="I20" s="782"/>
      <c r="J20" s="765"/>
      <c r="K20" s="795"/>
    </row>
    <row r="21" spans="1:11" ht="13.5" thickBot="1" x14ac:dyDescent="0.25">
      <c r="A21" s="2262" t="s">
        <v>638</v>
      </c>
      <c r="B21" s="2262"/>
      <c r="C21" s="2262"/>
      <c r="D21" s="2262"/>
      <c r="E21" s="2262"/>
      <c r="F21" s="1758"/>
      <c r="G21" s="792"/>
      <c r="H21" s="796"/>
      <c r="I21" s="796"/>
      <c r="J21" s="1759">
        <f>SUM(J18:J20)</f>
        <v>0</v>
      </c>
      <c r="K21" s="793"/>
    </row>
    <row r="22" spans="1:11" ht="13.5" thickTop="1" x14ac:dyDescent="0.2">
      <c r="A22" s="2242" t="s">
        <v>1815</v>
      </c>
      <c r="B22" s="2242"/>
      <c r="C22" s="2242"/>
      <c r="D22" s="2242"/>
      <c r="E22" s="2270"/>
      <c r="F22" s="789" t="s">
        <v>862</v>
      </c>
      <c r="G22" s="782"/>
      <c r="H22" s="764"/>
      <c r="I22" s="764"/>
      <c r="J22" s="797"/>
      <c r="K22" s="765"/>
    </row>
    <row r="23" spans="1:11" ht="13.5" thickBot="1" x14ac:dyDescent="0.25">
      <c r="A23" s="2263" t="s">
        <v>906</v>
      </c>
      <c r="B23" s="2262"/>
      <c r="C23" s="2262"/>
      <c r="D23" s="2262"/>
      <c r="E23" s="2262"/>
      <c r="F23" s="1760"/>
      <c r="G23" s="1757">
        <f>SUM(G14:G16,G21,G22)</f>
        <v>0</v>
      </c>
      <c r="H23" s="1757">
        <f>SUM(H14:H16,H21,H22)</f>
        <v>14993</v>
      </c>
      <c r="I23" s="1757">
        <f>SUM(I14:I16,I21,I22)</f>
        <v>0</v>
      </c>
      <c r="J23" s="1757">
        <f>SUM(J14:J16,J21,J22)</f>
        <v>0</v>
      </c>
      <c r="K23" s="1757">
        <f>SUM(K14:K16,K21,K22)</f>
        <v>9661</v>
      </c>
    </row>
    <row r="24" spans="1:11" ht="14.25" thickTop="1" thickBot="1" x14ac:dyDescent="0.25">
      <c r="A24" s="2263" t="s">
        <v>1963</v>
      </c>
      <c r="B24" s="2262"/>
      <c r="C24" s="2262"/>
      <c r="D24" s="2262"/>
      <c r="E24" s="2262"/>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1909</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72"/>
      <c r="I31" s="2273"/>
      <c r="J31" s="2273"/>
      <c r="K31" s="2273"/>
    </row>
    <row r="32" spans="1:11" x14ac:dyDescent="0.2">
      <c r="A32" s="809"/>
      <c r="B32" s="237"/>
      <c r="C32" s="237"/>
      <c r="D32" s="237"/>
      <c r="E32" s="805"/>
      <c r="F32" s="811" t="s">
        <v>540</v>
      </c>
      <c r="G32" s="764"/>
      <c r="H32" s="2274"/>
      <c r="I32" s="2273"/>
      <c r="J32" s="2273"/>
      <c r="K32" s="2273"/>
    </row>
    <row r="33" spans="1:11" ht="1.5" customHeight="1" x14ac:dyDescent="0.2">
      <c r="A33" s="812" t="s">
        <v>1169</v>
      </c>
      <c r="B33" s="364"/>
      <c r="C33" s="364"/>
      <c r="D33" s="364"/>
      <c r="E33" s="364"/>
      <c r="F33" s="364"/>
      <c r="G33" s="813"/>
      <c r="H33" s="2274"/>
      <c r="I33" s="2273"/>
      <c r="J33" s="2273"/>
      <c r="K33" s="227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2" t="s">
        <v>541</v>
      </c>
      <c r="B41" s="2243"/>
      <c r="C41" s="2243"/>
      <c r="D41" s="2243"/>
      <c r="E41" s="2243"/>
      <c r="F41" s="224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5" right="0.5" top="1.35" bottom="0.75" header="1" footer="0.25"/>
  <pageSetup scale="7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A14" sqref="A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1908</v>
      </c>
      <c r="B1" s="2282"/>
      <c r="C1" s="2283"/>
      <c r="D1" s="826"/>
      <c r="E1" s="827"/>
      <c r="F1" s="827"/>
      <c r="G1" s="828"/>
      <c r="H1" s="829"/>
      <c r="I1" s="830"/>
      <c r="J1" s="2279"/>
      <c r="K1" s="2280"/>
      <c r="L1" s="228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38176</v>
      </c>
      <c r="D5" s="841"/>
      <c r="E5" s="841"/>
      <c r="F5" s="1759">
        <f>(C5+D5)-E5</f>
        <v>38176</v>
      </c>
      <c r="G5" s="837"/>
      <c r="H5" s="842"/>
      <c r="I5" s="842"/>
      <c r="J5" s="842"/>
      <c r="K5" s="793"/>
      <c r="L5" s="1768">
        <f>F5-K5</f>
        <v>38176</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9654452</v>
      </c>
      <c r="D8" s="844"/>
      <c r="E8" s="844"/>
      <c r="F8" s="1759">
        <f>(C8+D8)-E8</f>
        <v>9654452</v>
      </c>
      <c r="G8" s="843">
        <v>50</v>
      </c>
      <c r="H8" s="765">
        <v>3630978</v>
      </c>
      <c r="I8" s="765">
        <v>164843</v>
      </c>
      <c r="J8" s="765"/>
      <c r="K8" s="1768">
        <f>(H8+I8)-J8</f>
        <v>3795821</v>
      </c>
      <c r="L8" s="1768">
        <f>F8-K8</f>
        <v>5858631</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60781</v>
      </c>
      <c r="D10" s="846">
        <v>25000</v>
      </c>
      <c r="E10" s="846"/>
      <c r="F10" s="1763">
        <f>(C10+D10)-E10</f>
        <v>85781</v>
      </c>
      <c r="G10" s="843">
        <v>20</v>
      </c>
      <c r="H10" s="847">
        <v>53796</v>
      </c>
      <c r="I10" s="847">
        <v>2873</v>
      </c>
      <c r="J10" s="847"/>
      <c r="K10" s="1768">
        <f>(H10+I10)-J10</f>
        <v>56669</v>
      </c>
      <c r="L10" s="1768">
        <f>F10-K10</f>
        <v>29112</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656185</v>
      </c>
      <c r="D12" s="844">
        <v>10300</v>
      </c>
      <c r="E12" s="844"/>
      <c r="F12" s="1759">
        <f>(C12+D12)-E12</f>
        <v>666485</v>
      </c>
      <c r="G12" s="843">
        <v>10</v>
      </c>
      <c r="H12" s="765">
        <v>497220</v>
      </c>
      <c r="I12" s="765">
        <v>46869</v>
      </c>
      <c r="J12" s="765"/>
      <c r="K12" s="1768">
        <f>(H12+I12)-J12</f>
        <v>544089</v>
      </c>
      <c r="L12" s="1768">
        <f>F12-K12</f>
        <v>122396</v>
      </c>
    </row>
    <row r="13" spans="1:14" ht="14.25" thickTop="1" thickBot="1" x14ac:dyDescent="0.25">
      <c r="A13" s="848" t="s">
        <v>1122</v>
      </c>
      <c r="B13" s="840">
        <v>252</v>
      </c>
      <c r="C13" s="844">
        <v>182797</v>
      </c>
      <c r="D13" s="844">
        <v>28276</v>
      </c>
      <c r="E13" s="844">
        <v>23025</v>
      </c>
      <c r="F13" s="1759">
        <f>(C13+D13)-E13</f>
        <v>188048</v>
      </c>
      <c r="G13" s="843">
        <v>5</v>
      </c>
      <c r="H13" s="765">
        <v>163207</v>
      </c>
      <c r="I13" s="765">
        <v>7667</v>
      </c>
      <c r="J13" s="765">
        <v>23025</v>
      </c>
      <c r="K13" s="1768">
        <f>(H13+I13)-J13</f>
        <v>147849</v>
      </c>
      <c r="L13" s="1768">
        <f>F13-K13</f>
        <v>40199</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v>25000</v>
      </c>
      <c r="D15" s="844"/>
      <c r="E15" s="844">
        <v>25000</v>
      </c>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10617391</v>
      </c>
      <c r="D16" s="1759">
        <f>SUM(D3,D5:D6,D8:D10,D12:D15)</f>
        <v>63576</v>
      </c>
      <c r="E16" s="1759">
        <f>SUM(E3,E5:E6,E8:E10,E12:E15)</f>
        <v>48025</v>
      </c>
      <c r="F16" s="1759">
        <f>SUM(F3,F5:F6,F8:F10,F12:F15)</f>
        <v>10632942</v>
      </c>
      <c r="G16" s="843"/>
      <c r="H16" s="1759">
        <f>SUM(H3,H6,H8:H10,H12:H14,)</f>
        <v>4345201</v>
      </c>
      <c r="I16" s="1759">
        <f>SUM(I3,I6,I8:I10,I12:I14,)</f>
        <v>222252</v>
      </c>
      <c r="J16" s="1759">
        <f>SUM(J3,J6,J8:J10,J12:J14,)</f>
        <v>23025</v>
      </c>
      <c r="K16" s="1759">
        <f>(H16+I16)-J16</f>
        <v>4544428</v>
      </c>
      <c r="L16" s="1759">
        <f>F16-K16</f>
        <v>6088514</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222252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5" right="0.5" top="1.3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7" t="s">
        <v>1973</v>
      </c>
      <c r="B1" s="2288"/>
      <c r="C1" s="2288"/>
      <c r="D1" s="2288"/>
      <c r="E1" s="2288"/>
      <c r="F1" s="2289"/>
      <c r="G1" s="855"/>
    </row>
    <row r="2" spans="1:7" ht="15" customHeight="1" thickBot="1" x14ac:dyDescent="0.25">
      <c r="A2" s="2290" t="s">
        <v>477</v>
      </c>
      <c r="B2" s="2291"/>
      <c r="C2" s="2291"/>
      <c r="D2" s="2291"/>
      <c r="E2" s="2291"/>
      <c r="F2" s="229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3"/>
      <c r="B5" s="2294"/>
      <c r="C5" s="2294"/>
      <c r="D5" s="2294"/>
      <c r="E5" s="2294"/>
      <c r="F5" s="2294"/>
    </row>
    <row r="6" spans="1:7" ht="13.5" customHeight="1" thickBot="1" x14ac:dyDescent="0.25">
      <c r="A6" s="2284" t="s">
        <v>1104</v>
      </c>
      <c r="B6" s="2285"/>
      <c r="C6" s="2285"/>
      <c r="D6" s="2285"/>
      <c r="E6" s="2285"/>
      <c r="F6" s="228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4298879</v>
      </c>
      <c r="G8" s="865"/>
    </row>
    <row r="9" spans="1:7" x14ac:dyDescent="0.2">
      <c r="A9" s="869" t="s">
        <v>460</v>
      </c>
      <c r="B9" s="870" t="s">
        <v>1876</v>
      </c>
      <c r="C9" s="871"/>
      <c r="D9" s="869" t="s">
        <v>501</v>
      </c>
      <c r="E9" s="868"/>
      <c r="F9" s="1908">
        <f>'Expenditures 15-22'!K151</f>
        <v>490479</v>
      </c>
      <c r="G9" s="872"/>
    </row>
    <row r="10" spans="1:7" x14ac:dyDescent="0.2">
      <c r="A10" s="869" t="s">
        <v>499</v>
      </c>
      <c r="B10" s="870" t="s">
        <v>1877</v>
      </c>
      <c r="C10" s="871"/>
      <c r="D10" s="869" t="s">
        <v>501</v>
      </c>
      <c r="E10" s="868"/>
      <c r="F10" s="1908">
        <f>'Expenditures 15-22'!K174</f>
        <v>620562</v>
      </c>
      <c r="G10" s="872"/>
    </row>
    <row r="11" spans="1:7" x14ac:dyDescent="0.2">
      <c r="A11" s="869" t="s">
        <v>461</v>
      </c>
      <c r="B11" s="870" t="s">
        <v>1878</v>
      </c>
      <c r="C11" s="871"/>
      <c r="D11" s="869" t="s">
        <v>501</v>
      </c>
      <c r="E11" s="868"/>
      <c r="F11" s="1908">
        <f>'Expenditures 15-22'!K210</f>
        <v>428724</v>
      </c>
      <c r="G11" s="872"/>
    </row>
    <row r="12" spans="1:7" x14ac:dyDescent="0.2">
      <c r="A12" s="869" t="s">
        <v>462</v>
      </c>
      <c r="B12" s="870" t="s">
        <v>1879</v>
      </c>
      <c r="C12" s="871"/>
      <c r="D12" s="869" t="s">
        <v>501</v>
      </c>
      <c r="E12" s="868"/>
      <c r="F12" s="1908">
        <f>'Expenditures 15-22'!K295</f>
        <v>198183</v>
      </c>
      <c r="G12" s="872"/>
    </row>
    <row r="13" spans="1:7" x14ac:dyDescent="0.2">
      <c r="A13" s="869" t="s">
        <v>106</v>
      </c>
      <c r="B13" s="870" t="s">
        <v>1880</v>
      </c>
      <c r="C13" s="871"/>
      <c r="D13" s="869" t="s">
        <v>501</v>
      </c>
      <c r="E13" s="868"/>
      <c r="F13" s="1908">
        <f>'Expenditures 15-22'!K342</f>
        <v>87590</v>
      </c>
      <c r="G13" s="873"/>
    </row>
    <row r="14" spans="1:7" ht="12" customHeight="1" thickBot="1" x14ac:dyDescent="0.25">
      <c r="A14" s="1769"/>
      <c r="B14" s="1770"/>
      <c r="C14" s="1771"/>
      <c r="D14" s="1772" t="s">
        <v>501</v>
      </c>
      <c r="E14" s="1773" t="s">
        <v>958</v>
      </c>
      <c r="F14" s="1774">
        <f>SUM(F8:F13)</f>
        <v>6124417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3">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2000</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152282</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292275</v>
      </c>
      <c r="G53" s="865"/>
    </row>
    <row r="54" spans="1:7" x14ac:dyDescent="0.2">
      <c r="A54" s="869" t="s">
        <v>459</v>
      </c>
      <c r="B54" s="869" t="s">
        <v>1476</v>
      </c>
      <c r="C54" s="889" t="s">
        <v>982</v>
      </c>
      <c r="D54" s="885" t="s">
        <v>1095</v>
      </c>
      <c r="E54" s="868"/>
      <c r="F54" s="1912">
        <f>'Expenditures 15-22'!G114</f>
        <v>10753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2">
        <f>'Expenditures 15-22'!K139</f>
        <v>0</v>
      </c>
      <c r="G57" s="865"/>
    </row>
    <row r="58" spans="1:7" x14ac:dyDescent="0.2">
      <c r="A58" s="869" t="s">
        <v>460</v>
      </c>
      <c r="B58" s="869" t="s">
        <v>1882</v>
      </c>
      <c r="C58" s="886" t="s">
        <v>982</v>
      </c>
      <c r="D58" s="885" t="s">
        <v>1095</v>
      </c>
      <c r="E58" s="868"/>
      <c r="F58" s="1914">
        <f>'Expenditures 15-22'!G151</f>
        <v>38261</v>
      </c>
      <c r="G58" s="865"/>
    </row>
    <row r="59" spans="1:7" x14ac:dyDescent="0.2">
      <c r="A59" s="893" t="s">
        <v>460</v>
      </c>
      <c r="B59" s="856" t="s">
        <v>1883</v>
      </c>
      <c r="C59" s="894" t="s">
        <v>982</v>
      </c>
      <c r="D59" s="856" t="s">
        <v>291</v>
      </c>
      <c r="F59" s="1915">
        <f>'Expenditures 15-22'!I151</f>
        <v>0</v>
      </c>
      <c r="G59" s="865"/>
    </row>
    <row r="60" spans="1:7" x14ac:dyDescent="0.2">
      <c r="A60" s="893" t="s">
        <v>499</v>
      </c>
      <c r="B60" s="856" t="s">
        <v>1884</v>
      </c>
      <c r="C60" s="894">
        <v>4000</v>
      </c>
      <c r="D60" s="856" t="s">
        <v>312</v>
      </c>
      <c r="F60" s="1913">
        <f>'Expenditures 15-22'!K160</f>
        <v>0</v>
      </c>
      <c r="G60" s="865"/>
    </row>
    <row r="61" spans="1:7" x14ac:dyDescent="0.2">
      <c r="A61" s="895" t="s">
        <v>499</v>
      </c>
      <c r="B61" s="895" t="s">
        <v>1885</v>
      </c>
      <c r="C61" s="896" t="str">
        <f>'Expenditures 15-22'!B170</f>
        <v>5300</v>
      </c>
      <c r="D61" s="897" t="s">
        <v>311</v>
      </c>
      <c r="E61" s="879"/>
      <c r="F61" s="1912">
        <f>'Expenditures 15-22'!K170</f>
        <v>450000</v>
      </c>
      <c r="G61" s="865"/>
    </row>
    <row r="62" spans="1:7" x14ac:dyDescent="0.2">
      <c r="A62" s="869" t="s">
        <v>461</v>
      </c>
      <c r="B62" s="869" t="s">
        <v>1886</v>
      </c>
      <c r="C62" s="886">
        <f>'Expenditures 15-22'!B185</f>
        <v>3000</v>
      </c>
      <c r="D62" s="876" t="s">
        <v>449</v>
      </c>
      <c r="E62" s="868"/>
      <c r="F62" s="1912">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1888</v>
      </c>
      <c r="C64" s="896" t="str">
        <f>'Expenditures 15-22'!B206</f>
        <v>5300</v>
      </c>
      <c r="D64" s="892" t="s">
        <v>311</v>
      </c>
      <c r="E64" s="868"/>
      <c r="F64" s="1912">
        <f>'Expenditures 15-22'!K206</f>
        <v>0</v>
      </c>
      <c r="G64" s="865"/>
    </row>
    <row r="65" spans="1:8" x14ac:dyDescent="0.2">
      <c r="A65" s="869" t="s">
        <v>461</v>
      </c>
      <c r="B65" s="869" t="s">
        <v>1889</v>
      </c>
      <c r="C65" s="886" t="s">
        <v>982</v>
      </c>
      <c r="D65" s="885" t="s">
        <v>1095</v>
      </c>
      <c r="E65" s="868"/>
      <c r="F65" s="1912">
        <f>'Expenditures 15-22'!G210</f>
        <v>20155</v>
      </c>
      <c r="G65" s="865"/>
    </row>
    <row r="66" spans="1:8" x14ac:dyDescent="0.2">
      <c r="A66" s="869" t="s">
        <v>461</v>
      </c>
      <c r="B66" s="869" t="s">
        <v>1890</v>
      </c>
      <c r="C66" s="886" t="s">
        <v>982</v>
      </c>
      <c r="D66" s="885" t="s">
        <v>291</v>
      </c>
      <c r="E66" s="868"/>
      <c r="F66" s="1912">
        <f>'Expenditures 15-22'!I210</f>
        <v>0</v>
      </c>
      <c r="G66" s="865"/>
    </row>
    <row r="67" spans="1:8" x14ac:dyDescent="0.2">
      <c r="A67" s="869" t="s">
        <v>462</v>
      </c>
      <c r="B67" s="869" t="s">
        <v>1891</v>
      </c>
      <c r="C67" s="886" t="str">
        <f>'Expenditures 15-22'!B216</f>
        <v>1125</v>
      </c>
      <c r="D67" s="892" t="str">
        <f>'Expenditures 15-22'!A216</f>
        <v>Pre-K Programs</v>
      </c>
      <c r="E67" s="868"/>
      <c r="F67" s="1912">
        <f>'Expenditures 15-22'!K216</f>
        <v>8206</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1893</v>
      </c>
      <c r="C70" s="886">
        <f>'Expenditures 15-22'!B221</f>
        <v>1300</v>
      </c>
      <c r="D70" s="887" t="str">
        <f>'Expenditures 15-22'!A221</f>
        <v>Adult/Continuing Education Programs</v>
      </c>
      <c r="E70" s="868"/>
      <c r="F70" s="1912">
        <f>'Expenditures 15-22'!K221</f>
        <v>0</v>
      </c>
      <c r="G70" s="865"/>
    </row>
    <row r="71" spans="1:8" x14ac:dyDescent="0.2">
      <c r="A71" s="869" t="s">
        <v>462</v>
      </c>
      <c r="B71" s="869" t="s">
        <v>1894</v>
      </c>
      <c r="C71" s="886">
        <f>'Expenditures 15-22'!B224</f>
        <v>1600</v>
      </c>
      <c r="D71" s="887" t="str">
        <f>'Expenditures 15-22'!A224</f>
        <v>Summer School Programs</v>
      </c>
      <c r="E71" s="868"/>
      <c r="F71" s="1912">
        <f>'Expenditures 15-22'!K224</f>
        <v>0</v>
      </c>
      <c r="G71" s="865"/>
    </row>
    <row r="72" spans="1:8" x14ac:dyDescent="0.2">
      <c r="A72" s="869" t="s">
        <v>462</v>
      </c>
      <c r="B72" s="869" t="s">
        <v>1895</v>
      </c>
      <c r="C72" s="886">
        <f>'Expenditures 15-22'!B280</f>
        <v>3000</v>
      </c>
      <c r="D72" s="876" t="s">
        <v>449</v>
      </c>
      <c r="E72" s="868"/>
      <c r="F72" s="1912">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1897</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971932</v>
      </c>
      <c r="G76" s="865"/>
    </row>
    <row r="77" spans="1:8" s="893" customFormat="1" ht="12" customHeight="1" thickTop="1" thickBot="1" x14ac:dyDescent="0.25">
      <c r="A77" s="1778"/>
      <c r="B77" s="1775"/>
      <c r="C77" s="1771"/>
      <c r="D77" s="1776" t="s">
        <v>1899</v>
      </c>
      <c r="E77" s="1773"/>
      <c r="F77" s="1779">
        <f>(F14-F76)</f>
        <v>5152485</v>
      </c>
      <c r="G77" s="869"/>
    </row>
    <row r="78" spans="1:8" s="893" customFormat="1" ht="12" customHeight="1" thickTop="1" x14ac:dyDescent="0.2">
      <c r="A78" s="1780"/>
      <c r="B78" s="1775"/>
      <c r="C78" s="1771"/>
      <c r="D78" s="1776" t="s">
        <v>2060</v>
      </c>
      <c r="E78" s="1773"/>
      <c r="F78" s="898">
        <v>485.9</v>
      </c>
      <c r="G78" s="899"/>
      <c r="H78" s="869"/>
    </row>
    <row r="79" spans="1:8" s="893" customFormat="1" ht="12" customHeight="1" thickBot="1" x14ac:dyDescent="0.25">
      <c r="A79" s="1781"/>
      <c r="B79" s="1775"/>
      <c r="C79" s="1771"/>
      <c r="D79" s="1776" t="s">
        <v>1900</v>
      </c>
      <c r="E79" s="1773" t="s">
        <v>958</v>
      </c>
      <c r="F79" s="1782">
        <f>IF(F78&gt;0,F77/F78," Complete Line 78")</f>
        <v>10604.002881251286</v>
      </c>
      <c r="G79" s="869"/>
    </row>
    <row r="80" spans="1:8" s="893" customFormat="1" ht="8.25" customHeight="1" thickTop="1" x14ac:dyDescent="0.2">
      <c r="A80" s="900"/>
      <c r="B80" s="869"/>
      <c r="C80" s="871"/>
      <c r="D80" s="901"/>
      <c r="E80" s="868"/>
      <c r="F80" s="902"/>
      <c r="G80" s="869"/>
    </row>
    <row r="81" spans="1:7" s="893" customFormat="1" ht="12" thickBot="1" x14ac:dyDescent="0.25">
      <c r="A81" s="2284" t="s">
        <v>1105</v>
      </c>
      <c r="B81" s="2285"/>
      <c r="C81" s="2285"/>
      <c r="D81" s="2285"/>
      <c r="E81" s="2285"/>
      <c r="F81" s="228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68912</v>
      </c>
      <c r="G94" s="912"/>
    </row>
    <row r="95" spans="1:7" x14ac:dyDescent="0.2">
      <c r="A95" s="908" t="s">
        <v>140</v>
      </c>
      <c r="B95" s="908" t="s">
        <v>175</v>
      </c>
      <c r="C95" s="910">
        <v>1700</v>
      </c>
      <c r="D95" s="918" t="str">
        <f>'Revenues 9-14'!A82</f>
        <v>Total District/School Activity Income</v>
      </c>
      <c r="E95" s="906"/>
      <c r="F95" s="1788">
        <f>SUM('Revenues 9-14'!C82,'Revenues 9-14'!D82)</f>
        <v>69706</v>
      </c>
      <c r="G95" s="912"/>
    </row>
    <row r="96" spans="1:7" x14ac:dyDescent="0.2">
      <c r="A96" s="908" t="s">
        <v>459</v>
      </c>
      <c r="B96" s="908" t="s">
        <v>176</v>
      </c>
      <c r="C96" s="910">
        <f>'Revenues 9-14'!B84</f>
        <v>1811</v>
      </c>
      <c r="D96" s="911" t="str">
        <f>'Revenues 9-14'!A84</f>
        <v>Rentals - Regular Textbooks</v>
      </c>
      <c r="E96" s="906"/>
      <c r="F96" s="1788">
        <f>'Revenues 9-14'!C84</f>
        <v>46580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17458</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24598</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13701</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1667</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7161</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165939</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6">
        <f>SUM('Revenues 9-14'!C163:G163)</f>
        <v>0</v>
      </c>
      <c r="G118" s="912"/>
    </row>
    <row r="119" spans="1:7" x14ac:dyDescent="0.2">
      <c r="A119" s="923" t="s">
        <v>504</v>
      </c>
      <c r="B119" s="923" t="s">
        <v>2015</v>
      </c>
      <c r="C119" s="924">
        <f>'Revenues 9-14'!B164</f>
        <v>3815</v>
      </c>
      <c r="D119" s="925" t="str">
        <f>'Revenues 9-14'!A164</f>
        <v>State Charter Schools</v>
      </c>
      <c r="E119" s="906"/>
      <c r="F119" s="1906">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19014</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8">
        <f>SUM('Revenues 9-14'!C198,'Revenues 9-14'!G198)</f>
        <v>96487</v>
      </c>
      <c r="G125" s="930"/>
    </row>
    <row r="126" spans="1:7" x14ac:dyDescent="0.2">
      <c r="A126" s="927" t="s">
        <v>668</v>
      </c>
      <c r="B126" s="927" t="s">
        <v>2022</v>
      </c>
      <c r="C126" s="932">
        <v>4300</v>
      </c>
      <c r="D126" s="933" t="str">
        <f>'Revenues 9-14'!A204</f>
        <v>Total Title I</v>
      </c>
      <c r="E126" s="906"/>
      <c r="F126" s="1788">
        <f>SUM('Revenues 9-14'!C204,'Revenues 9-14'!D204,'Revenues 9-14'!F204,'Revenues 9-14'!G204)</f>
        <v>140979</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52215</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6">
        <f>SUM('Revenues 9-14'!C259,'Revenues 9-14'!D259,'Revenues 9-14'!F259,'Revenues 9-14'!G259)</f>
        <v>10982</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14122</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1919</v>
      </c>
      <c r="C171" s="1919">
        <v>3100</v>
      </c>
      <c r="D171" s="1920" t="s">
        <v>1921</v>
      </c>
      <c r="E171" s="906"/>
      <c r="F171" s="1905"/>
      <c r="G171" s="927"/>
    </row>
    <row r="172" spans="1:7" x14ac:dyDescent="0.2">
      <c r="A172" s="1917" t="s">
        <v>664</v>
      </c>
      <c r="B172" s="1918" t="s">
        <v>1919</v>
      </c>
      <c r="C172" s="1919">
        <v>3300</v>
      </c>
      <c r="D172" s="1920" t="s">
        <v>1922</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749521</v>
      </c>
    </row>
    <row r="175" spans="1:7" ht="12" customHeight="1" x14ac:dyDescent="0.2">
      <c r="A175" s="1769"/>
      <c r="B175" s="1783"/>
      <c r="C175" s="1784"/>
      <c r="D175" s="1785" t="s">
        <v>2055</v>
      </c>
      <c r="E175" s="1786"/>
      <c r="F175" s="1788">
        <f>'PCTC-OEPP 27-28'!F77-F174</f>
        <v>4402964</v>
      </c>
    </row>
    <row r="176" spans="1:7" ht="12" customHeight="1" x14ac:dyDescent="0.2">
      <c r="A176" s="1769"/>
      <c r="B176" s="1783"/>
      <c r="C176" s="1784"/>
      <c r="D176" s="1785" t="s">
        <v>1817</v>
      </c>
      <c r="E176" s="1786"/>
      <c r="F176" s="1788">
        <f>'Cap Outlay Deprec 26'!I18</f>
        <v>222252</v>
      </c>
    </row>
    <row r="177" spans="1:7" ht="12" customHeight="1" x14ac:dyDescent="0.2">
      <c r="A177" s="1769"/>
      <c r="B177" s="1783"/>
      <c r="C177" s="1784"/>
      <c r="D177" s="1785" t="s">
        <v>2056</v>
      </c>
      <c r="E177" s="1786"/>
      <c r="F177" s="1788">
        <f>F175+F176</f>
        <v>4625216</v>
      </c>
    </row>
    <row r="178" spans="1:7" ht="12" customHeight="1" x14ac:dyDescent="0.2">
      <c r="A178" s="1769"/>
      <c r="B178" s="1789"/>
      <c r="C178" s="1784"/>
      <c r="D178" s="1785" t="str">
        <f>D78</f>
        <v>9 Month ADA from District Average Daily Attendance/Prior General State Aid Inquiry 2018-2019</v>
      </c>
      <c r="E178" s="1786"/>
      <c r="F178" s="1790">
        <f>'PCTC-OEPP 27-28'!F78</f>
        <v>485.9</v>
      </c>
      <c r="G178" s="930"/>
    </row>
    <row r="179" spans="1:7" ht="12" customHeight="1" thickBot="1" x14ac:dyDescent="0.25">
      <c r="A179" s="1769"/>
      <c r="B179" s="1789"/>
      <c r="C179" s="1784"/>
      <c r="D179" s="1785" t="s">
        <v>2057</v>
      </c>
      <c r="E179" s="1786" t="s">
        <v>1545</v>
      </c>
      <c r="F179" s="1791">
        <f>F177/F178</f>
        <v>9518.8639637785564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9"/>
      <c r="D184" s="930"/>
      <c r="E184" s="949"/>
      <c r="F184" s="930"/>
      <c r="G184" s="930"/>
    </row>
    <row r="185" spans="1:7" x14ac:dyDescent="0.2">
      <c r="A185" s="1925" t="s">
        <v>1924</v>
      </c>
      <c r="B185" s="1926"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 right="0.5" top="1.25" bottom="0.75" header="1" footer="0.25"/>
  <pageSetup scale="67" firstPageNumber="27" orientation="portrait" useFirstPageNumber="1" r:id="rId2"/>
  <headerFooter differentOddEven="1" alignWithMargins="0">
    <oddHeader>&amp;C &amp;R&amp;8Page &amp;P</oddHeader>
    <oddFooter>&amp;CReference should be made to auditor's report regarding this information.
48&amp;R&amp;8Print Date: &amp;D
&amp;F</oddFooter>
    <evenFooter>&amp;CReference should be made to auditor's report regarding this information.
49</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A17" sqref="A17"/>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98" t="s">
        <v>1818</v>
      </c>
      <c r="B4" s="2299"/>
      <c r="C4" s="2299"/>
      <c r="D4" s="2299"/>
      <c r="E4" s="2299"/>
      <c r="F4" s="2299"/>
      <c r="G4" s="2300"/>
    </row>
    <row r="5" spans="1:7" x14ac:dyDescent="0.25">
      <c r="A5" s="2301"/>
      <c r="B5" s="2302"/>
      <c r="C5" s="2302"/>
      <c r="D5" s="2302"/>
      <c r="E5" s="2302"/>
      <c r="F5" s="2302"/>
      <c r="G5" s="2303"/>
    </row>
    <row r="6" spans="1:7" ht="18.75" x14ac:dyDescent="0.25">
      <c r="A6" s="1533" t="s">
        <v>1819</v>
      </c>
      <c r="B6" s="1534"/>
      <c r="C6" s="1534"/>
      <c r="D6" s="1534"/>
      <c r="E6" s="1534"/>
      <c r="F6" s="1534"/>
      <c r="G6" s="1535"/>
    </row>
    <row r="7" spans="1:7" ht="30.75" customHeight="1" x14ac:dyDescent="0.25">
      <c r="A7" s="2304" t="s">
        <v>1931</v>
      </c>
      <c r="B7" s="2305"/>
      <c r="C7" s="2305"/>
      <c r="D7" s="2305"/>
      <c r="E7" s="2305"/>
      <c r="F7" s="2305"/>
      <c r="G7" s="2306"/>
    </row>
    <row r="8" spans="1:7" ht="15.75" customHeight="1" x14ac:dyDescent="0.25">
      <c r="A8" s="2307" t="s">
        <v>1906</v>
      </c>
      <c r="B8" s="2308"/>
      <c r="C8" s="2308"/>
      <c r="D8" s="2308"/>
      <c r="E8" s="2308"/>
      <c r="F8" s="2308"/>
      <c r="G8" s="2309"/>
    </row>
    <row r="9" spans="1:7" ht="35.25" customHeight="1" x14ac:dyDescent="0.25">
      <c r="A9" s="2304" t="s">
        <v>2063</v>
      </c>
      <c r="B9" s="2305"/>
      <c r="C9" s="2305"/>
      <c r="D9" s="2305"/>
      <c r="E9" s="2305"/>
      <c r="F9" s="2305"/>
      <c r="G9" s="2306"/>
    </row>
    <row r="10" spans="1:7" ht="15" customHeight="1" x14ac:dyDescent="0.25">
      <c r="A10" s="1536" t="s">
        <v>1820</v>
      </c>
      <c r="B10" s="1537"/>
      <c r="C10" s="1537"/>
      <c r="D10" s="1537"/>
      <c r="E10" s="1537"/>
      <c r="F10" s="1537"/>
      <c r="G10" s="1538"/>
    </row>
    <row r="11" spans="1:7" ht="17.25" customHeight="1" x14ac:dyDescent="0.25">
      <c r="A11" s="2304" t="s">
        <v>1933</v>
      </c>
      <c r="B11" s="2305"/>
      <c r="C11" s="2305"/>
      <c r="D11" s="2305"/>
      <c r="E11" s="2305"/>
      <c r="F11" s="2305"/>
      <c r="G11" s="2306"/>
    </row>
    <row r="12" spans="1:7" ht="15" customHeight="1" x14ac:dyDescent="0.25">
      <c r="A12" s="1536" t="s">
        <v>1825</v>
      </c>
      <c r="B12" s="1537"/>
      <c r="C12" s="1537"/>
      <c r="D12" s="1537"/>
      <c r="E12" s="1537"/>
      <c r="F12" s="1537"/>
      <c r="G12" s="1538"/>
    </row>
    <row r="13" spans="1:7" ht="32.25" customHeight="1" x14ac:dyDescent="0.25">
      <c r="A13" s="2295" t="s">
        <v>1974</v>
      </c>
      <c r="B13" s="2296"/>
      <c r="C13" s="2296"/>
      <c r="D13" s="2296"/>
      <c r="E13" s="2296"/>
      <c r="F13" s="2296"/>
      <c r="G13" s="2297"/>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66" t="s">
        <v>2208</v>
      </c>
      <c r="B17" s="1967"/>
      <c r="C17" s="1968"/>
      <c r="D17" s="1843"/>
      <c r="E17" s="1539">
        <f t="shared" ref="E17:E141" si="0">IF(D17&lt;=25000,D17,IF(D17&gt;25000,25000,0))</f>
        <v>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652"/>
      <c r="B18" s="1933"/>
      <c r="C18" s="1655"/>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0</v>
      </c>
      <c r="E141" s="1540">
        <f t="shared" si="0"/>
        <v>0</v>
      </c>
      <c r="F141" s="1932">
        <f>SUM(F17:F140)</f>
        <v>0</v>
      </c>
      <c r="G141" s="1794">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 bottom="0.75" header="1" footer="0.25"/>
  <pageSetup scale="78" firstPageNumber="30" fitToHeight="0" orientation="landscape" r:id="rId1"/>
  <headerFooter>
    <oddHeader>&amp;RPage 29</oddHeader>
    <oddFooter>&amp;CReference should be made to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0" t="s">
        <v>1679</v>
      </c>
      <c r="B5" s="2311"/>
      <c r="C5" s="2311"/>
      <c r="D5" s="2311"/>
      <c r="E5" s="2311"/>
      <c r="F5" s="2311"/>
      <c r="G5" s="2312"/>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149635</v>
      </c>
      <c r="F10" s="974"/>
      <c r="G10" s="975"/>
      <c r="H10" s="162"/>
      <c r="I10" s="162"/>
    </row>
    <row r="11" spans="1:9" s="668" customFormat="1" ht="22.5" customHeight="1" x14ac:dyDescent="0.2">
      <c r="A11" s="2315" t="s">
        <v>1975</v>
      </c>
      <c r="B11" s="2316"/>
      <c r="C11" s="2316"/>
      <c r="D11" s="2317"/>
      <c r="E11" s="977">
        <v>13943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2958163</v>
      </c>
      <c r="F19" s="1798"/>
      <c r="G19" s="1800">
        <f>'Expenditures 15-22'!K33-SUM('Expenditures 15-22'!G33,'Expenditures 15-22'!I33)+'Expenditures 15-22'!D229</f>
        <v>2958163</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393180</v>
      </c>
      <c r="F21" s="1801"/>
      <c r="G21" s="1804">
        <f>'Expenditures 15-22'!K42-SUM('Expenditures 15-22'!G42,'Expenditures 15-22'!I42)+'Expenditures 15-22'!K120-SUM('Expenditures 15-22'!G120,'Expenditures 15-22'!I120)+'Expenditures 15-22'!K180-SUM('Expenditures 15-22'!G180,'Expenditures 15-22'!I180)+'Expenditures 15-22'!D238</f>
        <v>393180</v>
      </c>
      <c r="H21" s="987"/>
      <c r="I21" s="162"/>
    </row>
    <row r="22" spans="1:9" s="668" customFormat="1" ht="12" customHeight="1" x14ac:dyDescent="0.2">
      <c r="A22" s="994" t="s">
        <v>564</v>
      </c>
      <c r="B22" s="995"/>
      <c r="C22" s="993">
        <v>2200</v>
      </c>
      <c r="D22" s="1801"/>
      <c r="E22" s="1803">
        <f>'Expenditures 15-22'!K47-SUM('Expenditures 15-22'!G47,'Expenditures 15-22'!I47)+'Expenditures 15-22'!D243</f>
        <v>56930</v>
      </c>
      <c r="F22" s="1801"/>
      <c r="G22" s="1804">
        <f>'Expenditures 15-22'!K47-SUM('Expenditures 15-22'!G47,'Expenditures 15-22'!I47)+'Expenditures 15-22'!D243</f>
        <v>56930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306323</v>
      </c>
      <c r="F23" s="1801"/>
      <c r="G23" s="1803">
        <f>'Expenditures 15-22'!K53-SUM('Expenditures 15-22'!G53,'Expenditures 15-22'!I53)+'Expenditures 15-22'!D257+'Expenditures 15-22'!K330-SUM('Expenditures 15-22'!G330,'Expenditures 15-22'!I330)</f>
        <v>306323</v>
      </c>
      <c r="H23" s="987"/>
      <c r="I23" s="162"/>
    </row>
    <row r="24" spans="1:9" s="668" customFormat="1" ht="12" customHeight="1" x14ac:dyDescent="0.2">
      <c r="A24" s="994" t="s">
        <v>566</v>
      </c>
      <c r="B24" s="995"/>
      <c r="C24" s="993">
        <v>2400</v>
      </c>
      <c r="D24" s="1801"/>
      <c r="E24" s="1803">
        <f>'Expenditures 15-22'!K57-SUM('Expenditures 15-22'!G57,'Expenditures 15-22'!I57)+'Expenditures 15-22'!D261</f>
        <v>270025</v>
      </c>
      <c r="F24" s="1801"/>
      <c r="G24" s="1804">
        <f>'Expenditures 15-22'!K57-SUM('Expenditures 15-22'!G57,'Expenditures 15-22'!I57)+'Expenditures 15-22'!D261</f>
        <v>270025</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74519</v>
      </c>
      <c r="E27" s="1803">
        <f>E8</f>
        <v>0</v>
      </c>
      <c r="F27" s="1803">
        <f>'Expenditures 15-22'!K60-SUM('Expenditures 15-22'!G60,'Expenditures 15-22'!I60)+'Expenditures 15-22'!D264-E8</f>
        <v>74519</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488966</v>
      </c>
      <c r="F28" s="1805">
        <f>'Expenditures 15-22'!K61-SUM('Expenditures 15-22'!G61,'Expenditures 15-22'!I61)+'Expenditures 15-22'!K124-SUM('Expenditures 15-22'!G124,'Expenditures 15-22'!I124)+'Expenditures 15-22'!D266-E9</f>
        <v>488966</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435607</v>
      </c>
      <c r="F29" s="1801"/>
      <c r="G29" s="1804">
        <f>'Expenditures 15-22'!K62-SUM('Expenditures 15-22'!G62,'Expenditures 15-22'!I62)+'Expenditures 15-22'!K125-SUM('Expenditures 15-22'!G125,'Expenditures 15-22'!I125)+'Expenditures 15-22'!K182-SUM('Expenditures 15-22'!G182,'Expenditures 15-22'!I182)+'Expenditures 15-22'!D267</f>
        <v>435607</v>
      </c>
      <c r="H29" s="985"/>
    </row>
    <row r="30" spans="1:9" ht="12" customHeight="1" x14ac:dyDescent="0.2">
      <c r="A30" s="994" t="s">
        <v>100</v>
      </c>
      <c r="B30" s="997"/>
      <c r="C30" s="993">
        <v>2560</v>
      </c>
      <c r="D30" s="1801"/>
      <c r="E30" s="1803">
        <f>'Expenditures 15-22'!K63-SUM('Expenditures 15-22'!G63,'Expenditures 15-22'!I63)+'Expenditures 15-22'!D268-E10</f>
        <v>9063</v>
      </c>
      <c r="F30" s="1801"/>
      <c r="G30" s="1803">
        <f>'Expenditures 15-22'!K63-SUM('Expenditures 15-22'!G63,'Expenditures 15-22'!I63)+'Expenditures 15-22'!D268-E10</f>
        <v>9063</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0</v>
      </c>
      <c r="F40" s="1801"/>
      <c r="G40" s="1805">
        <f>-'Contracts Paid in CY 29'!G141</f>
        <v>0</v>
      </c>
    </row>
    <row r="41" spans="1:7" ht="12" customHeight="1" x14ac:dyDescent="0.2">
      <c r="A41" s="998" t="s">
        <v>156</v>
      </c>
      <c r="B41" s="999"/>
      <c r="C41" s="1000"/>
      <c r="D41" s="1805">
        <f>SUM(D19:D39)</f>
        <v>74519</v>
      </c>
      <c r="E41" s="1805">
        <f>SUM(E19:E40)</f>
        <v>4918257</v>
      </c>
      <c r="F41" s="1805">
        <f>SUM(F19:F39)</f>
        <v>563485</v>
      </c>
      <c r="G41" s="1805">
        <f>SUM(G19:G40)</f>
        <v>4429291</v>
      </c>
    </row>
    <row r="42" spans="1:7" x14ac:dyDescent="0.2">
      <c r="A42" s="987"/>
      <c r="B42" s="162"/>
      <c r="C42" s="1001"/>
      <c r="D42" s="2313" t="s">
        <v>522</v>
      </c>
      <c r="E42" s="2314"/>
      <c r="F42" s="1002" t="s">
        <v>523</v>
      </c>
      <c r="G42" s="1003"/>
    </row>
    <row r="43" spans="1:7" ht="12" customHeight="1" x14ac:dyDescent="0.2">
      <c r="A43" s="987"/>
      <c r="B43" s="162"/>
      <c r="C43" s="1001"/>
      <c r="D43" s="1806" t="s">
        <v>473</v>
      </c>
      <c r="E43" s="1807">
        <f>D41</f>
        <v>74519</v>
      </c>
      <c r="F43" s="1806" t="s">
        <v>473</v>
      </c>
      <c r="G43" s="1807">
        <f>F41</f>
        <v>563485</v>
      </c>
    </row>
    <row r="44" spans="1:7" ht="12" customHeight="1" x14ac:dyDescent="0.2">
      <c r="A44" s="987"/>
      <c r="B44" s="162"/>
      <c r="C44" s="1001"/>
      <c r="D44" s="1806" t="s">
        <v>474</v>
      </c>
      <c r="E44" s="1807">
        <f>E41</f>
        <v>4918257</v>
      </c>
      <c r="F44" s="1806" t="s">
        <v>474</v>
      </c>
      <c r="G44" s="1807">
        <f>G41</f>
        <v>4429291</v>
      </c>
    </row>
    <row r="45" spans="1:7" ht="12" customHeight="1" x14ac:dyDescent="0.2">
      <c r="A45" s="987"/>
      <c r="B45" s="162"/>
      <c r="C45" s="162"/>
      <c r="D45" s="1808" t="s">
        <v>1006</v>
      </c>
      <c r="E45" s="1809">
        <f>(E43/E44)</f>
        <v>1.5151505909512253E-2</v>
      </c>
      <c r="F45" s="1808" t="s">
        <v>1006</v>
      </c>
      <c r="G45" s="1809">
        <f>(G43/G44)</f>
        <v>0.12721787753389877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0.5" right="0.5" top="1.35" bottom="0.5" header="1" footer="0.25"/>
  <pageSetup scale="76"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5" activePane="bottomLeft" state="frozen"/>
      <selection activeCell="A47" sqref="A47"/>
      <selection pane="bottomLeft" activeCell="A26" sqref="A2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21" t="s">
        <v>1379</v>
      </c>
      <c r="B1" s="2321"/>
      <c r="C1" s="2321"/>
      <c r="D1" s="2321"/>
      <c r="E1" s="2321"/>
      <c r="F1" s="2321"/>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322" t="s">
        <v>1546</v>
      </c>
      <c r="B5" s="2323"/>
      <c r="C5" s="2324"/>
      <c r="D5" s="2324"/>
      <c r="E5" s="2324"/>
      <c r="F5" s="2324"/>
    </row>
    <row r="6" spans="1:10" ht="12" customHeight="1" x14ac:dyDescent="0.25">
      <c r="A6" s="1849"/>
      <c r="B6" s="1850"/>
      <c r="C6" s="2325" t="str">
        <f>COVER!A17</f>
        <v>Tri City CUSD 1</v>
      </c>
      <c r="D6" s="2325"/>
      <c r="E6" s="2325"/>
      <c r="F6" s="1851"/>
    </row>
    <row r="7" spans="1:10" ht="11.25" customHeight="1" thickBot="1" x14ac:dyDescent="0.3">
      <c r="A7" s="1849"/>
      <c r="B7" s="1850"/>
      <c r="C7" s="2326">
        <f>COVER!A13</f>
        <v>51084001026</v>
      </c>
      <c r="D7" s="2326"/>
      <c r="E7" s="2326"/>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t="s">
        <v>2064</v>
      </c>
      <c r="D20" s="1864" t="s">
        <v>2064</v>
      </c>
      <c r="E20" s="1867" t="s">
        <v>2064</v>
      </c>
      <c r="F20" s="1866" t="s">
        <v>2209</v>
      </c>
      <c r="H20" s="1877">
        <f t="shared" si="0"/>
        <v>5</v>
      </c>
      <c r="I20" s="1877">
        <f t="shared" si="1"/>
        <v>5</v>
      </c>
      <c r="J20" s="1877">
        <f t="shared" si="2"/>
        <v>5</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t="s">
        <v>2064</v>
      </c>
      <c r="F26" s="1866" t="s">
        <v>2210</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2064</v>
      </c>
      <c r="D31" s="1864" t="s">
        <v>2064</v>
      </c>
      <c r="E31" s="1867" t="s">
        <v>2064</v>
      </c>
      <c r="F31" s="1866" t="s">
        <v>2211</v>
      </c>
      <c r="H31" s="1877">
        <f t="shared" si="0"/>
        <v>5</v>
      </c>
      <c r="I31" s="1877">
        <f t="shared" si="1"/>
        <v>5</v>
      </c>
      <c r="J31" s="1877">
        <f t="shared" si="2"/>
        <v>5</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t="s">
        <v>2064</v>
      </c>
      <c r="D33" s="1864" t="s">
        <v>2064</v>
      </c>
      <c r="E33" s="1867" t="s">
        <v>2064</v>
      </c>
      <c r="F33" s="1866" t="s">
        <v>2212</v>
      </c>
      <c r="H33" s="1877">
        <f t="shared" si="0"/>
        <v>5</v>
      </c>
      <c r="I33" s="1877">
        <f t="shared" si="1"/>
        <v>5</v>
      </c>
      <c r="J33" s="1877">
        <f t="shared" si="2"/>
        <v>5</v>
      </c>
    </row>
    <row r="34" spans="1:11" ht="12" customHeight="1" x14ac:dyDescent="0.25">
      <c r="A34" s="1869"/>
      <c r="B34" s="1869"/>
      <c r="C34" s="1869"/>
      <c r="D34" s="1869"/>
      <c r="E34" s="1869"/>
      <c r="F34" s="1869"/>
      <c r="H34" s="1877">
        <f>SUM(H11:H32)</f>
        <v>15</v>
      </c>
      <c r="I34" s="1877">
        <f>SUM(I11:I32)</f>
        <v>15</v>
      </c>
      <c r="J34" s="1877">
        <f>SUM(J11:J32)</f>
        <v>15</v>
      </c>
      <c r="K34" s="1877">
        <f>SUM(H34:J34)</f>
        <v>45</v>
      </c>
    </row>
    <row r="35" spans="1:11" ht="12" customHeight="1" x14ac:dyDescent="0.2">
      <c r="A35" s="1870" t="s">
        <v>1392</v>
      </c>
      <c r="B35" s="1871"/>
      <c r="C35" s="2327"/>
      <c r="D35" s="2327"/>
      <c r="E35" s="2327"/>
      <c r="F35" s="2328"/>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32"/>
      <c r="B38" s="2333"/>
      <c r="C38" s="2333"/>
      <c r="D38" s="2333"/>
      <c r="E38" s="2333"/>
      <c r="F38" s="2334"/>
    </row>
    <row r="39" spans="1:11" ht="4.5" hidden="1" customHeight="1" x14ac:dyDescent="0.2">
      <c r="A39" s="1872"/>
      <c r="B39" s="1872"/>
      <c r="C39" s="1872"/>
      <c r="D39" s="1872"/>
      <c r="E39" s="1872"/>
      <c r="F39" s="1872"/>
    </row>
    <row r="40" spans="1:11" s="1869" customFormat="1" ht="12" customHeight="1" x14ac:dyDescent="0.25">
      <c r="A40" s="1873" t="s">
        <v>1391</v>
      </c>
      <c r="B40" s="1874"/>
      <c r="C40" s="2335"/>
      <c r="D40" s="2335"/>
      <c r="E40" s="2335"/>
      <c r="F40" s="2336"/>
      <c r="H40" s="1878"/>
      <c r="I40" s="1878"/>
      <c r="J40" s="1878"/>
      <c r="K40" s="1878"/>
    </row>
    <row r="41" spans="1:11" s="1869" customFormat="1" ht="12" customHeight="1" x14ac:dyDescent="0.25">
      <c r="A41" s="2337"/>
      <c r="B41" s="2338"/>
      <c r="C41" s="2338"/>
      <c r="D41" s="2338"/>
      <c r="E41" s="2338"/>
      <c r="F41" s="2339"/>
      <c r="H41" s="1878"/>
      <c r="I41" s="1878"/>
      <c r="J41" s="1878"/>
      <c r="K41" s="1878"/>
    </row>
    <row r="42" spans="1:11" s="1869" customFormat="1" ht="12" customHeight="1" x14ac:dyDescent="0.25">
      <c r="A42" s="2337"/>
      <c r="B42" s="2338"/>
      <c r="C42" s="2338"/>
      <c r="D42" s="2338"/>
      <c r="E42" s="2338"/>
      <c r="F42" s="2339"/>
      <c r="H42" s="1878"/>
      <c r="I42" s="1878"/>
      <c r="J42" s="1878"/>
      <c r="K42" s="1878"/>
    </row>
    <row r="43" spans="1:11" s="1869" customFormat="1" ht="15" x14ac:dyDescent="0.25">
      <c r="A43" s="2329"/>
      <c r="B43" s="2330"/>
      <c r="C43" s="2330"/>
      <c r="D43" s="2330"/>
      <c r="E43" s="2330"/>
      <c r="F43" s="2331"/>
      <c r="H43" s="1878"/>
      <c r="I43" s="1878"/>
      <c r="J43" s="1878"/>
      <c r="K43" s="1878"/>
    </row>
    <row r="44" spans="1:11" s="1869" customFormat="1" ht="12" hidden="1" customHeight="1" x14ac:dyDescent="0.25">
      <c r="A44" s="2329"/>
      <c r="B44" s="2330"/>
      <c r="C44" s="2330"/>
      <c r="D44" s="2330"/>
      <c r="E44" s="2330"/>
      <c r="F44" s="2331"/>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 bottom="0.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colorId="8" zoomScale="110" zoomScaleNormal="110" workbookViewId="0">
      <selection activeCell="P28" sqref="P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45" t="str">
        <f>COVER!A17</f>
        <v>Tri City CUSD 1</v>
      </c>
      <c r="J6" s="2346"/>
      <c r="Q6" s="1663"/>
    </row>
    <row r="7" spans="1:17" x14ac:dyDescent="0.2">
      <c r="A7" s="2347" t="s">
        <v>869</v>
      </c>
      <c r="B7" s="2348"/>
      <c r="C7" s="2348"/>
      <c r="D7" s="2348"/>
      <c r="E7" s="2349"/>
      <c r="F7" s="1017"/>
      <c r="G7" s="1009"/>
      <c r="H7" s="1016" t="s">
        <v>372</v>
      </c>
      <c r="I7" s="2350">
        <f>COVER!A13</f>
        <v>51084001026</v>
      </c>
      <c r="J7" s="2350"/>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1977</v>
      </c>
      <c r="F9" s="1023"/>
      <c r="G9" s="1023"/>
      <c r="H9" s="1895"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1" t="s">
        <v>481</v>
      </c>
      <c r="B11" s="2352"/>
      <c r="C11" s="235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167730</v>
      </c>
      <c r="F12" s="1039"/>
      <c r="G12" s="1810">
        <f t="shared" ref="G12:G18" si="0">SUM(E12:F12)</f>
        <v>167730</v>
      </c>
      <c r="H12" s="1040">
        <v>167800</v>
      </c>
      <c r="I12" s="1039"/>
      <c r="J12" s="1810">
        <f t="shared" ref="J12:J18" si="1">SUM(H12:I12)</f>
        <v>167800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54" t="s">
        <v>7</v>
      </c>
      <c r="C18" s="2355"/>
      <c r="D18" s="2356"/>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167730</v>
      </c>
      <c r="F19" s="1812">
        <f t="shared" si="2"/>
        <v>0</v>
      </c>
      <c r="G19" s="1812">
        <f t="shared" si="2"/>
        <v>167730</v>
      </c>
      <c r="H19" s="1812">
        <f t="shared" si="2"/>
        <v>167800</v>
      </c>
      <c r="I19" s="1812">
        <f t="shared" si="2"/>
        <v>0</v>
      </c>
      <c r="J19" s="1812">
        <f t="shared" si="2"/>
        <v>167800</v>
      </c>
    </row>
    <row r="20" spans="1:10" ht="13.5" thickTop="1" x14ac:dyDescent="0.2">
      <c r="A20" s="1035">
        <v>9</v>
      </c>
      <c r="B20" s="2357" t="s">
        <v>1979</v>
      </c>
      <c r="C20" s="2357"/>
      <c r="D20" s="2358"/>
      <c r="E20" s="1046"/>
      <c r="F20" s="1046"/>
      <c r="G20" s="1046"/>
      <c r="H20" s="1046"/>
      <c r="I20" s="1046"/>
      <c r="J20" s="1813">
        <f>IF(AND(G19&gt;0,J19&gt;0),(((J19-G19)/G19)),"Enter Budget Data")</f>
        <v>4.1733738746795447E-4</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63"/>
      <c r="D26" s="2363"/>
      <c r="E26" s="1050"/>
      <c r="F26" s="2362">
        <v>43734</v>
      </c>
      <c r="G26" s="2362"/>
    </row>
    <row r="27" spans="1:10" x14ac:dyDescent="0.2">
      <c r="B27" s="1047"/>
      <c r="C27" s="1051" t="s">
        <v>1033</v>
      </c>
      <c r="D27" s="1052"/>
      <c r="E27" s="1053"/>
      <c r="F27" s="2359" t="s">
        <v>1509</v>
      </c>
      <c r="G27" s="2359"/>
    </row>
    <row r="28" spans="1:10" ht="28.5" customHeight="1" x14ac:dyDescent="0.2">
      <c r="B28" s="1047"/>
      <c r="C28" s="2361" t="s">
        <v>2077</v>
      </c>
      <c r="D28" s="2361"/>
      <c r="E28" s="1054"/>
      <c r="F28" s="2361" t="s">
        <v>2078</v>
      </c>
      <c r="G28" s="2361"/>
    </row>
    <row r="29" spans="1:10" x14ac:dyDescent="0.2">
      <c r="B29" s="1047"/>
      <c r="C29" s="1055" t="s">
        <v>1561</v>
      </c>
      <c r="E29" s="1056"/>
      <c r="F29" s="2360" t="s">
        <v>1510</v>
      </c>
      <c r="G29" s="236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2" t="s">
        <v>132</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2"/>
    </row>
    <row r="36" spans="1:10" ht="13.5" customHeight="1" x14ac:dyDescent="0.2">
      <c r="B36" s="1061"/>
      <c r="C36" s="2344" t="s">
        <v>1981</v>
      </c>
      <c r="D36" s="2343"/>
      <c r="E36" s="2343"/>
      <c r="F36" s="2343"/>
      <c r="G36" s="2343"/>
      <c r="H36" s="2343"/>
      <c r="I36" s="2343"/>
      <c r="J36" s="1063"/>
    </row>
    <row r="37" spans="1:10" ht="22.5" customHeight="1" x14ac:dyDescent="0.2">
      <c r="C37" s="2343"/>
      <c r="D37" s="2343"/>
      <c r="E37" s="2343"/>
      <c r="F37" s="2343"/>
      <c r="G37" s="2343"/>
      <c r="H37" s="2343"/>
      <c r="I37" s="2343"/>
      <c r="J37" s="1063"/>
    </row>
    <row r="38" spans="1:10" ht="7.5" customHeight="1" x14ac:dyDescent="0.2">
      <c r="C38" s="1062"/>
      <c r="D38" s="1064"/>
      <c r="E38" s="1065"/>
      <c r="F38" s="1066"/>
      <c r="G38" s="1065"/>
    </row>
    <row r="39" spans="1:10" ht="13.5" customHeight="1" x14ac:dyDescent="0.2">
      <c r="B39" s="1061"/>
      <c r="C39" s="2340" t="s">
        <v>882</v>
      </c>
      <c r="D39" s="2341"/>
      <c r="E39" s="2341"/>
      <c r="F39" s="2341"/>
      <c r="G39" s="2341"/>
      <c r="H39" s="2341"/>
      <c r="I39" s="234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 bottom="0.5" header="1" footer="0.25"/>
  <pageSetup scale="89" firstPageNumber="31" orientation="landscape" useFirstPageNumber="1" r:id="rId1"/>
  <headerFooter alignWithMargins="0">
    <oddHeader>&amp;L&amp;8Page 32&amp;C &amp;R&amp;8Page 32</oddHeader>
    <oddFooter>&amp;CReference should be made to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topLeftCell="A7" zoomScale="110" zoomScaleNormal="110" workbookViewId="0">
      <selection activeCell="A21" sqref="A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2213</v>
      </c>
    </row>
    <row r="6" spans="1:2" x14ac:dyDescent="0.2">
      <c r="A6" s="1068"/>
    </row>
    <row r="7" spans="1:2" x14ac:dyDescent="0.2">
      <c r="A7" s="1068">
        <v>2</v>
      </c>
      <c r="B7" s="329" t="s">
        <v>2214</v>
      </c>
    </row>
    <row r="8" spans="1:2" x14ac:dyDescent="0.2">
      <c r="A8" s="1068"/>
    </row>
    <row r="9" spans="1:2" x14ac:dyDescent="0.2">
      <c r="A9" s="1068">
        <v>3</v>
      </c>
      <c r="B9" s="329" t="s">
        <v>2215</v>
      </c>
    </row>
    <row r="10" spans="1:2" x14ac:dyDescent="0.2">
      <c r="A10" s="1068"/>
    </row>
    <row r="11" spans="1:2" x14ac:dyDescent="0.2">
      <c r="A11" s="1068">
        <v>4</v>
      </c>
      <c r="B11" s="329" t="s">
        <v>2216</v>
      </c>
    </row>
    <row r="12" spans="1:2" x14ac:dyDescent="0.2">
      <c r="A12" s="1068"/>
    </row>
    <row r="13" spans="1:2" x14ac:dyDescent="0.2">
      <c r="A13" s="1068">
        <v>5</v>
      </c>
      <c r="B13" s="329" t="s">
        <v>2217</v>
      </c>
    </row>
    <row r="14" spans="1:2" x14ac:dyDescent="0.2">
      <c r="A14" s="1068"/>
    </row>
    <row r="15" spans="1:2" x14ac:dyDescent="0.2">
      <c r="A15" s="1068">
        <v>6</v>
      </c>
      <c r="B15" s="329" t="s">
        <v>2218</v>
      </c>
    </row>
    <row r="16" spans="1:2" x14ac:dyDescent="0.2">
      <c r="A16" s="1068"/>
    </row>
    <row r="17" spans="1:2" x14ac:dyDescent="0.2">
      <c r="A17" s="1068">
        <v>7</v>
      </c>
      <c r="B17" s="329" t="s">
        <v>2219</v>
      </c>
    </row>
    <row r="18" spans="1:2" x14ac:dyDescent="0.2">
      <c r="A18" s="1068"/>
    </row>
    <row r="19" spans="1:2" x14ac:dyDescent="0.2">
      <c r="A19" s="1068" t="s">
        <v>2220</v>
      </c>
    </row>
    <row r="20" spans="1:2" x14ac:dyDescent="0.2">
      <c r="A20" s="1068" t="s">
        <v>2221</v>
      </c>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Tri City CUSD 1</v>
      </c>
    </row>
    <row r="65" spans="2:2" x14ac:dyDescent="0.2">
      <c r="B65" s="1069">
        <f>COVER!A13</f>
        <v>51084001026</v>
      </c>
    </row>
  </sheetData>
  <phoneticPr fontId="14" type="noConversion"/>
  <printOptions horizontalCentered="1"/>
  <pageMargins left="1" right="0.5" top="1.25" bottom="0.75" header="1" footer="0.25"/>
  <pageSetup scale="80" firstPageNumber="32" orientation="portrait" useFirstPageNumber="1" r:id="rId1"/>
  <headerFooter alignWithMargins="0">
    <oddHeader>&amp;L&amp;8Page 33&amp;C &amp;R&amp;8Page 33</oddHeader>
    <oddFooter>&amp;CReference should be made to auditor's report regarding this information.
50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1" t="s">
        <v>1065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691</v>
      </c>
      <c r="B40" s="2078"/>
      <c r="C40" s="2078"/>
      <c r="D40" s="2078"/>
      <c r="E40" s="2078"/>
    </row>
    <row r="41" spans="1:5" x14ac:dyDescent="0.2">
      <c r="A41" s="2079" t="s">
        <v>1608</v>
      </c>
      <c r="B41" s="2079"/>
      <c r="C41" s="2079"/>
      <c r="D41" s="2079"/>
      <c r="E41" s="2079"/>
    </row>
    <row r="42" spans="1:5" ht="12.75" customHeight="1" x14ac:dyDescent="0.2">
      <c r="A42" s="2080" t="s">
        <v>1022</v>
      </c>
      <c r="B42" s="2080"/>
      <c r="C42" s="2080"/>
      <c r="D42" s="2080"/>
      <c r="E42" s="208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1" right="0.5" top="1.25" bottom="0.5" header="1" footer="0.25"/>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rintOptions horizontalCentered="1"/>
  <pageMargins left="1" right="0.5" top="1.25" bottom="0.75" header="1" footer="0.25"/>
  <pageSetup scale="74" firstPageNumber="33" orientation="portrait" useFirstPageNumber="1" r:id="rId1"/>
  <headerFooter alignWithMargins="0">
    <oddHeader>&amp;L&amp;8Page 34&amp;R&amp;8Page 34</oddHeader>
    <oddFooter>&amp;CReference should be made to auditor's report regarding this information.
51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BE56C-1DD4-484C-8EA6-97BB5D20096F}">
  <sheetPr>
    <pageSetUpPr fitToPage="1"/>
  </sheetPr>
  <dimension ref="A1:C81"/>
  <sheetViews>
    <sheetView topLeftCell="A58" zoomScaleNormal="100" workbookViewId="0">
      <selection activeCell="C33" sqref="C33"/>
    </sheetView>
  </sheetViews>
  <sheetFormatPr defaultColWidth="9.140625" defaultRowHeight="12.75" x14ac:dyDescent="0.2"/>
  <cols>
    <col min="1" max="1" width="78.42578125" style="1948" customWidth="1"/>
    <col min="2" max="2" width="7.42578125" style="1948" customWidth="1"/>
    <col min="3" max="3" width="15.28515625" style="1965" customWidth="1"/>
    <col min="4" max="244" width="9.140625" style="1948"/>
    <col min="245" max="245" width="78.42578125" style="1948" customWidth="1"/>
    <col min="246" max="246" width="7.42578125" style="1948" customWidth="1"/>
    <col min="247" max="247" width="15.28515625" style="1948" customWidth="1"/>
    <col min="248" max="500" width="9.140625" style="1948"/>
    <col min="501" max="501" width="78.42578125" style="1948" customWidth="1"/>
    <col min="502" max="502" width="7.42578125" style="1948" customWidth="1"/>
    <col min="503" max="503" width="15.28515625" style="1948" customWidth="1"/>
    <col min="504" max="756" width="9.140625" style="1948"/>
    <col min="757" max="757" width="78.42578125" style="1948" customWidth="1"/>
    <col min="758" max="758" width="7.42578125" style="1948" customWidth="1"/>
    <col min="759" max="759" width="15.28515625" style="1948" customWidth="1"/>
    <col min="760" max="1012" width="9.140625" style="1948"/>
    <col min="1013" max="1013" width="78.42578125" style="1948" customWidth="1"/>
    <col min="1014" max="1014" width="7.42578125" style="1948" customWidth="1"/>
    <col min="1015" max="1015" width="15.28515625" style="1948" customWidth="1"/>
    <col min="1016" max="1268" width="9.140625" style="1948"/>
    <col min="1269" max="1269" width="78.42578125" style="1948" customWidth="1"/>
    <col min="1270" max="1270" width="7.42578125" style="1948" customWidth="1"/>
    <col min="1271" max="1271" width="15.28515625" style="1948" customWidth="1"/>
    <col min="1272" max="1524" width="9.140625" style="1948"/>
    <col min="1525" max="1525" width="78.42578125" style="1948" customWidth="1"/>
    <col min="1526" max="1526" width="7.42578125" style="1948" customWidth="1"/>
    <col min="1527" max="1527" width="15.28515625" style="1948" customWidth="1"/>
    <col min="1528" max="1780" width="9.140625" style="1948"/>
    <col min="1781" max="1781" width="78.42578125" style="1948" customWidth="1"/>
    <col min="1782" max="1782" width="7.42578125" style="1948" customWidth="1"/>
    <col min="1783" max="1783" width="15.28515625" style="1948" customWidth="1"/>
    <col min="1784" max="2036" width="9.140625" style="1948"/>
    <col min="2037" max="2037" width="78.42578125" style="1948" customWidth="1"/>
    <col min="2038" max="2038" width="7.42578125" style="1948" customWidth="1"/>
    <col min="2039" max="2039" width="15.28515625" style="1948" customWidth="1"/>
    <col min="2040" max="2292" width="9.140625" style="1948"/>
    <col min="2293" max="2293" width="78.42578125" style="1948" customWidth="1"/>
    <col min="2294" max="2294" width="7.42578125" style="1948" customWidth="1"/>
    <col min="2295" max="2295" width="15.28515625" style="1948" customWidth="1"/>
    <col min="2296" max="2548" width="9.140625" style="1948"/>
    <col min="2549" max="2549" width="78.42578125" style="1948" customWidth="1"/>
    <col min="2550" max="2550" width="7.42578125" style="1948" customWidth="1"/>
    <col min="2551" max="2551" width="15.28515625" style="1948" customWidth="1"/>
    <col min="2552" max="2804" width="9.140625" style="1948"/>
    <col min="2805" max="2805" width="78.42578125" style="1948" customWidth="1"/>
    <col min="2806" max="2806" width="7.42578125" style="1948" customWidth="1"/>
    <col min="2807" max="2807" width="15.28515625" style="1948" customWidth="1"/>
    <col min="2808" max="3060" width="9.140625" style="1948"/>
    <col min="3061" max="3061" width="78.42578125" style="1948" customWidth="1"/>
    <col min="3062" max="3062" width="7.42578125" style="1948" customWidth="1"/>
    <col min="3063" max="3063" width="15.28515625" style="1948" customWidth="1"/>
    <col min="3064" max="3316" width="9.140625" style="1948"/>
    <col min="3317" max="3317" width="78.42578125" style="1948" customWidth="1"/>
    <col min="3318" max="3318" width="7.42578125" style="1948" customWidth="1"/>
    <col min="3319" max="3319" width="15.28515625" style="1948" customWidth="1"/>
    <col min="3320" max="3572" width="9.140625" style="1948"/>
    <col min="3573" max="3573" width="78.42578125" style="1948" customWidth="1"/>
    <col min="3574" max="3574" width="7.42578125" style="1948" customWidth="1"/>
    <col min="3575" max="3575" width="15.28515625" style="1948" customWidth="1"/>
    <col min="3576" max="3828" width="9.140625" style="1948"/>
    <col min="3829" max="3829" width="78.42578125" style="1948" customWidth="1"/>
    <col min="3830" max="3830" width="7.42578125" style="1948" customWidth="1"/>
    <col min="3831" max="3831" width="15.28515625" style="1948" customWidth="1"/>
    <col min="3832" max="4084" width="9.140625" style="1948"/>
    <col min="4085" max="4085" width="78.42578125" style="1948" customWidth="1"/>
    <col min="4086" max="4086" width="7.42578125" style="1948" customWidth="1"/>
    <col min="4087" max="4087" width="15.28515625" style="1948" customWidth="1"/>
    <col min="4088" max="4340" width="9.140625" style="1948"/>
    <col min="4341" max="4341" width="78.42578125" style="1948" customWidth="1"/>
    <col min="4342" max="4342" width="7.42578125" style="1948" customWidth="1"/>
    <col min="4343" max="4343" width="15.28515625" style="1948" customWidth="1"/>
    <col min="4344" max="4596" width="9.140625" style="1948"/>
    <col min="4597" max="4597" width="78.42578125" style="1948" customWidth="1"/>
    <col min="4598" max="4598" width="7.42578125" style="1948" customWidth="1"/>
    <col min="4599" max="4599" width="15.28515625" style="1948" customWidth="1"/>
    <col min="4600" max="4852" width="9.140625" style="1948"/>
    <col min="4853" max="4853" width="78.42578125" style="1948" customWidth="1"/>
    <col min="4854" max="4854" width="7.42578125" style="1948" customWidth="1"/>
    <col min="4855" max="4855" width="15.28515625" style="1948" customWidth="1"/>
    <col min="4856" max="5108" width="9.140625" style="1948"/>
    <col min="5109" max="5109" width="78.42578125" style="1948" customWidth="1"/>
    <col min="5110" max="5110" width="7.42578125" style="1948" customWidth="1"/>
    <col min="5111" max="5111" width="15.28515625" style="1948" customWidth="1"/>
    <col min="5112" max="5364" width="9.140625" style="1948"/>
    <col min="5365" max="5365" width="78.42578125" style="1948" customWidth="1"/>
    <col min="5366" max="5366" width="7.42578125" style="1948" customWidth="1"/>
    <col min="5367" max="5367" width="15.28515625" style="1948" customWidth="1"/>
    <col min="5368" max="5620" width="9.140625" style="1948"/>
    <col min="5621" max="5621" width="78.42578125" style="1948" customWidth="1"/>
    <col min="5622" max="5622" width="7.42578125" style="1948" customWidth="1"/>
    <col min="5623" max="5623" width="15.28515625" style="1948" customWidth="1"/>
    <col min="5624" max="5876" width="9.140625" style="1948"/>
    <col min="5877" max="5877" width="78.42578125" style="1948" customWidth="1"/>
    <col min="5878" max="5878" width="7.42578125" style="1948" customWidth="1"/>
    <col min="5879" max="5879" width="15.28515625" style="1948" customWidth="1"/>
    <col min="5880" max="6132" width="9.140625" style="1948"/>
    <col min="6133" max="6133" width="78.42578125" style="1948" customWidth="1"/>
    <col min="6134" max="6134" width="7.42578125" style="1948" customWidth="1"/>
    <col min="6135" max="6135" width="15.28515625" style="1948" customWidth="1"/>
    <col min="6136" max="6388" width="9.140625" style="1948"/>
    <col min="6389" max="6389" width="78.42578125" style="1948" customWidth="1"/>
    <col min="6390" max="6390" width="7.42578125" style="1948" customWidth="1"/>
    <col min="6391" max="6391" width="15.28515625" style="1948" customWidth="1"/>
    <col min="6392" max="6644" width="9.140625" style="1948"/>
    <col min="6645" max="6645" width="78.42578125" style="1948" customWidth="1"/>
    <col min="6646" max="6646" width="7.42578125" style="1948" customWidth="1"/>
    <col min="6647" max="6647" width="15.28515625" style="1948" customWidth="1"/>
    <col min="6648" max="6900" width="9.140625" style="1948"/>
    <col min="6901" max="6901" width="78.42578125" style="1948" customWidth="1"/>
    <col min="6902" max="6902" width="7.42578125" style="1948" customWidth="1"/>
    <col min="6903" max="6903" width="15.28515625" style="1948" customWidth="1"/>
    <col min="6904" max="7156" width="9.140625" style="1948"/>
    <col min="7157" max="7157" width="78.42578125" style="1948" customWidth="1"/>
    <col min="7158" max="7158" width="7.42578125" style="1948" customWidth="1"/>
    <col min="7159" max="7159" width="15.28515625" style="1948" customWidth="1"/>
    <col min="7160" max="7412" width="9.140625" style="1948"/>
    <col min="7413" max="7413" width="78.42578125" style="1948" customWidth="1"/>
    <col min="7414" max="7414" width="7.42578125" style="1948" customWidth="1"/>
    <col min="7415" max="7415" width="15.28515625" style="1948" customWidth="1"/>
    <col min="7416" max="7668" width="9.140625" style="1948"/>
    <col min="7669" max="7669" width="78.42578125" style="1948" customWidth="1"/>
    <col min="7670" max="7670" width="7.42578125" style="1948" customWidth="1"/>
    <col min="7671" max="7671" width="15.28515625" style="1948" customWidth="1"/>
    <col min="7672" max="7924" width="9.140625" style="1948"/>
    <col min="7925" max="7925" width="78.42578125" style="1948" customWidth="1"/>
    <col min="7926" max="7926" width="7.42578125" style="1948" customWidth="1"/>
    <col min="7927" max="7927" width="15.28515625" style="1948" customWidth="1"/>
    <col min="7928" max="8180" width="9.140625" style="1948"/>
    <col min="8181" max="8181" width="78.42578125" style="1948" customWidth="1"/>
    <col min="8182" max="8182" width="7.42578125" style="1948" customWidth="1"/>
    <col min="8183" max="8183" width="15.28515625" style="1948" customWidth="1"/>
    <col min="8184" max="8436" width="9.140625" style="1948"/>
    <col min="8437" max="8437" width="78.42578125" style="1948" customWidth="1"/>
    <col min="8438" max="8438" width="7.42578125" style="1948" customWidth="1"/>
    <col min="8439" max="8439" width="15.28515625" style="1948" customWidth="1"/>
    <col min="8440" max="8692" width="9.140625" style="1948"/>
    <col min="8693" max="8693" width="78.42578125" style="1948" customWidth="1"/>
    <col min="8694" max="8694" width="7.42578125" style="1948" customWidth="1"/>
    <col min="8695" max="8695" width="15.28515625" style="1948" customWidth="1"/>
    <col min="8696" max="8948" width="9.140625" style="1948"/>
    <col min="8949" max="8949" width="78.42578125" style="1948" customWidth="1"/>
    <col min="8950" max="8950" width="7.42578125" style="1948" customWidth="1"/>
    <col min="8951" max="8951" width="15.28515625" style="1948" customWidth="1"/>
    <col min="8952" max="9204" width="9.140625" style="1948"/>
    <col min="9205" max="9205" width="78.42578125" style="1948" customWidth="1"/>
    <col min="9206" max="9206" width="7.42578125" style="1948" customWidth="1"/>
    <col min="9207" max="9207" width="15.28515625" style="1948" customWidth="1"/>
    <col min="9208" max="9460" width="9.140625" style="1948"/>
    <col min="9461" max="9461" width="78.42578125" style="1948" customWidth="1"/>
    <col min="9462" max="9462" width="7.42578125" style="1948" customWidth="1"/>
    <col min="9463" max="9463" width="15.28515625" style="1948" customWidth="1"/>
    <col min="9464" max="9716" width="9.140625" style="1948"/>
    <col min="9717" max="9717" width="78.42578125" style="1948" customWidth="1"/>
    <col min="9718" max="9718" width="7.42578125" style="1948" customWidth="1"/>
    <col min="9719" max="9719" width="15.28515625" style="1948" customWidth="1"/>
    <col min="9720" max="9972" width="9.140625" style="1948"/>
    <col min="9973" max="9973" width="78.42578125" style="1948" customWidth="1"/>
    <col min="9974" max="9974" width="7.42578125" style="1948" customWidth="1"/>
    <col min="9975" max="9975" width="15.28515625" style="1948" customWidth="1"/>
    <col min="9976" max="10228" width="9.140625" style="1948"/>
    <col min="10229" max="10229" width="78.42578125" style="1948" customWidth="1"/>
    <col min="10230" max="10230" width="7.42578125" style="1948" customWidth="1"/>
    <col min="10231" max="10231" width="15.28515625" style="1948" customWidth="1"/>
    <col min="10232" max="10484" width="9.140625" style="1948"/>
    <col min="10485" max="10485" width="78.42578125" style="1948" customWidth="1"/>
    <col min="10486" max="10486" width="7.42578125" style="1948" customWidth="1"/>
    <col min="10487" max="10487" width="15.28515625" style="1948" customWidth="1"/>
    <col min="10488" max="10740" width="9.140625" style="1948"/>
    <col min="10741" max="10741" width="78.42578125" style="1948" customWidth="1"/>
    <col min="10742" max="10742" width="7.42578125" style="1948" customWidth="1"/>
    <col min="10743" max="10743" width="15.28515625" style="1948" customWidth="1"/>
    <col min="10744" max="10996" width="9.140625" style="1948"/>
    <col min="10997" max="10997" width="78.42578125" style="1948" customWidth="1"/>
    <col min="10998" max="10998" width="7.42578125" style="1948" customWidth="1"/>
    <col min="10999" max="10999" width="15.28515625" style="1948" customWidth="1"/>
    <col min="11000" max="11252" width="9.140625" style="1948"/>
    <col min="11253" max="11253" width="78.42578125" style="1948" customWidth="1"/>
    <col min="11254" max="11254" width="7.42578125" style="1948" customWidth="1"/>
    <col min="11255" max="11255" width="15.28515625" style="1948" customWidth="1"/>
    <col min="11256" max="11508" width="9.140625" style="1948"/>
    <col min="11509" max="11509" width="78.42578125" style="1948" customWidth="1"/>
    <col min="11510" max="11510" width="7.42578125" style="1948" customWidth="1"/>
    <col min="11511" max="11511" width="15.28515625" style="1948" customWidth="1"/>
    <col min="11512" max="11764" width="9.140625" style="1948"/>
    <col min="11765" max="11765" width="78.42578125" style="1948" customWidth="1"/>
    <col min="11766" max="11766" width="7.42578125" style="1948" customWidth="1"/>
    <col min="11767" max="11767" width="15.28515625" style="1948" customWidth="1"/>
    <col min="11768" max="12020" width="9.140625" style="1948"/>
    <col min="12021" max="12021" width="78.42578125" style="1948" customWidth="1"/>
    <col min="12022" max="12022" width="7.42578125" style="1948" customWidth="1"/>
    <col min="12023" max="12023" width="15.28515625" style="1948" customWidth="1"/>
    <col min="12024" max="12276" width="9.140625" style="1948"/>
    <col min="12277" max="12277" width="78.42578125" style="1948" customWidth="1"/>
    <col min="12278" max="12278" width="7.42578125" style="1948" customWidth="1"/>
    <col min="12279" max="12279" width="15.28515625" style="1948" customWidth="1"/>
    <col min="12280" max="12532" width="9.140625" style="1948"/>
    <col min="12533" max="12533" width="78.42578125" style="1948" customWidth="1"/>
    <col min="12534" max="12534" width="7.42578125" style="1948" customWidth="1"/>
    <col min="12535" max="12535" width="15.28515625" style="1948" customWidth="1"/>
    <col min="12536" max="12788" width="9.140625" style="1948"/>
    <col min="12789" max="12789" width="78.42578125" style="1948" customWidth="1"/>
    <col min="12790" max="12790" width="7.42578125" style="1948" customWidth="1"/>
    <col min="12791" max="12791" width="15.28515625" style="1948" customWidth="1"/>
    <col min="12792" max="13044" width="9.140625" style="1948"/>
    <col min="13045" max="13045" width="78.42578125" style="1948" customWidth="1"/>
    <col min="13046" max="13046" width="7.42578125" style="1948" customWidth="1"/>
    <col min="13047" max="13047" width="15.28515625" style="1948" customWidth="1"/>
    <col min="13048" max="13300" width="9.140625" style="1948"/>
    <col min="13301" max="13301" width="78.42578125" style="1948" customWidth="1"/>
    <col min="13302" max="13302" width="7.42578125" style="1948" customWidth="1"/>
    <col min="13303" max="13303" width="15.28515625" style="1948" customWidth="1"/>
    <col min="13304" max="13556" width="9.140625" style="1948"/>
    <col min="13557" max="13557" width="78.42578125" style="1948" customWidth="1"/>
    <col min="13558" max="13558" width="7.42578125" style="1948" customWidth="1"/>
    <col min="13559" max="13559" width="15.28515625" style="1948" customWidth="1"/>
    <col min="13560" max="13812" width="9.140625" style="1948"/>
    <col min="13813" max="13813" width="78.42578125" style="1948" customWidth="1"/>
    <col min="13814" max="13814" width="7.42578125" style="1948" customWidth="1"/>
    <col min="13815" max="13815" width="15.28515625" style="1948" customWidth="1"/>
    <col min="13816" max="14068" width="9.140625" style="1948"/>
    <col min="14069" max="14069" width="78.42578125" style="1948" customWidth="1"/>
    <col min="14070" max="14070" width="7.42578125" style="1948" customWidth="1"/>
    <col min="14071" max="14071" width="15.28515625" style="1948" customWidth="1"/>
    <col min="14072" max="14324" width="9.140625" style="1948"/>
    <col min="14325" max="14325" width="78.42578125" style="1948" customWidth="1"/>
    <col min="14326" max="14326" width="7.42578125" style="1948" customWidth="1"/>
    <col min="14327" max="14327" width="15.28515625" style="1948" customWidth="1"/>
    <col min="14328" max="14580" width="9.140625" style="1948"/>
    <col min="14581" max="14581" width="78.42578125" style="1948" customWidth="1"/>
    <col min="14582" max="14582" width="7.42578125" style="1948" customWidth="1"/>
    <col min="14583" max="14583" width="15.28515625" style="1948" customWidth="1"/>
    <col min="14584" max="14836" width="9.140625" style="1948"/>
    <col min="14837" max="14837" width="78.42578125" style="1948" customWidth="1"/>
    <col min="14838" max="14838" width="7.42578125" style="1948" customWidth="1"/>
    <col min="14839" max="14839" width="15.28515625" style="1948" customWidth="1"/>
    <col min="14840" max="15092" width="9.140625" style="1948"/>
    <col min="15093" max="15093" width="78.42578125" style="1948" customWidth="1"/>
    <col min="15094" max="15094" width="7.42578125" style="1948" customWidth="1"/>
    <col min="15095" max="15095" width="15.28515625" style="1948" customWidth="1"/>
    <col min="15096" max="15348" width="9.140625" style="1948"/>
    <col min="15349" max="15349" width="78.42578125" style="1948" customWidth="1"/>
    <col min="15350" max="15350" width="7.42578125" style="1948" customWidth="1"/>
    <col min="15351" max="15351" width="15.28515625" style="1948" customWidth="1"/>
    <col min="15352" max="15604" width="9.140625" style="1948"/>
    <col min="15605" max="15605" width="78.42578125" style="1948" customWidth="1"/>
    <col min="15606" max="15606" width="7.42578125" style="1948" customWidth="1"/>
    <col min="15607" max="15607" width="15.28515625" style="1948" customWidth="1"/>
    <col min="15608" max="15860" width="9.140625" style="1948"/>
    <col min="15861" max="15861" width="78.42578125" style="1948" customWidth="1"/>
    <col min="15862" max="15862" width="7.42578125" style="1948" customWidth="1"/>
    <col min="15863" max="15863" width="15.28515625" style="1948" customWidth="1"/>
    <col min="15864" max="16116" width="9.140625" style="1948"/>
    <col min="16117" max="16117" width="78.42578125" style="1948" customWidth="1"/>
    <col min="16118" max="16118" width="7.42578125" style="1948" customWidth="1"/>
    <col min="16119" max="16119" width="15.28515625" style="1948" customWidth="1"/>
    <col min="16120" max="16384" width="9.140625" style="1948"/>
  </cols>
  <sheetData>
    <row r="1" spans="1:3" ht="15.75" x14ac:dyDescent="0.25">
      <c r="A1" s="2365" t="s">
        <v>2080</v>
      </c>
      <c r="B1" s="2365"/>
      <c r="C1" s="2365"/>
    </row>
    <row r="2" spans="1:3" ht="15.75" x14ac:dyDescent="0.25">
      <c r="A2" s="2365" t="s">
        <v>1066</v>
      </c>
      <c r="B2" s="2365"/>
      <c r="C2" s="2365"/>
    </row>
    <row r="3" spans="1:3" ht="15.75" x14ac:dyDescent="0.25">
      <c r="A3" s="2364" t="s">
        <v>2203</v>
      </c>
      <c r="B3" s="2364"/>
      <c r="C3" s="2364"/>
    </row>
    <row r="4" spans="1:3" ht="15.75" x14ac:dyDescent="0.25">
      <c r="A4" s="1949"/>
      <c r="B4" s="1949"/>
      <c r="C4" s="1949"/>
    </row>
    <row r="5" spans="1:3" ht="15.75" x14ac:dyDescent="0.25">
      <c r="A5" s="1950"/>
      <c r="B5" s="1950"/>
      <c r="C5" s="1950"/>
    </row>
    <row r="6" spans="1:3" ht="15.75" x14ac:dyDescent="0.25">
      <c r="A6" s="1950"/>
      <c r="B6" s="1950"/>
      <c r="C6" s="1950"/>
    </row>
    <row r="7" spans="1:3" ht="16.5" x14ac:dyDescent="0.25">
      <c r="A7" s="1951"/>
      <c r="B7" s="1951"/>
      <c r="C7" s="1952" t="s">
        <v>2146</v>
      </c>
    </row>
    <row r="8" spans="1:3" ht="16.5" x14ac:dyDescent="0.25">
      <c r="A8" s="1951"/>
      <c r="B8" s="1951"/>
      <c r="C8" s="1952"/>
    </row>
    <row r="9" spans="1:3" ht="16.5" x14ac:dyDescent="0.25">
      <c r="A9" s="1953" t="s">
        <v>2147</v>
      </c>
      <c r="B9" s="1951"/>
      <c r="C9" s="1954" t="s">
        <v>2148</v>
      </c>
    </row>
    <row r="10" spans="1:3" ht="16.5" x14ac:dyDescent="0.25">
      <c r="A10" s="1953"/>
      <c r="B10" s="1951"/>
      <c r="C10" s="1954"/>
    </row>
    <row r="11" spans="1:3" ht="16.5" x14ac:dyDescent="0.25">
      <c r="A11" s="1953" t="s">
        <v>2149</v>
      </c>
      <c r="B11" s="1955"/>
      <c r="C11" s="1954"/>
    </row>
    <row r="12" spans="1:3" ht="16.5" x14ac:dyDescent="0.25">
      <c r="A12" s="1953" t="s">
        <v>2150</v>
      </c>
      <c r="B12" s="1955"/>
      <c r="C12" s="1954"/>
    </row>
    <row r="13" spans="1:3" ht="16.5" x14ac:dyDescent="0.25">
      <c r="A13" s="1953" t="s">
        <v>2151</v>
      </c>
      <c r="B13" s="1955"/>
      <c r="C13" s="1954" t="s">
        <v>2152</v>
      </c>
    </row>
    <row r="14" spans="1:3" ht="16.5" x14ac:dyDescent="0.25">
      <c r="A14" s="1953"/>
      <c r="B14" s="1955"/>
      <c r="C14" s="1954"/>
    </row>
    <row r="15" spans="1:3" ht="16.5" x14ac:dyDescent="0.25">
      <c r="A15" s="1956" t="s">
        <v>2153</v>
      </c>
      <c r="B15" s="1955"/>
      <c r="C15" s="1954"/>
    </row>
    <row r="16" spans="1:3" ht="16.5" x14ac:dyDescent="0.25">
      <c r="A16" s="1953"/>
      <c r="B16" s="1955"/>
      <c r="C16" s="1954"/>
    </row>
    <row r="17" spans="1:3" ht="16.5" x14ac:dyDescent="0.25">
      <c r="A17" s="1953" t="s">
        <v>2154</v>
      </c>
      <c r="B17" s="1955"/>
      <c r="C17" s="1954"/>
    </row>
    <row r="18" spans="1:3" ht="16.5" x14ac:dyDescent="0.25">
      <c r="A18" s="1953" t="s">
        <v>2155</v>
      </c>
      <c r="B18" s="1955"/>
      <c r="C18" s="1954" t="s">
        <v>2156</v>
      </c>
    </row>
    <row r="19" spans="1:3" ht="16.5" x14ac:dyDescent="0.25">
      <c r="A19" s="1953"/>
      <c r="B19" s="1955"/>
      <c r="C19" s="1954"/>
    </row>
    <row r="20" spans="1:3" ht="16.5" x14ac:dyDescent="0.25">
      <c r="A20" s="1953" t="s">
        <v>2157</v>
      </c>
      <c r="B20" s="1955"/>
      <c r="C20" s="1954"/>
    </row>
    <row r="21" spans="1:3" ht="16.5" x14ac:dyDescent="0.25">
      <c r="A21" s="1953" t="s">
        <v>2158</v>
      </c>
      <c r="B21" s="1955"/>
      <c r="C21" s="1954" t="s">
        <v>2159</v>
      </c>
    </row>
    <row r="22" spans="1:3" ht="16.5" x14ac:dyDescent="0.25">
      <c r="A22" s="1953"/>
      <c r="B22" s="1955"/>
      <c r="C22" s="1954"/>
    </row>
    <row r="23" spans="1:3" ht="16.5" x14ac:dyDescent="0.25">
      <c r="A23" s="1953" t="s">
        <v>2160</v>
      </c>
      <c r="B23" s="1955"/>
      <c r="C23" s="1954" t="s">
        <v>2161</v>
      </c>
    </row>
    <row r="24" spans="1:3" ht="16.5" x14ac:dyDescent="0.25">
      <c r="A24" s="1953"/>
      <c r="B24" s="1955"/>
      <c r="C24" s="1954"/>
    </row>
    <row r="25" spans="1:3" ht="16.5" x14ac:dyDescent="0.25">
      <c r="A25" s="1953" t="s">
        <v>2162</v>
      </c>
      <c r="B25" s="1955"/>
      <c r="C25" s="1954" t="s">
        <v>2163</v>
      </c>
    </row>
    <row r="26" spans="1:3" ht="16.5" x14ac:dyDescent="0.25">
      <c r="A26" s="1953"/>
      <c r="B26" s="1955"/>
      <c r="C26" s="1954"/>
    </row>
    <row r="27" spans="1:3" ht="16.5" x14ac:dyDescent="0.25">
      <c r="A27" s="1953" t="s">
        <v>2164</v>
      </c>
      <c r="B27" s="1955"/>
      <c r="C27" s="1954" t="s">
        <v>2165</v>
      </c>
    </row>
    <row r="28" spans="1:3" ht="16.5" x14ac:dyDescent="0.25">
      <c r="A28" s="1953"/>
      <c r="B28" s="1955"/>
      <c r="C28" s="1954"/>
    </row>
    <row r="29" spans="1:3" ht="16.5" x14ac:dyDescent="0.25">
      <c r="A29" s="1956" t="s">
        <v>2166</v>
      </c>
      <c r="B29" s="1955"/>
      <c r="C29" s="1954"/>
    </row>
    <row r="30" spans="1:3" ht="16.5" x14ac:dyDescent="0.25">
      <c r="A30" s="1953"/>
      <c r="B30" s="1955"/>
      <c r="C30" s="1954"/>
    </row>
    <row r="31" spans="1:3" ht="16.5" x14ac:dyDescent="0.25">
      <c r="A31" s="1953" t="s">
        <v>2167</v>
      </c>
      <c r="B31" s="1955"/>
      <c r="C31" s="1954" t="s">
        <v>2168</v>
      </c>
    </row>
    <row r="32" spans="1:3" ht="16.5" x14ac:dyDescent="0.25">
      <c r="A32" s="1953"/>
      <c r="B32" s="1955"/>
      <c r="C32" s="1954"/>
    </row>
    <row r="33" spans="1:3" ht="16.5" x14ac:dyDescent="0.25">
      <c r="A33" s="1953" t="s">
        <v>2169</v>
      </c>
      <c r="B33" s="1955"/>
      <c r="C33" s="1954" t="s">
        <v>2170</v>
      </c>
    </row>
    <row r="34" spans="1:3" ht="16.5" x14ac:dyDescent="0.25">
      <c r="A34" s="1953"/>
      <c r="B34" s="1955"/>
      <c r="C34" s="1954"/>
    </row>
    <row r="35" spans="1:3" ht="16.5" x14ac:dyDescent="0.25">
      <c r="A35" s="1953" t="s">
        <v>2171</v>
      </c>
      <c r="B35" s="1955"/>
      <c r="C35" s="1954" t="s">
        <v>2172</v>
      </c>
    </row>
    <row r="36" spans="1:3" ht="16.5" x14ac:dyDescent="0.25">
      <c r="A36" s="1953"/>
      <c r="B36" s="1955"/>
      <c r="C36" s="1954"/>
    </row>
    <row r="37" spans="1:3" ht="16.5" x14ac:dyDescent="0.25">
      <c r="A37" s="1953" t="s">
        <v>2173</v>
      </c>
      <c r="B37" s="1957"/>
      <c r="C37" s="1954" t="s">
        <v>2174</v>
      </c>
    </row>
    <row r="38" spans="1:3" ht="16.5" x14ac:dyDescent="0.25">
      <c r="A38" s="1953"/>
      <c r="B38" s="1957"/>
      <c r="C38" s="1954"/>
    </row>
    <row r="39" spans="1:3" ht="16.5" x14ac:dyDescent="0.25">
      <c r="A39" s="1956" t="s">
        <v>2175</v>
      </c>
      <c r="B39" s="1955"/>
      <c r="C39" s="1958"/>
    </row>
    <row r="40" spans="1:3" ht="16.5" x14ac:dyDescent="0.25">
      <c r="A40" s="1953"/>
      <c r="B40" s="1955"/>
      <c r="C40" s="1958"/>
    </row>
    <row r="41" spans="1:3" ht="16.5" x14ac:dyDescent="0.25">
      <c r="A41" s="1953" t="s">
        <v>2176</v>
      </c>
      <c r="B41" s="1955"/>
      <c r="C41" s="1959" t="s">
        <v>2177</v>
      </c>
    </row>
    <row r="42" spans="1:3" ht="16.5" x14ac:dyDescent="0.25">
      <c r="A42" s="1953"/>
      <c r="B42" s="1955"/>
      <c r="C42" s="1958"/>
    </row>
    <row r="43" spans="1:3" ht="16.5" x14ac:dyDescent="0.25">
      <c r="A43" s="1953" t="s">
        <v>2178</v>
      </c>
      <c r="B43" s="1955"/>
      <c r="C43" s="1958"/>
    </row>
    <row r="44" spans="1:3" ht="16.5" x14ac:dyDescent="0.25">
      <c r="A44" s="1953" t="s">
        <v>2204</v>
      </c>
      <c r="B44" s="1955"/>
      <c r="C44" s="1959" t="s">
        <v>2179</v>
      </c>
    </row>
    <row r="45" spans="1:3" ht="16.5" x14ac:dyDescent="0.25">
      <c r="A45" s="1953"/>
      <c r="B45" s="1957"/>
      <c r="C45" s="1954"/>
    </row>
    <row r="46" spans="1:3" ht="16.5" x14ac:dyDescent="0.25">
      <c r="A46" s="1953"/>
      <c r="B46" s="1957"/>
      <c r="C46" s="1954"/>
    </row>
    <row r="47" spans="1:3" ht="16.5" x14ac:dyDescent="0.25">
      <c r="A47" s="1953"/>
      <c r="B47" s="1957"/>
      <c r="C47" s="1954"/>
    </row>
    <row r="48" spans="1:3" ht="16.5" x14ac:dyDescent="0.25">
      <c r="A48" s="1953"/>
      <c r="B48" s="1957"/>
      <c r="C48" s="1954"/>
    </row>
    <row r="49" spans="1:3" ht="15.75" x14ac:dyDescent="0.25">
      <c r="A49" s="2365" t="s">
        <v>2080</v>
      </c>
      <c r="B49" s="2365"/>
      <c r="C49" s="2365"/>
    </row>
    <row r="50" spans="1:3" ht="15.75" x14ac:dyDescent="0.25">
      <c r="A50" s="2365" t="s">
        <v>2180</v>
      </c>
      <c r="B50" s="2365"/>
      <c r="C50" s="2365"/>
    </row>
    <row r="51" spans="1:3" ht="15.75" x14ac:dyDescent="0.25">
      <c r="A51" s="2364" t="s">
        <v>2203</v>
      </c>
      <c r="B51" s="2364"/>
      <c r="C51" s="2364"/>
    </row>
    <row r="52" spans="1:3" ht="15.75" x14ac:dyDescent="0.25">
      <c r="A52" s="1949"/>
      <c r="B52" s="1949"/>
      <c r="C52" s="1949"/>
    </row>
    <row r="53" spans="1:3" ht="15.75" x14ac:dyDescent="0.25">
      <c r="A53" s="1950"/>
      <c r="B53" s="1950"/>
      <c r="C53" s="1950"/>
    </row>
    <row r="54" spans="1:3" ht="15.75" x14ac:dyDescent="0.25">
      <c r="A54" s="1950"/>
      <c r="B54" s="1950"/>
      <c r="C54" s="1950"/>
    </row>
    <row r="55" spans="1:3" ht="16.5" x14ac:dyDescent="0.25">
      <c r="A55" s="1951"/>
      <c r="B55" s="1951"/>
      <c r="C55" s="1952" t="s">
        <v>2146</v>
      </c>
    </row>
    <row r="56" spans="1:3" ht="16.5" x14ac:dyDescent="0.25">
      <c r="A56" s="1953"/>
      <c r="B56" s="1955"/>
      <c r="C56" s="1958"/>
    </row>
    <row r="57" spans="1:3" ht="16.5" x14ac:dyDescent="0.25">
      <c r="A57" s="1956" t="s">
        <v>2181</v>
      </c>
      <c r="B57" s="1955"/>
      <c r="C57" s="1958"/>
    </row>
    <row r="58" spans="1:3" ht="16.5" x14ac:dyDescent="0.25">
      <c r="A58" s="1953"/>
      <c r="B58" s="1955"/>
      <c r="C58" s="1958"/>
    </row>
    <row r="59" spans="1:3" ht="16.5" x14ac:dyDescent="0.25">
      <c r="A59" s="1953" t="s">
        <v>2182</v>
      </c>
      <c r="B59" s="1955"/>
      <c r="C59" s="1959" t="s">
        <v>2183</v>
      </c>
    </row>
    <row r="60" spans="1:3" ht="16.5" x14ac:dyDescent="0.25">
      <c r="A60" s="1953"/>
      <c r="B60" s="1955"/>
      <c r="C60" s="1959"/>
    </row>
    <row r="61" spans="1:3" ht="16.5" x14ac:dyDescent="0.25">
      <c r="A61" s="1953" t="s">
        <v>2184</v>
      </c>
      <c r="B61" s="1955"/>
      <c r="C61" s="1959" t="s">
        <v>2185</v>
      </c>
    </row>
    <row r="62" spans="1:3" ht="16.5" x14ac:dyDescent="0.25">
      <c r="A62" s="1953"/>
      <c r="B62" s="1955"/>
      <c r="C62" s="1959"/>
    </row>
    <row r="63" spans="1:3" ht="16.5" x14ac:dyDescent="0.25">
      <c r="A63" s="1953" t="s">
        <v>2186</v>
      </c>
      <c r="B63" s="1955"/>
      <c r="C63" s="1959" t="s">
        <v>2187</v>
      </c>
    </row>
    <row r="64" spans="1:3" ht="16.5" x14ac:dyDescent="0.25">
      <c r="A64" s="1953"/>
      <c r="B64" s="1955"/>
      <c r="C64" s="1958"/>
    </row>
    <row r="65" spans="1:3" ht="16.5" x14ac:dyDescent="0.25">
      <c r="A65" s="1953" t="s">
        <v>2188</v>
      </c>
      <c r="B65" s="1955"/>
      <c r="C65" s="1959" t="s">
        <v>2189</v>
      </c>
    </row>
    <row r="66" spans="1:3" ht="16.5" x14ac:dyDescent="0.25">
      <c r="A66" s="1953"/>
      <c r="B66" s="1955"/>
      <c r="C66" s="1958"/>
    </row>
    <row r="67" spans="1:3" ht="16.5" x14ac:dyDescent="0.25">
      <c r="A67" s="1953" t="s">
        <v>2190</v>
      </c>
      <c r="B67" s="1955"/>
      <c r="C67" s="1959" t="s">
        <v>2191</v>
      </c>
    </row>
    <row r="68" spans="1:3" ht="16.5" x14ac:dyDescent="0.25">
      <c r="A68" s="1953"/>
      <c r="B68" s="1955"/>
      <c r="C68" s="1958"/>
    </row>
    <row r="69" spans="1:3" ht="16.5" x14ac:dyDescent="0.25">
      <c r="A69" s="1953" t="s">
        <v>2192</v>
      </c>
      <c r="B69" s="1955"/>
      <c r="C69" s="1959" t="s">
        <v>2193</v>
      </c>
    </row>
    <row r="70" spans="1:3" ht="16.5" x14ac:dyDescent="0.25">
      <c r="A70" s="1953"/>
      <c r="B70" s="1955"/>
      <c r="C70" s="1959"/>
    </row>
    <row r="71" spans="1:3" ht="16.5" x14ac:dyDescent="0.25">
      <c r="A71" s="1953" t="s">
        <v>2194</v>
      </c>
      <c r="B71" s="1955"/>
      <c r="C71" s="1959" t="s">
        <v>2195</v>
      </c>
    </row>
    <row r="72" spans="1:3" ht="16.5" x14ac:dyDescent="0.25">
      <c r="A72" s="1953"/>
      <c r="B72" s="1955"/>
      <c r="C72" s="1959"/>
    </row>
    <row r="73" spans="1:3" ht="16.5" x14ac:dyDescent="0.25">
      <c r="A73" s="1953" t="s">
        <v>2196</v>
      </c>
      <c r="B73" s="1955"/>
      <c r="C73" s="1959" t="s">
        <v>2197</v>
      </c>
    </row>
    <row r="74" spans="1:3" ht="16.5" x14ac:dyDescent="0.25">
      <c r="A74" s="1953"/>
      <c r="B74" s="1955"/>
      <c r="C74" s="1958"/>
    </row>
    <row r="75" spans="1:3" ht="15.75" x14ac:dyDescent="0.25">
      <c r="A75" s="1960"/>
      <c r="B75" s="1960"/>
      <c r="C75" s="1961"/>
    </row>
    <row r="76" spans="1:3" ht="15" x14ac:dyDescent="0.25">
      <c r="A76" s="1962"/>
      <c r="B76" s="1962"/>
      <c r="C76" s="1963"/>
    </row>
    <row r="77" spans="1:3" ht="15" x14ac:dyDescent="0.25">
      <c r="A77" s="1964" t="s">
        <v>2198</v>
      </c>
    </row>
    <row r="78" spans="1:3" ht="15" x14ac:dyDescent="0.25">
      <c r="A78" s="1962" t="s">
        <v>2199</v>
      </c>
    </row>
    <row r="79" spans="1:3" ht="15" x14ac:dyDescent="0.25">
      <c r="A79" s="1962" t="s">
        <v>2200</v>
      </c>
    </row>
    <row r="80" spans="1:3" ht="15" x14ac:dyDescent="0.25">
      <c r="A80" s="1962" t="s">
        <v>2201</v>
      </c>
    </row>
    <row r="81" spans="1:1" ht="15" x14ac:dyDescent="0.25">
      <c r="A81" s="1962" t="s">
        <v>2202</v>
      </c>
    </row>
  </sheetData>
  <mergeCells count="6">
    <mergeCell ref="A51:C51"/>
    <mergeCell ref="A1:C1"/>
    <mergeCell ref="A2:C2"/>
    <mergeCell ref="A3:C3"/>
    <mergeCell ref="A49:C49"/>
    <mergeCell ref="A50:C50"/>
  </mergeCells>
  <printOptions horizontalCentered="1"/>
  <pageMargins left="1" right="0.75" top="1.25" bottom="0.75" header="1" footer="0.25"/>
  <pageSetup scale="86" fitToHeight="2" orientation="portrait" r:id="rId1"/>
  <rowBreaks count="1" manualBreakCount="1">
    <brk id="48"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4:F31"/>
  <sheetViews>
    <sheetView showGridLines="0" zoomScale="110" zoomScaleNormal="110" workbookViewId="0">
      <selection activeCell="A22" sqref="A22"/>
    </sheetView>
  </sheetViews>
  <sheetFormatPr defaultColWidth="9.140625" defaultRowHeight="12.75" x14ac:dyDescent="0.2"/>
  <cols>
    <col min="1" max="1" width="1.85546875" style="329" customWidth="1"/>
    <col min="2" max="2" width="59.7109375" style="329" customWidth="1"/>
    <col min="3" max="16384" width="9.140625" style="329"/>
  </cols>
  <sheetData>
    <row r="24" spans="1:6" x14ac:dyDescent="0.2">
      <c r="B24" s="1070"/>
      <c r="C24" s="1070"/>
      <c r="D24" s="1070"/>
      <c r="E24" s="1070"/>
      <c r="F24" s="1070"/>
    </row>
    <row r="26" spans="1:6" x14ac:dyDescent="0.2">
      <c r="A26" s="1071" t="s">
        <v>1493</v>
      </c>
    </row>
    <row r="28" spans="1:6" x14ac:dyDescent="0.2">
      <c r="A28" s="389" t="s">
        <v>857</v>
      </c>
    </row>
    <row r="29" spans="1:6" s="1070" customFormat="1" ht="45" customHeight="1" x14ac:dyDescent="0.2">
      <c r="A29" s="1072"/>
      <c r="B29" s="1072" t="s">
        <v>1684</v>
      </c>
    </row>
    <row r="30" spans="1:6" ht="6" customHeight="1" x14ac:dyDescent="0.2"/>
    <row r="31" spans="1:6" ht="24.75" customHeight="1" x14ac:dyDescent="0.2">
      <c r="A31" s="2366" t="s">
        <v>1685</v>
      </c>
      <c r="B31" s="2366"/>
    </row>
  </sheetData>
  <sheetProtection selectLockedCells="1"/>
  <mergeCells count="1">
    <mergeCell ref="A31:B31"/>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PDF" dvAspect="DVASPECT_ICON" shapeId="35841" r:id="rId4"/>
      </mc:Fallback>
    </mc:AlternateContent>
    <mc:AlternateContent xmlns:mc="http://schemas.openxmlformats.org/markup-compatibility/2006">
      <mc:Choice Requires="x14">
        <oleObject progId="PDF" dvAspect="DVASPECT_ICON" shapeId="35842" r:id="rId6">
          <objectPr defaultSize="0" r:id="rId7">
            <anchor moveWithCells="1">
              <from>
                <xdr:col>1</xdr:col>
                <xdr:colOff>0</xdr:colOff>
                <xdr:row>7</xdr:row>
                <xdr:rowOff>0</xdr:rowOff>
              </from>
              <to>
                <xdr:col>1</xdr:col>
                <xdr:colOff>914400</xdr:colOff>
                <xdr:row>11</xdr:row>
                <xdr:rowOff>123825</xdr:rowOff>
              </to>
            </anchor>
          </objectPr>
        </oleObject>
      </mc:Choice>
      <mc:Fallback>
        <oleObject progId="PDF" dvAspect="DVASPECT_ICON" shapeId="35842" r:id="rId6"/>
      </mc:Fallback>
    </mc:AlternateContent>
    <mc:AlternateContent xmlns:mc="http://schemas.openxmlformats.org/markup-compatibility/2006">
      <mc:Choice Requires="x14">
        <oleObject progId="PDF" dvAspect="DVASPECT_ICON" shapeId="35843" r:id="rId8">
          <objectPr defaultSize="0" r:id="rId9">
            <anchor moveWithCells="1">
              <from>
                <xdr:col>1</xdr:col>
                <xdr:colOff>0</xdr:colOff>
                <xdr:row>13</xdr:row>
                <xdr:rowOff>0</xdr:rowOff>
              </from>
              <to>
                <xdr:col>1</xdr:col>
                <xdr:colOff>914400</xdr:colOff>
                <xdr:row>17</xdr:row>
                <xdr:rowOff>123825</xdr:rowOff>
              </to>
            </anchor>
          </objectPr>
        </oleObject>
      </mc:Choice>
      <mc:Fallback>
        <oleObject progId="PDF" dvAspect="DVASPECT_ICON" shapeId="35843" r:id="rId8"/>
      </mc:Fallback>
    </mc:AlternateContent>
    <mc:AlternateContent xmlns:mc="http://schemas.openxmlformats.org/markup-compatibility/2006">
      <mc:Choice Requires="x14">
        <oleObject progId="PDF" dvAspect="DVASPECT_ICON" shapeId="35844" r:id="rId10">
          <objectPr defaultSize="0" autoPict="0" r:id="rId11">
            <anchor moveWithCells="1">
              <from>
                <xdr:col>0</xdr:col>
                <xdr:colOff>104775</xdr:colOff>
                <xdr:row>19</xdr:row>
                <xdr:rowOff>0</xdr:rowOff>
              </from>
              <to>
                <xdr:col>1</xdr:col>
                <xdr:colOff>895350</xdr:colOff>
                <xdr:row>23</xdr:row>
                <xdr:rowOff>123825</xdr:rowOff>
              </to>
            </anchor>
          </objectPr>
        </oleObject>
      </mc:Choice>
      <mc:Fallback>
        <oleObject progId="PDF"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1200150</xdr:colOff>
                <xdr:row>0</xdr:row>
                <xdr:rowOff>142875</xdr:rowOff>
              </from>
              <to>
                <xdr:col>1</xdr:col>
                <xdr:colOff>2114550</xdr:colOff>
                <xdr:row>5</xdr:row>
                <xdr:rowOff>104775</xdr:rowOff>
              </to>
            </anchor>
          </objectPr>
        </oleObject>
      </mc:Choice>
      <mc:Fallback>
        <oleObject progId="Acrobat Document" dvAspect="DVASPECT_ICON" shapeId="35845"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D6E6-B6A7-45FA-B2C5-B66246C6F9E9}">
  <dimension ref="A1:I73"/>
  <sheetViews>
    <sheetView zoomScale="115" zoomScaleNormal="115" workbookViewId="0">
      <selection activeCell="E57" sqref="E57"/>
    </sheetView>
  </sheetViews>
  <sheetFormatPr defaultColWidth="8.85546875" defaultRowHeight="12.75" x14ac:dyDescent="0.2"/>
  <cols>
    <col min="1" max="1" width="32.140625" style="1936" customWidth="1"/>
    <col min="2" max="2" width="1.85546875" style="1936" customWidth="1"/>
    <col min="3" max="3" width="12.7109375" style="1936" customWidth="1"/>
    <col min="4" max="4" width="1.85546875" style="1936" customWidth="1"/>
    <col min="5" max="5" width="12.7109375" style="1936" customWidth="1"/>
    <col min="6" max="6" width="1.85546875" style="1936" customWidth="1"/>
    <col min="7" max="7" width="12.7109375" style="1936" customWidth="1"/>
    <col min="8" max="8" width="1.85546875" style="1936" customWidth="1"/>
    <col min="9" max="9" width="12.7109375" style="1936" customWidth="1"/>
    <col min="10" max="16384" width="8.85546875" style="1936"/>
  </cols>
  <sheetData>
    <row r="1" spans="1:9" x14ac:dyDescent="0.2">
      <c r="A1" s="2367" t="s">
        <v>2080</v>
      </c>
      <c r="B1" s="2367"/>
      <c r="C1" s="2367"/>
      <c r="D1" s="2367"/>
      <c r="E1" s="2367"/>
      <c r="F1" s="2367"/>
      <c r="G1" s="2367"/>
      <c r="H1" s="2367"/>
      <c r="I1" s="2367"/>
    </row>
    <row r="2" spans="1:9" x14ac:dyDescent="0.2">
      <c r="A2" s="2367" t="s">
        <v>2081</v>
      </c>
      <c r="B2" s="2367"/>
      <c r="C2" s="2367"/>
      <c r="D2" s="2367"/>
      <c r="E2" s="2367"/>
      <c r="F2" s="2367"/>
      <c r="G2" s="2367"/>
      <c r="H2" s="2367"/>
      <c r="I2" s="2367"/>
    </row>
    <row r="3" spans="1:9" x14ac:dyDescent="0.2">
      <c r="A3" s="2367" t="s">
        <v>2082</v>
      </c>
      <c r="B3" s="2367"/>
      <c r="C3" s="2367"/>
      <c r="D3" s="2367"/>
      <c r="E3" s="2367"/>
      <c r="F3" s="2367"/>
      <c r="G3" s="2367"/>
      <c r="H3" s="2367"/>
      <c r="I3" s="2367"/>
    </row>
    <row r="4" spans="1:9" x14ac:dyDescent="0.2">
      <c r="A4" s="2367" t="s">
        <v>2083</v>
      </c>
      <c r="B4" s="2367"/>
      <c r="C4" s="2367"/>
      <c r="D4" s="2367"/>
      <c r="E4" s="2367"/>
      <c r="F4" s="2367"/>
      <c r="G4" s="2367"/>
      <c r="H4" s="2367"/>
      <c r="I4" s="2367"/>
    </row>
    <row r="7" spans="1:9" x14ac:dyDescent="0.2">
      <c r="C7" s="1937" t="s">
        <v>2084</v>
      </c>
      <c r="D7" s="1937"/>
      <c r="E7" s="1937"/>
      <c r="F7" s="1937"/>
      <c r="G7" s="1937"/>
      <c r="H7" s="1937"/>
      <c r="I7" s="1937" t="s">
        <v>2084</v>
      </c>
    </row>
    <row r="8" spans="1:9" x14ac:dyDescent="0.2">
      <c r="C8" s="1938" t="s">
        <v>2085</v>
      </c>
      <c r="D8" s="1937"/>
      <c r="E8" s="1939" t="s">
        <v>2086</v>
      </c>
      <c r="F8" s="1937"/>
      <c r="G8" s="1939" t="s">
        <v>2087</v>
      </c>
      <c r="H8" s="1937"/>
      <c r="I8" s="1938" t="s">
        <v>2088</v>
      </c>
    </row>
    <row r="10" spans="1:9" x14ac:dyDescent="0.2">
      <c r="A10" s="1936" t="s">
        <v>2089</v>
      </c>
    </row>
    <row r="12" spans="1:9" x14ac:dyDescent="0.2">
      <c r="A12" s="1936" t="s">
        <v>2090</v>
      </c>
      <c r="C12" s="1940">
        <f>+C72-23500</f>
        <v>55822</v>
      </c>
      <c r="E12" s="1940">
        <f>+E72</f>
        <v>176851</v>
      </c>
      <c r="G12" s="1940">
        <f>+G72</f>
        <v>184908</v>
      </c>
      <c r="I12" s="1940">
        <f>+C12+E12-G12</f>
        <v>47765</v>
      </c>
    </row>
    <row r="13" spans="1:9" x14ac:dyDescent="0.2">
      <c r="A13" s="1936" t="s">
        <v>992</v>
      </c>
      <c r="C13" s="1941">
        <v>23500</v>
      </c>
      <c r="D13" s="1942"/>
      <c r="E13" s="1941">
        <v>0</v>
      </c>
      <c r="F13" s="1942"/>
      <c r="G13" s="1941">
        <v>0</v>
      </c>
      <c r="H13" s="1942"/>
      <c r="I13" s="1941">
        <f>+C13+E13-G13</f>
        <v>23500</v>
      </c>
    </row>
    <row r="14" spans="1:9" x14ac:dyDescent="0.2">
      <c r="C14" s="1942"/>
      <c r="D14" s="1942"/>
      <c r="E14" s="1942"/>
      <c r="F14" s="1942"/>
      <c r="G14" s="1942"/>
      <c r="H14" s="1942"/>
      <c r="I14" s="1942"/>
    </row>
    <row r="15" spans="1:9" ht="13.5" thickBot="1" x14ac:dyDescent="0.25">
      <c r="A15" s="1936" t="s">
        <v>2091</v>
      </c>
      <c r="C15" s="1943">
        <f>+C12+C13</f>
        <v>79322</v>
      </c>
      <c r="D15" s="1944"/>
      <c r="E15" s="1943">
        <f>+E12+E13</f>
        <v>176851</v>
      </c>
      <c r="F15" s="1944"/>
      <c r="G15" s="1943">
        <f>+G12+G13</f>
        <v>184908</v>
      </c>
      <c r="H15" s="1944"/>
      <c r="I15" s="1943">
        <f>+I12+I13</f>
        <v>71265</v>
      </c>
    </row>
    <row r="16" spans="1:9" ht="13.5" thickTop="1" x14ac:dyDescent="0.2">
      <c r="C16" s="1945"/>
      <c r="D16" s="1945"/>
      <c r="E16" s="1945"/>
      <c r="F16" s="1945"/>
      <c r="G16" s="1945"/>
      <c r="H16" s="1945"/>
      <c r="I16" s="1945"/>
    </row>
    <row r="17" spans="1:9" x14ac:dyDescent="0.2">
      <c r="A17" s="1936" t="s">
        <v>2092</v>
      </c>
      <c r="C17" s="1945"/>
      <c r="D17" s="1945"/>
      <c r="E17" s="1945"/>
      <c r="F17" s="1945"/>
      <c r="G17" s="1945"/>
      <c r="H17" s="1945"/>
      <c r="I17" s="1945"/>
    </row>
    <row r="18" spans="1:9" x14ac:dyDescent="0.2">
      <c r="C18" s="1945"/>
      <c r="D18" s="1945"/>
      <c r="E18" s="1945"/>
      <c r="F18" s="1945"/>
      <c r="G18" s="1945"/>
      <c r="H18" s="1945"/>
      <c r="I18" s="1945"/>
    </row>
    <row r="19" spans="1:9" x14ac:dyDescent="0.2">
      <c r="A19" s="1936" t="s">
        <v>2093</v>
      </c>
      <c r="C19" s="1945"/>
      <c r="D19" s="1945"/>
      <c r="E19" s="1945"/>
      <c r="F19" s="1945"/>
      <c r="G19" s="1945"/>
      <c r="H19" s="1945"/>
      <c r="I19" s="1945"/>
    </row>
    <row r="20" spans="1:9" x14ac:dyDescent="0.2">
      <c r="A20" s="1936" t="s">
        <v>2094</v>
      </c>
      <c r="C20" s="1946">
        <v>789</v>
      </c>
      <c r="D20" s="1946"/>
      <c r="E20" s="1946">
        <v>3397</v>
      </c>
      <c r="F20" s="1946"/>
      <c r="G20" s="1946">
        <v>3942</v>
      </c>
      <c r="H20" s="1946"/>
      <c r="I20" s="1946">
        <f>+C20+E20-G20</f>
        <v>244</v>
      </c>
    </row>
    <row r="21" spans="1:9" x14ac:dyDescent="0.2">
      <c r="A21" s="1936" t="s">
        <v>2095</v>
      </c>
      <c r="C21" s="1942">
        <v>744</v>
      </c>
      <c r="D21" s="1942"/>
      <c r="E21" s="1942">
        <v>1836</v>
      </c>
      <c r="F21" s="1942"/>
      <c r="G21" s="1942">
        <v>2182</v>
      </c>
      <c r="H21" s="1942"/>
      <c r="I21" s="1942">
        <f>+C21+E21-G21</f>
        <v>398</v>
      </c>
    </row>
    <row r="22" spans="1:9" x14ac:dyDescent="0.2">
      <c r="A22" s="1936" t="s">
        <v>2096</v>
      </c>
      <c r="C22" s="1942">
        <v>2428</v>
      </c>
      <c r="D22" s="1942"/>
      <c r="E22" s="1942">
        <v>2915</v>
      </c>
      <c r="F22" s="1942"/>
      <c r="G22" s="1942">
        <v>3115</v>
      </c>
      <c r="H22" s="1942"/>
      <c r="I22" s="1942">
        <f t="shared" ref="I22:I70" si="0">+C22+E22-G22</f>
        <v>2228</v>
      </c>
    </row>
    <row r="23" spans="1:9" x14ac:dyDescent="0.2">
      <c r="A23" s="1936" t="s">
        <v>2097</v>
      </c>
      <c r="C23" s="1942">
        <v>34</v>
      </c>
      <c r="D23" s="1942"/>
      <c r="E23" s="1942">
        <v>0</v>
      </c>
      <c r="F23" s="1942"/>
      <c r="G23" s="1942">
        <v>0</v>
      </c>
      <c r="H23" s="1942"/>
      <c r="I23" s="1942">
        <f>+C23+E23-G23</f>
        <v>34</v>
      </c>
    </row>
    <row r="24" spans="1:9" x14ac:dyDescent="0.2">
      <c r="A24" s="1936" t="s">
        <v>2098</v>
      </c>
      <c r="C24" s="1942">
        <v>212</v>
      </c>
      <c r="D24" s="1942"/>
      <c r="E24" s="1942">
        <v>3145</v>
      </c>
      <c r="F24" s="1942"/>
      <c r="G24" s="1942">
        <v>2586</v>
      </c>
      <c r="H24" s="1942"/>
      <c r="I24" s="1942">
        <f t="shared" si="0"/>
        <v>771</v>
      </c>
    </row>
    <row r="25" spans="1:9" x14ac:dyDescent="0.2">
      <c r="A25" s="1936" t="s">
        <v>2099</v>
      </c>
      <c r="C25" s="1942">
        <v>9538</v>
      </c>
      <c r="D25" s="1942"/>
      <c r="E25" s="1942">
        <v>935</v>
      </c>
      <c r="F25" s="1942"/>
      <c r="G25" s="1942">
        <v>7283</v>
      </c>
      <c r="H25" s="1942"/>
      <c r="I25" s="1942">
        <f t="shared" si="0"/>
        <v>3190</v>
      </c>
    </row>
    <row r="26" spans="1:9" x14ac:dyDescent="0.2">
      <c r="A26" s="1936" t="s">
        <v>2100</v>
      </c>
      <c r="C26" s="1942">
        <v>377</v>
      </c>
      <c r="D26" s="1942"/>
      <c r="E26" s="1942">
        <v>2570</v>
      </c>
      <c r="F26" s="1942"/>
      <c r="G26" s="1942">
        <v>2045</v>
      </c>
      <c r="H26" s="1942"/>
      <c r="I26" s="1942">
        <f t="shared" si="0"/>
        <v>902</v>
      </c>
    </row>
    <row r="27" spans="1:9" x14ac:dyDescent="0.2">
      <c r="A27" s="1936" t="s">
        <v>2101</v>
      </c>
      <c r="C27" s="1942">
        <v>4741</v>
      </c>
      <c r="D27" s="1942"/>
      <c r="E27" s="1942">
        <v>13933</v>
      </c>
      <c r="F27" s="1942"/>
      <c r="G27" s="1942">
        <v>12909</v>
      </c>
      <c r="H27" s="1942"/>
      <c r="I27" s="1942">
        <f t="shared" si="0"/>
        <v>5765</v>
      </c>
    </row>
    <row r="28" spans="1:9" x14ac:dyDescent="0.2">
      <c r="A28" s="1936" t="s">
        <v>2102</v>
      </c>
      <c r="C28" s="1942">
        <v>1783</v>
      </c>
      <c r="D28" s="1942"/>
      <c r="E28" s="1942">
        <v>35761</v>
      </c>
      <c r="F28" s="1942"/>
      <c r="G28" s="1942">
        <v>36140</v>
      </c>
      <c r="H28" s="1942"/>
      <c r="I28" s="1942">
        <f t="shared" si="0"/>
        <v>1404</v>
      </c>
    </row>
    <row r="29" spans="1:9" x14ac:dyDescent="0.2">
      <c r="A29" s="1936" t="s">
        <v>2103</v>
      </c>
      <c r="C29" s="1942">
        <v>445</v>
      </c>
      <c r="D29" s="1942"/>
      <c r="E29" s="1942">
        <v>347</v>
      </c>
      <c r="F29" s="1942"/>
      <c r="G29" s="1942">
        <v>753</v>
      </c>
      <c r="H29" s="1942"/>
      <c r="I29" s="1942">
        <f t="shared" si="0"/>
        <v>39</v>
      </c>
    </row>
    <row r="30" spans="1:9" x14ac:dyDescent="0.2">
      <c r="A30" s="1936" t="s">
        <v>2104</v>
      </c>
      <c r="C30" s="1942">
        <v>79</v>
      </c>
      <c r="D30" s="1942"/>
      <c r="E30" s="1942">
        <v>439</v>
      </c>
      <c r="F30" s="1942"/>
      <c r="G30" s="1942">
        <v>210</v>
      </c>
      <c r="H30" s="1942"/>
      <c r="I30" s="1942">
        <f t="shared" si="0"/>
        <v>308</v>
      </c>
    </row>
    <row r="31" spans="1:9" x14ac:dyDescent="0.2">
      <c r="A31" s="1936" t="s">
        <v>2105</v>
      </c>
      <c r="C31" s="1942">
        <v>1102</v>
      </c>
      <c r="D31" s="1942"/>
      <c r="E31" s="1942">
        <v>3101</v>
      </c>
      <c r="F31" s="1942"/>
      <c r="G31" s="1942">
        <v>3908</v>
      </c>
      <c r="H31" s="1942"/>
      <c r="I31" s="1942">
        <f t="shared" si="0"/>
        <v>295</v>
      </c>
    </row>
    <row r="32" spans="1:9" x14ac:dyDescent="0.2">
      <c r="A32" s="1936" t="s">
        <v>2106</v>
      </c>
      <c r="C32" s="1942">
        <v>96</v>
      </c>
      <c r="D32" s="1942"/>
      <c r="E32" s="1942">
        <v>1410</v>
      </c>
      <c r="F32" s="1942"/>
      <c r="G32" s="1942">
        <v>1241</v>
      </c>
      <c r="H32" s="1942"/>
      <c r="I32" s="1942">
        <f t="shared" si="0"/>
        <v>265</v>
      </c>
    </row>
    <row r="33" spans="1:9" x14ac:dyDescent="0.2">
      <c r="A33" s="1936" t="s">
        <v>2107</v>
      </c>
      <c r="C33" s="1942">
        <v>1540</v>
      </c>
      <c r="D33" s="1942"/>
      <c r="E33" s="1942">
        <v>10086</v>
      </c>
      <c r="F33" s="1942"/>
      <c r="G33" s="1942">
        <v>9165</v>
      </c>
      <c r="H33" s="1942"/>
      <c r="I33" s="1942">
        <f t="shared" si="0"/>
        <v>2461</v>
      </c>
    </row>
    <row r="34" spans="1:9" x14ac:dyDescent="0.2">
      <c r="A34" s="1936" t="s">
        <v>2108</v>
      </c>
      <c r="C34" s="1942">
        <v>680</v>
      </c>
      <c r="D34" s="1942"/>
      <c r="E34" s="1942">
        <v>0</v>
      </c>
      <c r="F34" s="1942"/>
      <c r="G34" s="1942">
        <v>354</v>
      </c>
      <c r="H34" s="1942"/>
      <c r="I34" s="1942">
        <f t="shared" si="0"/>
        <v>326</v>
      </c>
    </row>
    <row r="35" spans="1:9" x14ac:dyDescent="0.2">
      <c r="A35" s="1936" t="s">
        <v>2109</v>
      </c>
      <c r="C35" s="1942">
        <v>0</v>
      </c>
      <c r="D35" s="1942"/>
      <c r="E35" s="1942">
        <v>360</v>
      </c>
      <c r="F35" s="1942"/>
      <c r="G35" s="1942">
        <v>0</v>
      </c>
      <c r="H35" s="1942"/>
      <c r="I35" s="1942">
        <f t="shared" si="0"/>
        <v>360</v>
      </c>
    </row>
    <row r="36" spans="1:9" x14ac:dyDescent="0.2">
      <c r="A36" s="1936" t="s">
        <v>2110</v>
      </c>
      <c r="C36" s="1942">
        <v>815</v>
      </c>
      <c r="D36" s="1942"/>
      <c r="E36" s="1942">
        <v>560</v>
      </c>
      <c r="F36" s="1942"/>
      <c r="G36" s="1942">
        <v>0</v>
      </c>
      <c r="H36" s="1942"/>
      <c r="I36" s="1942">
        <f t="shared" si="0"/>
        <v>1375</v>
      </c>
    </row>
    <row r="37" spans="1:9" x14ac:dyDescent="0.2">
      <c r="A37" s="1936" t="s">
        <v>2111</v>
      </c>
      <c r="C37" s="1942">
        <v>297</v>
      </c>
      <c r="D37" s="1942"/>
      <c r="E37" s="1942">
        <v>1341</v>
      </c>
      <c r="F37" s="1942"/>
      <c r="G37" s="1942">
        <v>1397</v>
      </c>
      <c r="H37" s="1942"/>
      <c r="I37" s="1942">
        <f t="shared" si="0"/>
        <v>241</v>
      </c>
    </row>
    <row r="38" spans="1:9" x14ac:dyDescent="0.2">
      <c r="A38" s="1936" t="s">
        <v>2112</v>
      </c>
      <c r="C38" s="1942">
        <v>7</v>
      </c>
      <c r="D38" s="1942"/>
      <c r="E38" s="1942">
        <v>8397</v>
      </c>
      <c r="F38" s="1942"/>
      <c r="G38" s="1942">
        <v>5510</v>
      </c>
      <c r="H38" s="1942"/>
      <c r="I38" s="1942">
        <f t="shared" si="0"/>
        <v>2894</v>
      </c>
    </row>
    <row r="39" spans="1:9" x14ac:dyDescent="0.2">
      <c r="A39" s="1936" t="s">
        <v>2113</v>
      </c>
      <c r="C39" s="1942">
        <v>12</v>
      </c>
      <c r="D39" s="1942"/>
      <c r="E39" s="1942">
        <v>2027</v>
      </c>
      <c r="F39" s="1942"/>
      <c r="G39" s="1942">
        <v>2013</v>
      </c>
      <c r="H39" s="1942"/>
      <c r="I39" s="1942">
        <f t="shared" si="0"/>
        <v>26</v>
      </c>
    </row>
    <row r="40" spans="1:9" x14ac:dyDescent="0.2">
      <c r="A40" s="1936" t="s">
        <v>2114</v>
      </c>
      <c r="C40" s="1942">
        <v>2759</v>
      </c>
      <c r="D40" s="1942"/>
      <c r="E40" s="1942">
        <v>650</v>
      </c>
      <c r="F40" s="1942"/>
      <c r="G40" s="1942">
        <v>2845</v>
      </c>
      <c r="H40" s="1942"/>
      <c r="I40" s="1942">
        <f t="shared" si="0"/>
        <v>564</v>
      </c>
    </row>
    <row r="41" spans="1:9" x14ac:dyDescent="0.2">
      <c r="A41" s="1936" t="s">
        <v>2115</v>
      </c>
      <c r="C41" s="1942">
        <v>4567</v>
      </c>
      <c r="D41" s="1942"/>
      <c r="E41" s="1942">
        <v>3136</v>
      </c>
      <c r="F41" s="1942"/>
      <c r="G41" s="1942">
        <v>5497</v>
      </c>
      <c r="H41" s="1942"/>
      <c r="I41" s="1942">
        <f t="shared" si="0"/>
        <v>2206</v>
      </c>
    </row>
    <row r="42" spans="1:9" x14ac:dyDescent="0.2">
      <c r="A42" s="1936" t="s">
        <v>2116</v>
      </c>
      <c r="C42" s="1942">
        <v>242</v>
      </c>
      <c r="D42" s="1942"/>
      <c r="E42" s="1942">
        <v>101</v>
      </c>
      <c r="F42" s="1942"/>
      <c r="G42" s="1942">
        <v>294</v>
      </c>
      <c r="H42" s="1942"/>
      <c r="I42" s="1942">
        <f t="shared" si="0"/>
        <v>49</v>
      </c>
    </row>
    <row r="43" spans="1:9" x14ac:dyDescent="0.2">
      <c r="A43" s="1936" t="s">
        <v>2117</v>
      </c>
      <c r="C43" s="1942">
        <v>2048</v>
      </c>
      <c r="D43" s="1942"/>
      <c r="E43" s="1942">
        <v>10081</v>
      </c>
      <c r="F43" s="1942"/>
      <c r="G43" s="1942">
        <v>2434</v>
      </c>
      <c r="H43" s="1942"/>
      <c r="I43" s="1942">
        <f t="shared" si="0"/>
        <v>9695</v>
      </c>
    </row>
    <row r="44" spans="1:9" x14ac:dyDescent="0.2">
      <c r="A44" s="1936" t="s">
        <v>2118</v>
      </c>
      <c r="C44" s="1942">
        <v>1303</v>
      </c>
      <c r="D44" s="1942"/>
      <c r="E44" s="1942">
        <v>2696</v>
      </c>
      <c r="F44" s="1942"/>
      <c r="G44" s="1942">
        <v>3508</v>
      </c>
      <c r="H44" s="1942"/>
      <c r="I44" s="1942">
        <f t="shared" si="0"/>
        <v>491</v>
      </c>
    </row>
    <row r="45" spans="1:9" x14ac:dyDescent="0.2">
      <c r="A45" s="1936" t="s">
        <v>2119</v>
      </c>
      <c r="C45" s="1942">
        <v>372</v>
      </c>
      <c r="D45" s="1942"/>
      <c r="E45" s="1942">
        <v>0</v>
      </c>
      <c r="F45" s="1942"/>
      <c r="G45" s="1942">
        <v>0</v>
      </c>
      <c r="H45" s="1942"/>
      <c r="I45" s="1942">
        <f t="shared" si="0"/>
        <v>372</v>
      </c>
    </row>
    <row r="46" spans="1:9" x14ac:dyDescent="0.2">
      <c r="A46" s="1936" t="s">
        <v>2120</v>
      </c>
      <c r="C46" s="1942">
        <v>309</v>
      </c>
      <c r="D46" s="1942"/>
      <c r="E46" s="1942">
        <v>1852</v>
      </c>
      <c r="F46" s="1942"/>
      <c r="G46" s="1942">
        <v>942</v>
      </c>
      <c r="H46" s="1942"/>
      <c r="I46" s="1942">
        <f t="shared" si="0"/>
        <v>1219</v>
      </c>
    </row>
    <row r="47" spans="1:9" x14ac:dyDescent="0.2">
      <c r="A47" s="1936" t="s">
        <v>2121</v>
      </c>
      <c r="C47" s="1942">
        <v>643</v>
      </c>
      <c r="D47" s="1942"/>
      <c r="E47" s="1942">
        <v>2940</v>
      </c>
      <c r="F47" s="1942"/>
      <c r="G47" s="1942">
        <v>3538</v>
      </c>
      <c r="H47" s="1942"/>
      <c r="I47" s="1942">
        <f t="shared" si="0"/>
        <v>45</v>
      </c>
    </row>
    <row r="48" spans="1:9" x14ac:dyDescent="0.2">
      <c r="A48" s="1936" t="s">
        <v>2122</v>
      </c>
      <c r="C48" s="1942">
        <v>0</v>
      </c>
      <c r="D48" s="1942"/>
      <c r="E48" s="1942">
        <v>0</v>
      </c>
      <c r="F48" s="1942"/>
      <c r="G48" s="1942">
        <v>0</v>
      </c>
      <c r="H48" s="1942"/>
      <c r="I48" s="1942">
        <f t="shared" si="0"/>
        <v>0</v>
      </c>
    </row>
    <row r="49" spans="1:9" x14ac:dyDescent="0.2">
      <c r="A49" s="1936" t="s">
        <v>2123</v>
      </c>
      <c r="C49" s="1942">
        <v>1374</v>
      </c>
      <c r="D49" s="1942"/>
      <c r="E49" s="1942">
        <v>3829</v>
      </c>
      <c r="F49" s="1942"/>
      <c r="G49" s="1942">
        <v>4066</v>
      </c>
      <c r="H49" s="1942"/>
      <c r="I49" s="1942">
        <f t="shared" si="0"/>
        <v>1137</v>
      </c>
    </row>
    <row r="50" spans="1:9" x14ac:dyDescent="0.2">
      <c r="A50" s="1936" t="s">
        <v>2124</v>
      </c>
      <c r="C50" s="1942">
        <v>757</v>
      </c>
      <c r="D50" s="1942"/>
      <c r="E50" s="1942">
        <v>0</v>
      </c>
      <c r="F50" s="1942"/>
      <c r="G50" s="1942">
        <v>0</v>
      </c>
      <c r="H50" s="1942"/>
      <c r="I50" s="1942">
        <f t="shared" si="0"/>
        <v>757</v>
      </c>
    </row>
    <row r="51" spans="1:9" x14ac:dyDescent="0.2">
      <c r="A51" s="1936" t="s">
        <v>2125</v>
      </c>
      <c r="C51" s="1942">
        <v>1180</v>
      </c>
      <c r="D51" s="1942"/>
      <c r="E51" s="1942">
        <v>0</v>
      </c>
      <c r="F51" s="1942"/>
      <c r="G51" s="1942">
        <v>283</v>
      </c>
      <c r="H51" s="1942"/>
      <c r="I51" s="1942">
        <f t="shared" si="0"/>
        <v>897</v>
      </c>
    </row>
    <row r="52" spans="1:9" x14ac:dyDescent="0.2">
      <c r="A52" s="1936" t="s">
        <v>2126</v>
      </c>
      <c r="C52" s="1942">
        <v>24</v>
      </c>
      <c r="D52" s="1942"/>
      <c r="E52" s="1942">
        <v>2625</v>
      </c>
      <c r="F52" s="1942"/>
      <c r="G52" s="1942">
        <v>2637</v>
      </c>
      <c r="H52" s="1942"/>
      <c r="I52" s="1942">
        <f t="shared" si="0"/>
        <v>12</v>
      </c>
    </row>
    <row r="53" spans="1:9" x14ac:dyDescent="0.2">
      <c r="A53" s="1936" t="s">
        <v>2127</v>
      </c>
      <c r="C53" s="1942">
        <v>8</v>
      </c>
      <c r="D53" s="1942"/>
      <c r="E53" s="1942">
        <v>741</v>
      </c>
      <c r="F53" s="1942"/>
      <c r="G53" s="1942">
        <v>431</v>
      </c>
      <c r="H53" s="1942"/>
      <c r="I53" s="1942">
        <f t="shared" si="0"/>
        <v>318</v>
      </c>
    </row>
    <row r="54" spans="1:9" x14ac:dyDescent="0.2">
      <c r="A54" s="1936" t="s">
        <v>2128</v>
      </c>
      <c r="C54" s="1942">
        <v>2266</v>
      </c>
      <c r="D54" s="1942"/>
      <c r="E54" s="1942">
        <v>2952</v>
      </c>
      <c r="F54" s="1942"/>
      <c r="G54" s="1942">
        <v>3670</v>
      </c>
      <c r="H54" s="1942"/>
      <c r="I54" s="1942">
        <f t="shared" si="0"/>
        <v>1548</v>
      </c>
    </row>
    <row r="55" spans="1:9" x14ac:dyDescent="0.2">
      <c r="A55" s="1936" t="s">
        <v>2129</v>
      </c>
      <c r="C55" s="1942">
        <v>116</v>
      </c>
      <c r="D55" s="1942"/>
      <c r="E55" s="1942">
        <v>876</v>
      </c>
      <c r="F55" s="1942"/>
      <c r="G55" s="1942">
        <v>615</v>
      </c>
      <c r="H55" s="1942"/>
      <c r="I55" s="1942">
        <f t="shared" si="0"/>
        <v>377</v>
      </c>
    </row>
    <row r="56" spans="1:9" x14ac:dyDescent="0.2">
      <c r="A56" s="1936" t="s">
        <v>2130</v>
      </c>
      <c r="C56" s="1942">
        <v>0</v>
      </c>
      <c r="D56" s="1942"/>
      <c r="E56" s="1942">
        <v>0</v>
      </c>
      <c r="F56" s="1942"/>
      <c r="G56" s="1942">
        <v>0</v>
      </c>
      <c r="H56" s="1942"/>
      <c r="I56" s="1942">
        <f t="shared" si="0"/>
        <v>0</v>
      </c>
    </row>
    <row r="57" spans="1:9" x14ac:dyDescent="0.2">
      <c r="A57" s="1936" t="s">
        <v>2131</v>
      </c>
      <c r="C57" s="1942">
        <v>12311</v>
      </c>
      <c r="D57" s="1942"/>
      <c r="E57" s="1942">
        <v>4067</v>
      </c>
      <c r="F57" s="1942"/>
      <c r="G57" s="1942">
        <v>16378</v>
      </c>
      <c r="H57" s="1942"/>
      <c r="I57" s="1942">
        <f t="shared" si="0"/>
        <v>0</v>
      </c>
    </row>
    <row r="58" spans="1:9" x14ac:dyDescent="0.2">
      <c r="A58" s="1936" t="s">
        <v>2132</v>
      </c>
      <c r="C58" s="1942">
        <v>5187</v>
      </c>
      <c r="D58" s="1942"/>
      <c r="E58" s="1942">
        <v>2131</v>
      </c>
      <c r="F58" s="1942"/>
      <c r="G58" s="1942">
        <v>4342</v>
      </c>
      <c r="H58" s="1942"/>
      <c r="I58" s="1942">
        <f t="shared" si="0"/>
        <v>2976</v>
      </c>
    </row>
    <row r="59" spans="1:9" x14ac:dyDescent="0.2">
      <c r="A59" s="1936" t="s">
        <v>2133</v>
      </c>
      <c r="C59" s="1942">
        <v>5404</v>
      </c>
      <c r="D59" s="1942"/>
      <c r="E59" s="1942">
        <v>2475</v>
      </c>
      <c r="F59" s="1942"/>
      <c r="G59" s="1942">
        <v>5347</v>
      </c>
      <c r="H59" s="1942"/>
      <c r="I59" s="1942">
        <f t="shared" si="0"/>
        <v>2532</v>
      </c>
    </row>
    <row r="60" spans="1:9" x14ac:dyDescent="0.2">
      <c r="A60" s="1936" t="s">
        <v>2134</v>
      </c>
      <c r="C60" s="1942">
        <v>2</v>
      </c>
      <c r="D60" s="1942"/>
      <c r="E60" s="1942">
        <v>621</v>
      </c>
      <c r="F60" s="1942"/>
      <c r="G60" s="1942">
        <v>597</v>
      </c>
      <c r="H60" s="1942"/>
      <c r="I60" s="1942">
        <f t="shared" si="0"/>
        <v>26</v>
      </c>
    </row>
    <row r="61" spans="1:9" x14ac:dyDescent="0.2">
      <c r="A61" s="1936" t="s">
        <v>2135</v>
      </c>
      <c r="C61" s="1942">
        <v>465</v>
      </c>
      <c r="D61" s="1942"/>
      <c r="E61" s="1942">
        <v>1482</v>
      </c>
      <c r="F61" s="1942"/>
      <c r="G61" s="1942">
        <v>1914</v>
      </c>
      <c r="H61" s="1942"/>
      <c r="I61" s="1942">
        <f t="shared" si="0"/>
        <v>33</v>
      </c>
    </row>
    <row r="62" spans="1:9" x14ac:dyDescent="0.2">
      <c r="A62" s="1936" t="s">
        <v>2136</v>
      </c>
      <c r="C62" s="1942">
        <v>0</v>
      </c>
      <c r="D62" s="1942"/>
      <c r="E62" s="1942">
        <v>65</v>
      </c>
      <c r="F62" s="1942"/>
      <c r="G62" s="1942">
        <v>54</v>
      </c>
      <c r="H62" s="1942"/>
      <c r="I62" s="1942">
        <f t="shared" si="0"/>
        <v>11</v>
      </c>
    </row>
    <row r="63" spans="1:9" x14ac:dyDescent="0.2">
      <c r="A63" s="1936" t="s">
        <v>2137</v>
      </c>
      <c r="C63" s="1942">
        <v>0</v>
      </c>
      <c r="D63" s="1942"/>
      <c r="E63" s="1942">
        <v>431</v>
      </c>
      <c r="F63" s="1942"/>
      <c r="G63" s="1942">
        <v>382</v>
      </c>
      <c r="H63" s="1942"/>
      <c r="I63" s="1942">
        <f t="shared" si="0"/>
        <v>49</v>
      </c>
    </row>
    <row r="64" spans="1:9" x14ac:dyDescent="0.2">
      <c r="A64" s="1936" t="s">
        <v>2138</v>
      </c>
      <c r="C64" s="1942">
        <v>2165</v>
      </c>
      <c r="D64" s="1942"/>
      <c r="E64" s="1942">
        <v>750</v>
      </c>
      <c r="F64" s="1942"/>
      <c r="G64" s="1942">
        <v>1000</v>
      </c>
      <c r="H64" s="1942"/>
      <c r="I64" s="1942">
        <f t="shared" si="0"/>
        <v>1915</v>
      </c>
    </row>
    <row r="65" spans="1:9" x14ac:dyDescent="0.2">
      <c r="A65" s="1936" t="s">
        <v>2139</v>
      </c>
      <c r="C65" s="1942">
        <v>2569</v>
      </c>
      <c r="D65" s="1942"/>
      <c r="E65" s="1942">
        <v>13882</v>
      </c>
      <c r="F65" s="1942"/>
      <c r="G65" s="1942">
        <v>7171</v>
      </c>
      <c r="H65" s="1942"/>
      <c r="I65" s="1942">
        <f t="shared" si="0"/>
        <v>9280</v>
      </c>
    </row>
    <row r="66" spans="1:9" x14ac:dyDescent="0.2">
      <c r="A66" s="1936" t="s">
        <v>2140</v>
      </c>
      <c r="C66" s="1942">
        <v>3273</v>
      </c>
      <c r="D66" s="1942"/>
      <c r="E66" s="1942">
        <v>8535</v>
      </c>
      <c r="F66" s="1942"/>
      <c r="G66" s="1942">
        <v>7749</v>
      </c>
      <c r="H66" s="1942"/>
      <c r="I66" s="1942">
        <f t="shared" si="0"/>
        <v>4059</v>
      </c>
    </row>
    <row r="67" spans="1:9" x14ac:dyDescent="0.2">
      <c r="A67" s="1936" t="s">
        <v>2141</v>
      </c>
      <c r="C67" s="1942">
        <v>15</v>
      </c>
      <c r="D67" s="1942"/>
      <c r="E67" s="1942">
        <v>3121</v>
      </c>
      <c r="F67" s="1942"/>
      <c r="G67" s="1942">
        <v>2635</v>
      </c>
      <c r="H67" s="1942"/>
      <c r="I67" s="1942">
        <f t="shared" si="0"/>
        <v>501</v>
      </c>
    </row>
    <row r="68" spans="1:9" x14ac:dyDescent="0.2">
      <c r="A68" s="1936" t="s">
        <v>2142</v>
      </c>
      <c r="C68" s="1942">
        <v>951</v>
      </c>
      <c r="D68" s="1942"/>
      <c r="E68" s="1942">
        <v>4791</v>
      </c>
      <c r="F68" s="1942"/>
      <c r="G68" s="1942">
        <v>3039</v>
      </c>
      <c r="H68" s="1942"/>
      <c r="I68" s="1942">
        <f t="shared" si="0"/>
        <v>2703</v>
      </c>
    </row>
    <row r="69" spans="1:9" x14ac:dyDescent="0.2">
      <c r="A69" s="1936" t="s">
        <v>2143</v>
      </c>
      <c r="C69" s="1942">
        <v>2668</v>
      </c>
      <c r="D69" s="1942"/>
      <c r="E69" s="1942">
        <v>3883</v>
      </c>
      <c r="F69" s="1942"/>
      <c r="G69" s="1942">
        <v>3332</v>
      </c>
      <c r="H69" s="1942"/>
      <c r="I69" s="1942">
        <f t="shared" si="0"/>
        <v>3219</v>
      </c>
    </row>
    <row r="70" spans="1:9" x14ac:dyDescent="0.2">
      <c r="A70" s="1936" t="s">
        <v>2144</v>
      </c>
      <c r="C70" s="1941">
        <v>625</v>
      </c>
      <c r="D70" s="1942"/>
      <c r="E70" s="1941">
        <v>5578</v>
      </c>
      <c r="F70" s="1942"/>
      <c r="G70" s="1941">
        <v>5455</v>
      </c>
      <c r="H70" s="1942"/>
      <c r="I70" s="1941">
        <f t="shared" si="0"/>
        <v>748</v>
      </c>
    </row>
    <row r="71" spans="1:9" ht="7.5" customHeight="1" x14ac:dyDescent="0.2">
      <c r="C71" s="1945"/>
      <c r="D71" s="1945"/>
      <c r="E71" s="1945"/>
      <c r="F71" s="1945"/>
      <c r="G71" s="1945"/>
      <c r="H71" s="1945"/>
      <c r="I71" s="1945"/>
    </row>
    <row r="72" spans="1:9" ht="13.5" thickBot="1" x14ac:dyDescent="0.25">
      <c r="A72" s="1936" t="s">
        <v>2145</v>
      </c>
      <c r="C72" s="1947">
        <f>SUM(C20:C70)</f>
        <v>79322</v>
      </c>
      <c r="D72" s="1946"/>
      <c r="E72" s="1947">
        <f>SUM(E20:E70)</f>
        <v>176851</v>
      </c>
      <c r="F72" s="1946"/>
      <c r="G72" s="1947">
        <f>SUM(G20:G70)</f>
        <v>184908</v>
      </c>
      <c r="H72" s="1946"/>
      <c r="I72" s="1947">
        <f>SUM(I20:I70)</f>
        <v>71265</v>
      </c>
    </row>
    <row r="73" spans="1:9" ht="13.5" thickTop="1" x14ac:dyDescent="0.2"/>
  </sheetData>
  <mergeCells count="4">
    <mergeCell ref="A1:I1"/>
    <mergeCell ref="A2:I2"/>
    <mergeCell ref="A3:I3"/>
    <mergeCell ref="A4:I4"/>
  </mergeCells>
  <printOptions horizontalCentered="1"/>
  <pageMargins left="1" right="0.75" top="1" bottom="0.5" header="1" footer="0.25"/>
  <pageSetup scale="73" orientation="portrait" r:id="rId1"/>
  <headerFooter>
    <oddFooter>&amp;L
&amp;CReference should be made to auditor's report regarding this information.
56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1690</v>
      </c>
      <c r="B1" s="2369"/>
      <c r="C1" s="2369"/>
      <c r="D1" s="2369"/>
      <c r="E1" s="2369"/>
      <c r="F1" s="2370"/>
    </row>
    <row r="2" spans="1:8" ht="45" customHeight="1" x14ac:dyDescent="0.2">
      <c r="A2" s="2378" t="s">
        <v>1985</v>
      </c>
      <c r="B2" s="2379"/>
      <c r="C2" s="2379"/>
      <c r="D2" s="2379"/>
      <c r="E2" s="2379"/>
      <c r="F2" s="2380"/>
      <c r="G2" s="1073"/>
      <c r="H2" s="1073"/>
    </row>
    <row r="3" spans="1:8" ht="57" customHeight="1" x14ac:dyDescent="0.2">
      <c r="A3" s="2381" t="s">
        <v>1686</v>
      </c>
      <c r="B3" s="2382"/>
      <c r="C3" s="2382"/>
      <c r="D3" s="2382"/>
      <c r="E3" s="2382"/>
      <c r="F3" s="2383"/>
      <c r="G3" s="1073"/>
      <c r="H3" s="1073"/>
    </row>
    <row r="4" spans="1:8" ht="14.25" customHeight="1" x14ac:dyDescent="0.2">
      <c r="A4" s="2387" t="s">
        <v>1986</v>
      </c>
      <c r="B4" s="2388"/>
      <c r="C4" s="2388"/>
      <c r="D4" s="2388"/>
      <c r="E4" s="2388"/>
      <c r="F4" s="2389"/>
      <c r="G4" s="1073"/>
      <c r="H4" s="1073"/>
    </row>
    <row r="5" spans="1:8" ht="14.25" customHeight="1" x14ac:dyDescent="0.2">
      <c r="A5" s="2390" t="s">
        <v>1982</v>
      </c>
      <c r="B5" s="2391"/>
      <c r="C5" s="2391"/>
      <c r="D5" s="2391"/>
      <c r="E5" s="2391"/>
      <c r="F5" s="2392"/>
      <c r="G5" s="1073"/>
      <c r="H5" s="1073"/>
    </row>
    <row r="6" spans="1:8" s="1074" customFormat="1" ht="41.25" customHeight="1" x14ac:dyDescent="0.2">
      <c r="A6" s="2384" t="s">
        <v>1691</v>
      </c>
      <c r="B6" s="2385"/>
      <c r="C6" s="2385"/>
      <c r="D6" s="2385"/>
      <c r="E6" s="2385"/>
      <c r="F6" s="238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4140577</v>
      </c>
      <c r="C8" s="1814">
        <f>'Acct Summary 7-8'!D8</f>
        <v>639437</v>
      </c>
      <c r="D8" s="1814">
        <f>'Acct Summary 7-8'!F8</f>
        <v>374442</v>
      </c>
      <c r="E8" s="1814">
        <f>'Acct Summary 7-8'!I8</f>
        <v>20942</v>
      </c>
      <c r="F8" s="1814">
        <f>SUM(B8:E8)</f>
        <v>5175398</v>
      </c>
    </row>
    <row r="9" spans="1:8" s="1078" customFormat="1" ht="14.25" customHeight="1" thickBot="1" x14ac:dyDescent="0.25">
      <c r="A9" s="1077" t="s">
        <v>1369</v>
      </c>
      <c r="B9" s="1815">
        <f>'Acct Summary 7-8'!C17</f>
        <v>4298879</v>
      </c>
      <c r="C9" s="1815">
        <f>'Acct Summary 7-8'!D17</f>
        <v>490479</v>
      </c>
      <c r="D9" s="1815">
        <f>'Acct Summary 7-8'!F17</f>
        <v>428724</v>
      </c>
      <c r="E9" s="1814"/>
      <c r="F9" s="1814">
        <f>SUM(B9:E9)</f>
        <v>5218082</v>
      </c>
    </row>
    <row r="10" spans="1:8" s="1078" customFormat="1" ht="14.25" thickTop="1" thickBot="1" x14ac:dyDescent="0.25">
      <c r="A10" s="1079" t="s">
        <v>1370</v>
      </c>
      <c r="B10" s="1816">
        <f>(B8-B9)</f>
        <v>-158302</v>
      </c>
      <c r="C10" s="1816">
        <f>(C8-C9)</f>
        <v>148958</v>
      </c>
      <c r="D10" s="1816">
        <f>(D8-D9)</f>
        <v>-54282</v>
      </c>
      <c r="E10" s="1815">
        <f>(E8-E9)</f>
        <v>20942</v>
      </c>
      <c r="F10" s="1817">
        <f>SUM(F8-F9)</f>
        <v>-42684</v>
      </c>
    </row>
    <row r="11" spans="1:8" s="1078" customFormat="1" ht="14.25" thickTop="1" thickBot="1" x14ac:dyDescent="0.25">
      <c r="A11" s="1080" t="s">
        <v>1983</v>
      </c>
      <c r="B11" s="1818">
        <f>'Acct Summary 7-8'!C81</f>
        <v>691123</v>
      </c>
      <c r="C11" s="1818">
        <f>'Acct Summary 7-8'!D81</f>
        <v>1217617</v>
      </c>
      <c r="D11" s="1818">
        <f>'Acct Summary 7-8'!F81</f>
        <v>251979</v>
      </c>
      <c r="E11" s="1818">
        <f>'Acct Summary 7-8'!I81</f>
        <v>443656</v>
      </c>
      <c r="F11" s="1819">
        <f>SUM(B11:E11)</f>
        <v>2604375</v>
      </c>
    </row>
    <row r="12" spans="1:8" ht="16.5" customHeight="1" thickTop="1" x14ac:dyDescent="0.2">
      <c r="A12" s="1081"/>
      <c r="B12" s="1082"/>
      <c r="C12" s="2372" t="str">
        <f>IF(AND(F10&lt;0,F11&gt;=0,ABS(F10*3)&gt;ABS(F11)),A16,IF(AND(F10&lt;0,F11&gt;0,ABS(F10*3)&lt;=ABS(F11)),A17,IF(AND(F10&lt;0,F11&lt;0),A16,IF(F11=0,A19,A18))))</f>
        <v>Unbalanced -  however, a deficit reduction plan is not required at this time.</v>
      </c>
      <c r="D12" s="2373"/>
      <c r="E12" s="2373"/>
      <c r="F12" s="2374"/>
    </row>
    <row r="13" spans="1:8" ht="19.5" customHeight="1" x14ac:dyDescent="0.2">
      <c r="A13" s="1083"/>
      <c r="B13" s="1084"/>
      <c r="C13" s="2372"/>
      <c r="D13" s="2373"/>
      <c r="E13" s="2373"/>
      <c r="F13" s="2374"/>
      <c r="H13" s="1073"/>
    </row>
    <row r="14" spans="1:8" ht="19.5" customHeight="1" x14ac:dyDescent="0.2">
      <c r="A14" s="1083"/>
      <c r="B14" s="1084"/>
      <c r="C14" s="2372"/>
      <c r="D14" s="2373"/>
      <c r="E14" s="2373"/>
      <c r="F14" s="2374"/>
      <c r="H14" s="1073"/>
    </row>
    <row r="15" spans="1:8" ht="17.25" customHeight="1" x14ac:dyDescent="0.2">
      <c r="A15" s="1083"/>
      <c r="B15" s="1084"/>
      <c r="C15" s="2375"/>
      <c r="D15" s="2376"/>
      <c r="E15" s="2376"/>
      <c r="F15" s="2377"/>
      <c r="H15" s="1073"/>
    </row>
    <row r="16" spans="1:8" s="310" customFormat="1" ht="51.75" hidden="1" customHeight="1" x14ac:dyDescent="0.2">
      <c r="A16" s="2371" t="s">
        <v>1687</v>
      </c>
      <c r="B16" s="2371"/>
      <c r="C16" s="2371"/>
      <c r="D16" s="2371"/>
      <c r="E16" s="237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5" right="0.5" top="1.25" bottom="0.5" header="1" footer="0.25"/>
  <pageSetup firstPageNumber="19" fitToHeight="0" orientation="landscape" useFirstPageNumber="1" r:id="rId1"/>
  <headerFooter alignWithMargins="0">
    <oddHeader xml:space="preserve">&amp;L&amp;8Page 36&amp;R&amp;8Page 36
</oddHeader>
    <oddFooter>&amp;CReference should be made to auditor's report regarding this information.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53" sqref="C5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3" t="s">
        <v>665</v>
      </c>
      <c r="B3" s="2394"/>
      <c r="C3" s="2394"/>
      <c r="D3" s="239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4" t="s">
        <v>1504</v>
      </c>
      <c r="D7" s="2405"/>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96" t="s">
        <v>1008</v>
      </c>
      <c r="B15" s="2397"/>
      <c r="C15" s="2397"/>
      <c r="D15" s="2398"/>
    </row>
    <row r="16" spans="1:4" s="668" customFormat="1" ht="24" customHeight="1" x14ac:dyDescent="0.2">
      <c r="A16" s="2399" t="s">
        <v>663</v>
      </c>
      <c r="B16" s="2400"/>
      <c r="C16" s="2400"/>
      <c r="D16" s="240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8" t="s">
        <v>314</v>
      </c>
      <c r="D21" s="2409"/>
    </row>
    <row r="22" spans="1:10" ht="12.75" x14ac:dyDescent="0.2">
      <c r="A22" s="1138"/>
      <c r="B22" s="1139">
        <v>2</v>
      </c>
      <c r="C22" s="2406" t="s">
        <v>1524</v>
      </c>
      <c r="D22" s="240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10" t="s">
        <v>536</v>
      </c>
      <c r="D43" s="241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02" t="s">
        <v>784</v>
      </c>
      <c r="D56" s="240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402" t="s">
        <v>1696</v>
      </c>
      <c r="D70" s="240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PLEASE ENTER CONTRACTS PAID IN CURRENT YEAR.</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51084001026</v>
      </c>
    </row>
    <row r="3" spans="1:2" x14ac:dyDescent="0.2">
      <c r="A3" t="s">
        <v>956</v>
      </c>
      <c r="B3" s="138" t="str">
        <f>COVER!A15</f>
        <v>Sangamon</v>
      </c>
    </row>
    <row r="4" spans="1:2" x14ac:dyDescent="0.2">
      <c r="A4" t="s">
        <v>1007</v>
      </c>
      <c r="B4" s="138" t="str">
        <f>COVER!A17</f>
        <v>Tri City CUSD 1</v>
      </c>
    </row>
    <row r="5" spans="1:2" x14ac:dyDescent="0.2">
      <c r="A5" t="s">
        <v>704</v>
      </c>
      <c r="B5" s="138" t="str">
        <f>COVER!A38</f>
        <v>Jill Larson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066-003847</v>
      </c>
    </row>
    <row r="16" spans="1:2" x14ac:dyDescent="0.2">
      <c r="A16" t="s">
        <v>422</v>
      </c>
      <c r="B16" s="138" t="str">
        <f>COVER!T13</f>
        <v>LMHN, Ltd.</v>
      </c>
    </row>
    <row r="17" spans="1:2" x14ac:dyDescent="0.2">
      <c r="A17" t="s">
        <v>884</v>
      </c>
      <c r="B17" s="138" t="str">
        <f>COVER!T15</f>
        <v>M. Adam Mathias</v>
      </c>
    </row>
    <row r="18" spans="1:2" x14ac:dyDescent="0.2">
      <c r="A18" t="s">
        <v>1150</v>
      </c>
      <c r="B18" s="138" t="str">
        <f>COVER!T17</f>
        <v>900 N Webster St - PO Box 87</v>
      </c>
    </row>
    <row r="19" spans="1:2" x14ac:dyDescent="0.2">
      <c r="A19" t="s">
        <v>886</v>
      </c>
      <c r="B19" s="138" t="str">
        <f>COVER!T25</f>
        <v>lmhncpas@yahoo.com</v>
      </c>
    </row>
    <row r="20" spans="1:2" x14ac:dyDescent="0.2">
      <c r="A20" t="s">
        <v>887</v>
      </c>
      <c r="B20" s="138" t="str">
        <f>COVER!T19</f>
        <v>Taylorville</v>
      </c>
    </row>
    <row r="21" spans="1:2" x14ac:dyDescent="0.2">
      <c r="A21" t="s">
        <v>479</v>
      </c>
      <c r="B21" s="138" t="str">
        <f>COVER!X19</f>
        <v>IL</v>
      </c>
    </row>
    <row r="22" spans="1:2" x14ac:dyDescent="0.2">
      <c r="A22" t="s">
        <v>888</v>
      </c>
      <c r="B22" s="138">
        <f>COVER!Z19</f>
        <v>62568</v>
      </c>
    </row>
    <row r="23" spans="1:2" x14ac:dyDescent="0.2">
      <c r="A23" t="s">
        <v>1152</v>
      </c>
      <c r="B23" s="138" t="str">
        <f>COVER!T21</f>
        <v>217-824-9661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670259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691123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691123</v>
      </c>
      <c r="D92" s="2" t="str">
        <f t="shared" si="0"/>
        <v>Error?</v>
      </c>
    </row>
    <row r="93" spans="1:4" x14ac:dyDescent="0.2">
      <c r="A93" s="5">
        <v>32</v>
      </c>
      <c r="B93" s="138">
        <f>'Assets-Liab 5-6'!C41</f>
        <v>691123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1153798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1217617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1217617</v>
      </c>
      <c r="D123" s="2" t="str">
        <f t="shared" si="0"/>
        <v>Error?</v>
      </c>
    </row>
    <row r="124" spans="1:4" x14ac:dyDescent="0.2">
      <c r="A124" s="5">
        <v>63</v>
      </c>
      <c r="B124" s="138">
        <f>'Assets-Liab 5-6'!D41</f>
        <v>1217617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357325</v>
      </c>
      <c r="D129" s="2" t="str">
        <f t="shared" si="1"/>
        <v>Error?</v>
      </c>
    </row>
    <row r="130" spans="1:4" x14ac:dyDescent="0.2">
      <c r="A130" s="5">
        <v>69</v>
      </c>
      <c r="B130" s="138">
        <f>'Assets-Liab 5-6'!E12</f>
        <v>0</v>
      </c>
      <c r="D130" s="2" t="str">
        <f t="shared" si="1"/>
        <v>Error?</v>
      </c>
    </row>
    <row r="131" spans="1:4" x14ac:dyDescent="0.2">
      <c r="A131" s="5">
        <v>70</v>
      </c>
      <c r="B131" s="138">
        <f>'Assets-Liab 5-6'!E13</f>
        <v>372443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372443</v>
      </c>
      <c r="D140" s="2" t="str">
        <f t="shared" si="1"/>
        <v>Error?</v>
      </c>
    </row>
    <row r="141" spans="1:4" x14ac:dyDescent="0.2">
      <c r="A141" s="5">
        <v>80</v>
      </c>
      <c r="B141" s="138">
        <f>'Assets-Liab 5-6'!E41</f>
        <v>372443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224474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251979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251979</v>
      </c>
      <c r="D170" s="2" t="str">
        <f t="shared" si="1"/>
        <v>Error?</v>
      </c>
    </row>
    <row r="171" spans="1:4" x14ac:dyDescent="0.2">
      <c r="A171" s="5">
        <v>110</v>
      </c>
      <c r="B171" s="138">
        <f>'Assets-Liab 5-6'!F41</f>
        <v>251979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101332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150556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150556</v>
      </c>
      <c r="D189" s="2" t="str">
        <f t="shared" si="1"/>
        <v>Error?</v>
      </c>
    </row>
    <row r="190" spans="1:4" x14ac:dyDescent="0.2">
      <c r="A190" s="5">
        <v>129</v>
      </c>
      <c r="B190" s="138">
        <f>'Assets-Liab 5-6'!G41</f>
        <v>150556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38176</v>
      </c>
      <c r="D273" s="2" t="str">
        <f t="shared" si="3"/>
        <v>Error?</v>
      </c>
    </row>
    <row r="274" spans="1:4" x14ac:dyDescent="0.2">
      <c r="A274" s="5">
        <v>213</v>
      </c>
      <c r="B274" s="138">
        <f>'Assets-Liab 5-6'!M17</f>
        <v>9654452</v>
      </c>
      <c r="D274" s="2" t="str">
        <f t="shared" si="3"/>
        <v>Error?</v>
      </c>
    </row>
    <row r="275" spans="1:4" x14ac:dyDescent="0.2">
      <c r="A275" s="5">
        <v>214</v>
      </c>
      <c r="B275" s="138">
        <f>'Assets-Liab 5-6'!M18</f>
        <v>85781</v>
      </c>
      <c r="D275" s="2" t="str">
        <f t="shared" si="3"/>
        <v>Error?</v>
      </c>
    </row>
    <row r="276" spans="1:4" x14ac:dyDescent="0.2">
      <c r="A276" s="5">
        <v>215</v>
      </c>
      <c r="B276" s="138">
        <f>'Assets-Liab 5-6'!M19</f>
        <v>854533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10632942</v>
      </c>
      <c r="C279" s="2" t="s">
        <v>573</v>
      </c>
      <c r="D279" s="2" t="str">
        <f t="shared" si="3"/>
        <v>Error?</v>
      </c>
    </row>
    <row r="280" spans="1:4" x14ac:dyDescent="0.2">
      <c r="A280" s="5">
        <v>219</v>
      </c>
      <c r="B280" s="138">
        <f>'Assets-Liab 5-6'!M40</f>
        <v>10632942</v>
      </c>
      <c r="D280" s="2" t="str">
        <f t="shared" si="3"/>
        <v>Error?</v>
      </c>
    </row>
    <row r="281" spans="1:4" x14ac:dyDescent="0.2">
      <c r="A281" s="5">
        <v>220</v>
      </c>
      <c r="B281" s="138">
        <f>'Assets-Liab 5-6'!M41</f>
        <v>10632942</v>
      </c>
      <c r="C281" s="2" t="s">
        <v>573</v>
      </c>
      <c r="D281" s="2" t="str">
        <f t="shared" si="3"/>
        <v>Error?</v>
      </c>
    </row>
    <row r="282" spans="1:4" x14ac:dyDescent="0.2">
      <c r="A282" s="5">
        <v>221</v>
      </c>
      <c r="B282" s="138">
        <f>'Assets-Liab 5-6'!N21</f>
        <v>372443</v>
      </c>
      <c r="D282" s="2" t="str">
        <f t="shared" si="3"/>
        <v>Error?</v>
      </c>
    </row>
    <row r="283" spans="1:4" x14ac:dyDescent="0.2">
      <c r="A283" s="5">
        <v>222</v>
      </c>
      <c r="B283" s="138">
        <f>'Assets-Liab 5-6'!N22</f>
        <v>3757557</v>
      </c>
      <c r="D283" s="2" t="str">
        <f t="shared" si="3"/>
        <v>Error?</v>
      </c>
    </row>
    <row r="284" spans="1:4" x14ac:dyDescent="0.2">
      <c r="A284" s="5">
        <v>223</v>
      </c>
      <c r="B284" s="138">
        <f>'Assets-Liab 5-6'!N23</f>
        <v>4130000</v>
      </c>
      <c r="C284" s="2" t="s">
        <v>573</v>
      </c>
      <c r="D284" s="2" t="str">
        <f t="shared" si="3"/>
        <v>Error?</v>
      </c>
    </row>
    <row r="285" spans="1:4" x14ac:dyDescent="0.2">
      <c r="A285" s="5">
        <v>224</v>
      </c>
      <c r="B285" s="138">
        <f>'Assets-Liab 5-6'!N36</f>
        <v>4130000</v>
      </c>
      <c r="D285" s="2" t="str">
        <f t="shared" si="3"/>
        <v>Error?</v>
      </c>
    </row>
    <row r="286" spans="1:4" x14ac:dyDescent="0.2">
      <c r="A286" s="10">
        <v>225</v>
      </c>
      <c r="D286" s="2" t="str">
        <f t="shared" si="3"/>
        <v>OK</v>
      </c>
    </row>
    <row r="287" spans="1:4" x14ac:dyDescent="0.2">
      <c r="A287" s="5">
        <v>226</v>
      </c>
      <c r="B287" s="138">
        <f>'Assets-Liab 5-6'!N37</f>
        <v>4130000</v>
      </c>
      <c r="C287" s="2" t="s">
        <v>573</v>
      </c>
      <c r="D287" s="2" t="str">
        <f t="shared" si="3"/>
        <v>Error?</v>
      </c>
    </row>
    <row r="288" spans="1:4" x14ac:dyDescent="0.2">
      <c r="A288" s="5">
        <v>227</v>
      </c>
      <c r="B288" s="138">
        <f>'Assets-Liab 5-6'!N41</f>
        <v>4130000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1745708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9916</v>
      </c>
      <c r="D717" s="2" t="str">
        <f t="shared" si="10"/>
        <v>Error?</v>
      </c>
    </row>
    <row r="718" spans="1:4" x14ac:dyDescent="0.2">
      <c r="A718" s="5">
        <v>657</v>
      </c>
      <c r="B718" s="138">
        <f>'Expenditures 15-22'!C14</f>
        <v>77895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2361466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39517</v>
      </c>
      <c r="D722" s="2" t="str">
        <f t="shared" si="10"/>
        <v>Error?</v>
      </c>
    </row>
    <row r="723" spans="1:4" x14ac:dyDescent="0.2">
      <c r="A723" s="5">
        <v>662</v>
      </c>
      <c r="B723" s="138">
        <f>'Expenditures 15-22'!C38</f>
        <v>55007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188209</v>
      </c>
      <c r="D726" s="2" t="str">
        <f t="shared" si="10"/>
        <v>Error?</v>
      </c>
    </row>
    <row r="727" spans="1:4" x14ac:dyDescent="0.2">
      <c r="A727" s="5">
        <v>666</v>
      </c>
      <c r="B727" s="138">
        <f>'Expenditures 15-22'!C42</f>
        <v>282733</v>
      </c>
      <c r="C727" s="2" t="s">
        <v>573</v>
      </c>
      <c r="D727" s="2" t="str">
        <f t="shared" si="10"/>
        <v>Error?</v>
      </c>
    </row>
    <row r="728" spans="1:4" x14ac:dyDescent="0.2">
      <c r="A728" s="5">
        <v>667</v>
      </c>
      <c r="B728" s="138">
        <f>'Expenditures 15-22'!C44</f>
        <v>7537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7537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159779</v>
      </c>
      <c r="D733" s="2" t="str">
        <f t="shared" si="10"/>
        <v>Error?</v>
      </c>
    </row>
    <row r="734" spans="1:4" x14ac:dyDescent="0.2">
      <c r="A734" s="5">
        <v>673</v>
      </c>
      <c r="B734" s="138">
        <f>'Expenditures 15-22'!C53</f>
        <v>159779</v>
      </c>
      <c r="C734" s="2" t="s">
        <v>573</v>
      </c>
      <c r="D734" s="2" t="str">
        <f t="shared" si="10"/>
        <v>Error?</v>
      </c>
    </row>
    <row r="735" spans="1:4" x14ac:dyDescent="0.2">
      <c r="A735" s="5">
        <v>674</v>
      </c>
      <c r="B735" s="138">
        <f>'Expenditures 15-22'!C55</f>
        <v>239793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239793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54802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48134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102936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792778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3154244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303547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169</v>
      </c>
      <c r="D775" s="2" t="str">
        <f t="shared" si="11"/>
        <v>Error?</v>
      </c>
    </row>
    <row r="776" spans="1:4" x14ac:dyDescent="0.2">
      <c r="A776" s="5">
        <v>715</v>
      </c>
      <c r="B776" s="138">
        <f>'Expenditures 15-22'!D14</f>
        <v>1172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367549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8822</v>
      </c>
      <c r="D780" s="2" t="str">
        <f t="shared" si="11"/>
        <v>Error?</v>
      </c>
    </row>
    <row r="781" spans="1:4" x14ac:dyDescent="0.2">
      <c r="A781" s="5">
        <v>720</v>
      </c>
      <c r="B781" s="138">
        <f>'Expenditures 15-22'!D38</f>
        <v>8703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34793</v>
      </c>
      <c r="D784" s="2" t="str">
        <f t="shared" si="11"/>
        <v>Error?</v>
      </c>
    </row>
    <row r="785" spans="1:4" x14ac:dyDescent="0.2">
      <c r="A785" s="5">
        <v>724</v>
      </c>
      <c r="B785" s="138">
        <f>'Expenditures 15-22'!D42</f>
        <v>52318</v>
      </c>
      <c r="C785" s="2" t="s">
        <v>573</v>
      </c>
      <c r="D785" s="2" t="str">
        <f t="shared" si="11"/>
        <v>Error?</v>
      </c>
    </row>
    <row r="786" spans="1:4" x14ac:dyDescent="0.2">
      <c r="A786" s="5">
        <v>725</v>
      </c>
      <c r="B786" s="138">
        <f>'Expenditures 15-22'!D44</f>
        <v>141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4004</v>
      </c>
      <c r="D791" s="2" t="str">
        <f t="shared" si="11"/>
        <v>Error?</v>
      </c>
    </row>
    <row r="792" spans="1:4" x14ac:dyDescent="0.2">
      <c r="A792" s="5">
        <v>731</v>
      </c>
      <c r="B792" s="138">
        <f>'Expenditures 15-22'!D53</f>
        <v>4004</v>
      </c>
      <c r="C792" s="2" t="s">
        <v>573</v>
      </c>
      <c r="D792" s="2" t="str">
        <f t="shared" si="11"/>
        <v>Error?</v>
      </c>
    </row>
    <row r="793" spans="1:4" x14ac:dyDescent="0.2">
      <c r="A793" s="5">
        <v>732</v>
      </c>
      <c r="B793" s="138">
        <f>'Expenditures 15-22'!D55</f>
        <v>13381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13381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8385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17311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87155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454704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24850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31504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12520</v>
      </c>
      <c r="D844" s="2" t="str">
        <f t="shared" si="12"/>
        <v>Error?</v>
      </c>
    </row>
    <row r="845" spans="1:4" x14ac:dyDescent="0.2">
      <c r="A845" s="5">
        <v>784</v>
      </c>
      <c r="B845" s="138">
        <f>'Expenditures 15-22'!E45</f>
        <v>500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13020</v>
      </c>
      <c r="C847" s="2" t="s">
        <v>573</v>
      </c>
      <c r="D847" s="2" t="str">
        <f t="shared" si="12"/>
        <v>Error?</v>
      </c>
    </row>
    <row r="848" spans="1:4" x14ac:dyDescent="0.2">
      <c r="A848" s="5">
        <v>787</v>
      </c>
      <c r="B848" s="138">
        <f>'Expenditures 15-22'!E49</f>
        <v>11429</v>
      </c>
      <c r="D848" s="2" t="str">
        <f t="shared" si="12"/>
        <v>Error?</v>
      </c>
    </row>
    <row r="849" spans="1:4" x14ac:dyDescent="0.2">
      <c r="A849" s="5">
        <v>788</v>
      </c>
      <c r="B849" s="138">
        <f>'Expenditures 15-22'!E50</f>
        <v>794</v>
      </c>
      <c r="D849" s="2" t="str">
        <f t="shared" si="12"/>
        <v>Error?</v>
      </c>
    </row>
    <row r="850" spans="1:4" x14ac:dyDescent="0.2">
      <c r="A850" s="5">
        <v>789</v>
      </c>
      <c r="B850" s="138">
        <f>'Expenditures 15-22'!E53</f>
        <v>12223</v>
      </c>
      <c r="C850" s="2" t="s">
        <v>573</v>
      </c>
      <c r="D850" s="2" t="str">
        <f t="shared" si="12"/>
        <v>Error?</v>
      </c>
    </row>
    <row r="851" spans="1:4" x14ac:dyDescent="0.2">
      <c r="A851" s="5">
        <v>790</v>
      </c>
      <c r="B851" s="138">
        <f>'Expenditures 15-22'!E55</f>
        <v>214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90638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90941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116398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147902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63819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7484</v>
      </c>
      <c r="D891" s="2" t="str">
        <f t="shared" si="12"/>
        <v>Error?</v>
      </c>
    </row>
    <row r="892" spans="1:4" x14ac:dyDescent="0.2">
      <c r="A892" s="5">
        <v>831</v>
      </c>
      <c r="B892" s="138">
        <f>'Expenditures 15-22'!F14</f>
        <v>28893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152875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61</v>
      </c>
      <c r="D896" s="2" t="str">
        <f t="shared" si="13"/>
        <v>Error?</v>
      </c>
    </row>
    <row r="897" spans="1:4" x14ac:dyDescent="0.2">
      <c r="A897" s="5">
        <v>836</v>
      </c>
      <c r="B897" s="138">
        <f>'Expenditures 15-22'!F38</f>
        <v>876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937</v>
      </c>
      <c r="C901" s="2" t="s">
        <v>573</v>
      </c>
      <c r="D901" s="2" t="str">
        <f t="shared" si="13"/>
        <v>Error?</v>
      </c>
    </row>
    <row r="902" spans="1:4" x14ac:dyDescent="0.2">
      <c r="A902" s="5">
        <v>841</v>
      </c>
      <c r="B902" s="138">
        <f>'Expenditures 15-22'!F44</f>
        <v>34000</v>
      </c>
      <c r="D902" s="2" t="str">
        <f t="shared" si="13"/>
        <v>Error?</v>
      </c>
    </row>
    <row r="903" spans="1:4" x14ac:dyDescent="0.2">
      <c r="A903" s="5">
        <v>842</v>
      </c>
      <c r="B903" s="138">
        <f>'Expenditures 15-22'!F45</f>
        <v>2123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36123</v>
      </c>
      <c r="C905" s="2" t="s">
        <v>573</v>
      </c>
      <c r="D905" s="2" t="str">
        <f t="shared" si="13"/>
        <v>Error?</v>
      </c>
    </row>
    <row r="906" spans="1:4" x14ac:dyDescent="0.2">
      <c r="A906" s="5">
        <v>845</v>
      </c>
      <c r="B906" s="138">
        <f>'Expenditures 15-22'!F49</f>
        <v>17639</v>
      </c>
      <c r="D906" s="2" t="str">
        <f t="shared" si="13"/>
        <v>Error?</v>
      </c>
    </row>
    <row r="907" spans="1:4" x14ac:dyDescent="0.2">
      <c r="A907" s="5">
        <v>846</v>
      </c>
      <c r="B907" s="138">
        <f>'Expenditures 15-22'!F50</f>
        <v>3</v>
      </c>
      <c r="D907" s="2" t="str">
        <f t="shared" si="13"/>
        <v>Error?</v>
      </c>
    </row>
    <row r="908" spans="1:4" x14ac:dyDescent="0.2">
      <c r="A908" s="5">
        <v>847</v>
      </c>
      <c r="B908" s="138">
        <f>'Expenditures 15-22'!F53</f>
        <v>17642</v>
      </c>
      <c r="C908" s="2" t="s">
        <v>573</v>
      </c>
      <c r="D908" s="2" t="str">
        <f t="shared" si="13"/>
        <v>Error?</v>
      </c>
    </row>
    <row r="909" spans="1:4" x14ac:dyDescent="0.2">
      <c r="A909" s="5">
        <v>848</v>
      </c>
      <c r="B909" s="138">
        <f>'Expenditures 15-22'!F55</f>
        <v>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56752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209627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9410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10753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10753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19387</v>
      </c>
      <c r="D1022" s="2" t="str">
        <f t="shared" si="14"/>
        <v>Error?</v>
      </c>
    </row>
    <row r="1023" spans="1:4" x14ac:dyDescent="0.2">
      <c r="A1023" s="5">
        <v>962</v>
      </c>
      <c r="B1023" s="138">
        <f>'Expenditures 15-22'!H50</f>
        <v>3150</v>
      </c>
      <c r="D1023" s="2" t="str">
        <f t="shared" ref="D1023:D1086" si="15">IF(ISBLANK(B1023),"OK",IF(A1023-B1023=0,"OK","Error?"))</f>
        <v>Error?</v>
      </c>
    </row>
    <row r="1024" spans="1:4" x14ac:dyDescent="0.2">
      <c r="A1024" s="5">
        <v>963</v>
      </c>
      <c r="B1024" s="138">
        <f>'Expenditures 15-22'!H53</f>
        <v>22537</v>
      </c>
      <c r="C1024" s="2" t="s">
        <v>573</v>
      </c>
      <c r="D1024" s="2" t="str">
        <f t="shared" si="15"/>
        <v>Error?</v>
      </c>
    </row>
    <row r="1025" spans="1:4" x14ac:dyDescent="0.2">
      <c r="A1025" s="5">
        <v>964</v>
      </c>
      <c r="B1025" s="138">
        <f>'Expenditures 15-22'!H55</f>
        <v>1277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1277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23864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292275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321649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2114823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17569</v>
      </c>
      <c r="C1105" s="2" t="s">
        <v>573</v>
      </c>
      <c r="D1105" s="2" t="str">
        <f t="shared" si="16"/>
        <v>Error?</v>
      </c>
    </row>
    <row r="1106" spans="1:4" x14ac:dyDescent="0.2">
      <c r="A1106" s="5">
        <v>1045</v>
      </c>
      <c r="B1106" s="138">
        <f>'Expenditures 15-22'!K14</f>
        <v>146010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2929657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48450</v>
      </c>
      <c r="C1110" s="2" t="s">
        <v>573</v>
      </c>
      <c r="D1110" s="2" t="str">
        <f t="shared" si="16"/>
        <v>Error?</v>
      </c>
    </row>
    <row r="1111" spans="1:4" x14ac:dyDescent="0.2">
      <c r="A1111" s="5">
        <v>1050</v>
      </c>
      <c r="B1111" s="138">
        <f>'Expenditures 15-22'!K38</f>
        <v>64586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223002</v>
      </c>
      <c r="C1114" s="2" t="s">
        <v>573</v>
      </c>
      <c r="D1114" s="2" t="str">
        <f t="shared" si="16"/>
        <v>Error?</v>
      </c>
    </row>
    <row r="1115" spans="1:4" x14ac:dyDescent="0.2">
      <c r="A1115" s="5">
        <v>1054</v>
      </c>
      <c r="B1115" s="138">
        <f>'Expenditures 15-22'!K42</f>
        <v>336038</v>
      </c>
      <c r="C1115" s="2" t="s">
        <v>573</v>
      </c>
      <c r="D1115" s="2" t="str">
        <f t="shared" si="16"/>
        <v>Error?</v>
      </c>
    </row>
    <row r="1116" spans="1:4" x14ac:dyDescent="0.2">
      <c r="A1116" s="5">
        <v>1055</v>
      </c>
      <c r="B1116" s="138">
        <f>'Expenditures 15-22'!K44</f>
        <v>54198</v>
      </c>
      <c r="C1116" s="2" t="s">
        <v>573</v>
      </c>
      <c r="D1116" s="2" t="str">
        <f t="shared" si="16"/>
        <v>Error?</v>
      </c>
    </row>
    <row r="1117" spans="1:4" x14ac:dyDescent="0.2">
      <c r="A1117" s="5">
        <v>1056</v>
      </c>
      <c r="B1117" s="138">
        <f>'Expenditures 15-22'!K45</f>
        <v>2623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56821</v>
      </c>
      <c r="C1119" s="2" t="s">
        <v>573</v>
      </c>
      <c r="D1119" s="2" t="str">
        <f t="shared" si="16"/>
        <v>Error?</v>
      </c>
    </row>
    <row r="1120" spans="1:4" x14ac:dyDescent="0.2">
      <c r="A1120" s="5">
        <v>1059</v>
      </c>
      <c r="B1120" s="138">
        <f>'Expenditures 15-22'!K49</f>
        <v>48455</v>
      </c>
      <c r="C1120" s="2" t="s">
        <v>573</v>
      </c>
      <c r="D1120" s="2" t="str">
        <f t="shared" si="16"/>
        <v>Error?</v>
      </c>
    </row>
    <row r="1121" spans="1:4" x14ac:dyDescent="0.2">
      <c r="A1121" s="5">
        <v>1060</v>
      </c>
      <c r="B1121" s="138">
        <f>'Expenditures 15-22'!K50</f>
        <v>167730</v>
      </c>
      <c r="C1121" s="2" t="s">
        <v>573</v>
      </c>
      <c r="D1121" s="2" t="str">
        <f t="shared" si="16"/>
        <v>Error?</v>
      </c>
    </row>
    <row r="1122" spans="1:4" x14ac:dyDescent="0.2">
      <c r="A1122" s="5">
        <v>1061</v>
      </c>
      <c r="B1122" s="138">
        <f>'Expenditures 15-22'!K53</f>
        <v>216185</v>
      </c>
      <c r="C1122" s="2" t="s">
        <v>573</v>
      </c>
      <c r="D1122" s="2" t="str">
        <f t="shared" si="16"/>
        <v>Error?</v>
      </c>
    </row>
    <row r="1123" spans="1:4" x14ac:dyDescent="0.2">
      <c r="A1123" s="5">
        <v>1062</v>
      </c>
      <c r="B1123" s="138">
        <f>'Expenditures 15-22'!K55</f>
        <v>254723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254723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63543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149637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213180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1076947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292275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4298879</v>
      </c>
      <c r="C1152" s="2" t="s">
        <v>573</v>
      </c>
      <c r="D1152" s="2" t="str">
        <f t="shared" si="17"/>
        <v>Error?</v>
      </c>
    </row>
    <row r="1153" spans="1:4" x14ac:dyDescent="0.2">
      <c r="A1153" s="5">
        <v>1092</v>
      </c>
      <c r="B1153" s="138">
        <f>'Expenditures 15-22'!K115</f>
        <v>-158302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199362</v>
      </c>
      <c r="D1221" s="2" t="str">
        <f t="shared" si="18"/>
        <v>Error?</v>
      </c>
    </row>
    <row r="1222" spans="1:4" x14ac:dyDescent="0.2">
      <c r="A1222" s="10">
        <v>1161</v>
      </c>
      <c r="D1222" s="2" t="str">
        <f t="shared" si="18"/>
        <v>OK</v>
      </c>
    </row>
    <row r="1223" spans="1:4" x14ac:dyDescent="0.2">
      <c r="A1223" s="5">
        <v>1162</v>
      </c>
      <c r="B1223" s="138">
        <f>'Expenditures 15-22'!C127</f>
        <v>199362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199362</v>
      </c>
      <c r="C1225" s="2" t="s">
        <v>573</v>
      </c>
      <c r="D1225" s="2" t="str">
        <f t="shared" si="18"/>
        <v>Error?</v>
      </c>
    </row>
    <row r="1226" spans="1:4" x14ac:dyDescent="0.2">
      <c r="A1226" s="5">
        <v>1165</v>
      </c>
      <c r="B1226" s="138">
        <f>'Expenditures 15-22'!C151</f>
        <v>199362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32020</v>
      </c>
      <c r="D1229" s="2" t="str">
        <f t="shared" si="18"/>
        <v>Error?</v>
      </c>
    </row>
    <row r="1230" spans="1:4" x14ac:dyDescent="0.2">
      <c r="A1230" s="10">
        <v>1169</v>
      </c>
      <c r="D1230" s="2" t="str">
        <f t="shared" si="18"/>
        <v>OK</v>
      </c>
    </row>
    <row r="1231" spans="1:4" x14ac:dyDescent="0.2">
      <c r="A1231" s="5">
        <v>1170</v>
      </c>
      <c r="B1231" s="138">
        <f>'Expenditures 15-22'!D127</f>
        <v>32020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32020</v>
      </c>
      <c r="C1233" s="2" t="s">
        <v>573</v>
      </c>
      <c r="D1233" s="2" t="str">
        <f t="shared" si="18"/>
        <v>Error?</v>
      </c>
    </row>
    <row r="1234" spans="1:4" x14ac:dyDescent="0.2">
      <c r="A1234" s="5">
        <v>1173</v>
      </c>
      <c r="B1234" s="138">
        <f>'Expenditures 15-22'!D151</f>
        <v>32020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80060</v>
      </c>
      <c r="D1237" s="2" t="str">
        <f t="shared" si="18"/>
        <v>Error?</v>
      </c>
    </row>
    <row r="1238" spans="1:4" x14ac:dyDescent="0.2">
      <c r="A1238" s="10">
        <v>1177</v>
      </c>
      <c r="D1238" s="2" t="str">
        <f t="shared" si="18"/>
        <v>OK</v>
      </c>
    </row>
    <row r="1239" spans="1:4" x14ac:dyDescent="0.2">
      <c r="A1239" s="5">
        <v>1178</v>
      </c>
      <c r="B1239" s="138">
        <f>'Expenditures 15-22'!E127</f>
        <v>80060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80060</v>
      </c>
      <c r="C1241" s="2" t="s">
        <v>573</v>
      </c>
      <c r="D1241" s="2" t="str">
        <f t="shared" si="18"/>
        <v>Error?</v>
      </c>
    </row>
    <row r="1242" spans="1:4" x14ac:dyDescent="0.2">
      <c r="A1242" s="5">
        <v>1181</v>
      </c>
      <c r="B1242" s="138">
        <f>'Expenditures 15-22'!E151</f>
        <v>80060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140776</v>
      </c>
      <c r="D1245" s="2" t="str">
        <f t="shared" si="18"/>
        <v>Error?</v>
      </c>
    </row>
    <row r="1246" spans="1:4" x14ac:dyDescent="0.2">
      <c r="A1246" s="10">
        <v>1185</v>
      </c>
      <c r="D1246" s="2" t="str">
        <f t="shared" si="18"/>
        <v>OK</v>
      </c>
    </row>
    <row r="1247" spans="1:4" x14ac:dyDescent="0.2">
      <c r="A1247" s="5">
        <v>1186</v>
      </c>
      <c r="B1247" s="138">
        <f>'Expenditures 15-22'!F127</f>
        <v>140776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140776</v>
      </c>
      <c r="C1249" s="2" t="s">
        <v>573</v>
      </c>
      <c r="D1249" s="2" t="str">
        <f t="shared" si="18"/>
        <v>Error?</v>
      </c>
    </row>
    <row r="1250" spans="1:4" x14ac:dyDescent="0.2">
      <c r="A1250" s="5">
        <v>1189</v>
      </c>
      <c r="B1250" s="138">
        <f>'Expenditures 15-22'!F151</f>
        <v>140776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38261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38261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38261</v>
      </c>
      <c r="C1258" s="2" t="s">
        <v>573</v>
      </c>
      <c r="D1258" s="2" t="str">
        <f t="shared" si="18"/>
        <v>Error?</v>
      </c>
    </row>
    <row r="1259" spans="1:4" x14ac:dyDescent="0.2">
      <c r="A1259" s="5">
        <v>1198</v>
      </c>
      <c r="B1259" s="138">
        <f>'Expenditures 15-22'!G151</f>
        <v>38261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490479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490479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490479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490479</v>
      </c>
      <c r="C1288" s="2" t="s">
        <v>573</v>
      </c>
      <c r="D1288" s="2" t="str">
        <f t="shared" si="19"/>
        <v>Error?</v>
      </c>
    </row>
    <row r="1289" spans="1:4" x14ac:dyDescent="0.2">
      <c r="A1289" s="5">
        <v>1228</v>
      </c>
      <c r="B1289" s="138">
        <f>'Expenditures 15-22'!K152</f>
        <v>148958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169760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450000</v>
      </c>
      <c r="D1315" s="2" t="str">
        <f t="shared" si="19"/>
        <v>Error?</v>
      </c>
    </row>
    <row r="1316" spans="1:4" x14ac:dyDescent="0.2">
      <c r="A1316" s="5">
        <v>1255</v>
      </c>
      <c r="B1316" s="138">
        <f>'Expenditures 15-22'!H171</f>
        <v>802</v>
      </c>
      <c r="D1316" s="2" t="str">
        <f t="shared" si="19"/>
        <v>Error?</v>
      </c>
    </row>
    <row r="1317" spans="1:4" x14ac:dyDescent="0.2">
      <c r="A1317" s="5">
        <v>1256</v>
      </c>
      <c r="B1317" s="138">
        <f>'Expenditures 15-22'!H172</f>
        <v>620562</v>
      </c>
      <c r="C1317" s="2" t="s">
        <v>573</v>
      </c>
      <c r="D1317" s="2" t="str">
        <f t="shared" si="19"/>
        <v>Error?</v>
      </c>
    </row>
    <row r="1318" spans="1:4" x14ac:dyDescent="0.2">
      <c r="A1318" s="5">
        <v>1257</v>
      </c>
      <c r="B1318" s="138">
        <f>'Expenditures 15-22'!H174</f>
        <v>620562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169760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450000</v>
      </c>
      <c r="C1329" s="2" t="s">
        <v>573</v>
      </c>
      <c r="D1329" s="2" t="str">
        <f t="shared" si="19"/>
        <v>Error?</v>
      </c>
    </row>
    <row r="1330" spans="1:4" x14ac:dyDescent="0.2">
      <c r="A1330" s="5">
        <v>1269</v>
      </c>
      <c r="B1330" s="138">
        <f>'Expenditures 15-22'!K171</f>
        <v>802</v>
      </c>
      <c r="C1330" s="2" t="s">
        <v>573</v>
      </c>
      <c r="D1330" s="2" t="str">
        <f t="shared" si="19"/>
        <v>Error?</v>
      </c>
    </row>
    <row r="1331" spans="1:4" x14ac:dyDescent="0.2">
      <c r="A1331" s="5">
        <v>1270</v>
      </c>
      <c r="B1331" s="138">
        <f>'Expenditures 15-22'!K172</f>
        <v>620562</v>
      </c>
      <c r="C1331" s="2" t="s">
        <v>573</v>
      </c>
      <c r="D1331" s="2" t="str">
        <f t="shared" si="19"/>
        <v>Error?</v>
      </c>
    </row>
    <row r="1332" spans="1:4" x14ac:dyDescent="0.2">
      <c r="A1332" s="5">
        <v>1271</v>
      </c>
      <c r="B1332" s="138">
        <f>'Expenditures 15-22'!K174</f>
        <v>620562</v>
      </c>
      <c r="C1332" s="2" t="s">
        <v>573</v>
      </c>
      <c r="D1332" s="2" t="str">
        <f t="shared" si="19"/>
        <v>Error?</v>
      </c>
    </row>
    <row r="1333" spans="1:4" x14ac:dyDescent="0.2">
      <c r="A1333" s="5">
        <v>1272</v>
      </c>
      <c r="B1333" s="138">
        <f>'Expenditures 15-22'!K175</f>
        <v>-74</v>
      </c>
      <c r="C1333" s="2" t="s">
        <v>573</v>
      </c>
      <c r="D1333" s="2" t="str">
        <f t="shared" si="19"/>
        <v>Error?</v>
      </c>
    </row>
    <row r="1334" spans="1:4" x14ac:dyDescent="0.2">
      <c r="A1334" s="10">
        <v>1273</v>
      </c>
      <c r="D1334" s="2" t="str">
        <f t="shared" si="19"/>
        <v>OK</v>
      </c>
    </row>
    <row r="1335" spans="1:4" x14ac:dyDescent="0.2">
      <c r="A1335" s="5">
        <v>1274</v>
      </c>
      <c r="B1335" s="138">
        <f>'Expenditures 15-22'!C182</f>
        <v>202867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202867</v>
      </c>
      <c r="C1339" s="2" t="s">
        <v>573</v>
      </c>
      <c r="D1339" s="2" t="str">
        <f t="shared" si="19"/>
        <v>Error?</v>
      </c>
    </row>
    <row r="1340" spans="1:4" x14ac:dyDescent="0.2">
      <c r="A1340" s="5">
        <v>1279</v>
      </c>
      <c r="B1340" s="138">
        <f>'Expenditures 15-22'!C210</f>
        <v>202867</v>
      </c>
      <c r="C1340" s="2" t="s">
        <v>573</v>
      </c>
      <c r="D1340" s="2" t="str">
        <f t="shared" si="19"/>
        <v>Error?</v>
      </c>
    </row>
    <row r="1341" spans="1:4" x14ac:dyDescent="0.2">
      <c r="A1341" s="5">
        <v>1280</v>
      </c>
      <c r="B1341" s="138">
        <f>'Expenditures 15-22'!D182</f>
        <v>9462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9462</v>
      </c>
      <c r="C1345" s="2" t="s">
        <v>573</v>
      </c>
      <c r="D1345" s="2" t="str">
        <f t="shared" si="20"/>
        <v>Error?</v>
      </c>
    </row>
    <row r="1346" spans="1:4" x14ac:dyDescent="0.2">
      <c r="A1346" s="5">
        <v>1285</v>
      </c>
      <c r="B1346" s="138">
        <f>'Expenditures 15-22'!D210</f>
        <v>9462</v>
      </c>
      <c r="C1346" s="2" t="s">
        <v>573</v>
      </c>
      <c r="D1346" s="2" t="str">
        <f t="shared" si="20"/>
        <v>Error?</v>
      </c>
    </row>
    <row r="1347" spans="1:4" x14ac:dyDescent="0.2">
      <c r="A1347" s="5">
        <v>1286</v>
      </c>
      <c r="B1347" s="138">
        <f>'Expenditures 15-22'!E182</f>
        <v>150374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150374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150374</v>
      </c>
      <c r="C1353" s="2" t="s">
        <v>573</v>
      </c>
      <c r="D1353" s="2" t="str">
        <f t="shared" si="20"/>
        <v>Error?</v>
      </c>
    </row>
    <row r="1354" spans="1:4" x14ac:dyDescent="0.2">
      <c r="A1354" s="5">
        <v>1293</v>
      </c>
      <c r="B1354" s="138">
        <f>'Expenditures 15-22'!F182</f>
        <v>45866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45866</v>
      </c>
      <c r="C1358" s="2" t="s">
        <v>573</v>
      </c>
      <c r="D1358" s="2" t="str">
        <f t="shared" si="20"/>
        <v>Error?</v>
      </c>
    </row>
    <row r="1359" spans="1:4" x14ac:dyDescent="0.2">
      <c r="A1359" s="5">
        <v>1298</v>
      </c>
      <c r="B1359" s="138">
        <f>'Expenditures 15-22'!F210</f>
        <v>45866</v>
      </c>
      <c r="C1359" s="2" t="s">
        <v>573</v>
      </c>
      <c r="D1359" s="2" t="str">
        <f t="shared" si="20"/>
        <v>Error?</v>
      </c>
    </row>
    <row r="1360" spans="1:4" x14ac:dyDescent="0.2">
      <c r="A1360" s="5">
        <v>1299</v>
      </c>
      <c r="B1360" s="138">
        <f>'Expenditures 15-22'!G182</f>
        <v>20155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20155</v>
      </c>
      <c r="C1364" s="2" t="s">
        <v>573</v>
      </c>
      <c r="D1364" s="2" t="str">
        <f t="shared" si="20"/>
        <v>Error?</v>
      </c>
    </row>
    <row r="1365" spans="1:4" x14ac:dyDescent="0.2">
      <c r="A1365" s="5">
        <v>1304</v>
      </c>
      <c r="B1365" s="138">
        <f>'Expenditures 15-22'!G210</f>
        <v>20155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428724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428724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428724</v>
      </c>
      <c r="C1388" s="2" t="s">
        <v>573</v>
      </c>
      <c r="D1388" s="2" t="str">
        <f t="shared" si="20"/>
        <v>Error?</v>
      </c>
    </row>
    <row r="1389" spans="1:4" x14ac:dyDescent="0.2">
      <c r="A1389" s="5">
        <v>1328</v>
      </c>
      <c r="B1389" s="138">
        <f>'Expenditures 15-22'!K211</f>
        <v>-54282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140</v>
      </c>
      <c r="D1407" s="2" t="str">
        <f t="shared" ref="D1407:D1470" si="21">IF(ISBLANK(B1407),"OK",IF(A1407-B1407=0,"OK","Error?"))</f>
        <v>Error?</v>
      </c>
    </row>
    <row r="1408" spans="1:4" x14ac:dyDescent="0.2">
      <c r="A1408" s="5">
        <v>1347</v>
      </c>
      <c r="B1408" s="138">
        <f>'Expenditures 15-22'!D223</f>
        <v>3064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39259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538</v>
      </c>
      <c r="D1412" s="2" t="str">
        <f t="shared" si="21"/>
        <v>Error?</v>
      </c>
    </row>
    <row r="1413" spans="1:4" x14ac:dyDescent="0.2">
      <c r="A1413" s="5">
        <v>1352</v>
      </c>
      <c r="B1413" s="138">
        <f>'Expenditures 15-22'!D234</f>
        <v>10000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46604</v>
      </c>
      <c r="D1416" s="2" t="str">
        <f t="shared" si="21"/>
        <v>Error?</v>
      </c>
    </row>
    <row r="1417" spans="1:4" x14ac:dyDescent="0.2">
      <c r="A1417" s="5">
        <v>1356</v>
      </c>
      <c r="B1417" s="138">
        <f>'Expenditures 15-22'!D238</f>
        <v>57142</v>
      </c>
      <c r="C1417" s="2" t="s">
        <v>573</v>
      </c>
      <c r="D1417" s="2" t="str">
        <f t="shared" si="21"/>
        <v>Error?</v>
      </c>
    </row>
    <row r="1418" spans="1:4" x14ac:dyDescent="0.2">
      <c r="A1418" s="5">
        <v>1357</v>
      </c>
      <c r="B1418" s="138">
        <f>'Expenditures 15-22'!D240</f>
        <v>109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109</v>
      </c>
      <c r="C1421" s="2" t="s">
        <v>573</v>
      </c>
      <c r="D1421" s="2" t="str">
        <f t="shared" si="21"/>
        <v>Error?</v>
      </c>
    </row>
    <row r="1422" spans="1:4" x14ac:dyDescent="0.2">
      <c r="A1422" s="5">
        <v>1361</v>
      </c>
      <c r="B1422" s="138">
        <f>'Expenditures 15-22'!D245</f>
        <v>231</v>
      </c>
      <c r="D1422" s="2" t="str">
        <f t="shared" si="21"/>
        <v>Error?</v>
      </c>
    </row>
    <row r="1423" spans="1:4" x14ac:dyDescent="0.2">
      <c r="A1423" s="5">
        <v>1362</v>
      </c>
      <c r="B1423" s="138">
        <f>'Expenditures 15-22'!D246</f>
        <v>2317</v>
      </c>
      <c r="D1423" s="2" t="str">
        <f t="shared" si="21"/>
        <v>Error?</v>
      </c>
    </row>
    <row r="1424" spans="1:4" x14ac:dyDescent="0.2">
      <c r="A1424" s="5">
        <v>1363</v>
      </c>
      <c r="B1424" s="138">
        <f>'Expenditures 15-22'!D257</f>
        <v>2548</v>
      </c>
      <c r="C1424" s="2" t="s">
        <v>573</v>
      </c>
      <c r="D1424" s="2" t="str">
        <f t="shared" si="21"/>
        <v>Error?</v>
      </c>
    </row>
    <row r="1425" spans="1:4" x14ac:dyDescent="0.2">
      <c r="A1425" s="5">
        <v>1364</v>
      </c>
      <c r="B1425" s="138">
        <f>'Expenditures 15-22'!D259</f>
        <v>15302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15302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10976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36748</v>
      </c>
      <c r="D1431" s="2" t="str">
        <f t="shared" si="21"/>
        <v>Error?</v>
      </c>
    </row>
    <row r="1432" spans="1:4" x14ac:dyDescent="0.2">
      <c r="A1432" s="5">
        <v>1371</v>
      </c>
      <c r="B1432" s="138">
        <f>'Expenditures 15-22'!D267</f>
        <v>27038</v>
      </c>
      <c r="D1432" s="2" t="str">
        <f t="shared" si="21"/>
        <v>Error?</v>
      </c>
    </row>
    <row r="1433" spans="1:4" x14ac:dyDescent="0.2">
      <c r="A1433" s="5">
        <v>1372</v>
      </c>
      <c r="B1433" s="138">
        <f>'Expenditures 15-22'!D268</f>
        <v>9061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83823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158924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198183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140</v>
      </c>
      <c r="C1471" s="2" t="s">
        <v>573</v>
      </c>
      <c r="D1471" s="2" t="str">
        <f t="shared" ref="D1471:D1534" si="22">IF(ISBLANK(B1471),"OK",IF(A1471-B1471=0,"OK","Error?"))</f>
        <v>Error?</v>
      </c>
    </row>
    <row r="1472" spans="1:4" x14ac:dyDescent="0.2">
      <c r="A1472" s="5">
        <v>1411</v>
      </c>
      <c r="B1472" s="138">
        <f>'Expenditures 15-22'!K223</f>
        <v>3064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39259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538</v>
      </c>
      <c r="C1476" s="2" t="s">
        <v>573</v>
      </c>
      <c r="D1476" s="2" t="str">
        <f t="shared" si="22"/>
        <v>Error?</v>
      </c>
    </row>
    <row r="1477" spans="1:4" x14ac:dyDescent="0.2">
      <c r="A1477" s="5">
        <v>1416</v>
      </c>
      <c r="B1477" s="138">
        <f>'Expenditures 15-22'!K234</f>
        <v>10000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46604</v>
      </c>
      <c r="C1480" s="2" t="s">
        <v>573</v>
      </c>
      <c r="D1480" s="2" t="str">
        <f t="shared" si="22"/>
        <v>Error?</v>
      </c>
    </row>
    <row r="1481" spans="1:4" x14ac:dyDescent="0.2">
      <c r="A1481" s="5">
        <v>1420</v>
      </c>
      <c r="B1481" s="138">
        <f>'Expenditures 15-22'!K238</f>
        <v>57142</v>
      </c>
      <c r="C1481" s="2" t="s">
        <v>573</v>
      </c>
      <c r="D1481" s="2" t="str">
        <f t="shared" si="22"/>
        <v>Error?</v>
      </c>
    </row>
    <row r="1482" spans="1:4" x14ac:dyDescent="0.2">
      <c r="A1482" s="5">
        <v>1421</v>
      </c>
      <c r="B1482" s="138">
        <f>'Expenditures 15-22'!K240</f>
        <v>109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109</v>
      </c>
      <c r="C1485" s="2" t="s">
        <v>573</v>
      </c>
      <c r="D1485" s="2" t="str">
        <f t="shared" si="22"/>
        <v>Error?</v>
      </c>
    </row>
    <row r="1486" spans="1:4" x14ac:dyDescent="0.2">
      <c r="A1486" s="5">
        <v>1425</v>
      </c>
      <c r="B1486" s="138">
        <f>'Expenditures 15-22'!K245</f>
        <v>231</v>
      </c>
      <c r="C1486" s="2" t="s">
        <v>573</v>
      </c>
      <c r="D1486" s="2" t="str">
        <f t="shared" si="22"/>
        <v>Error?</v>
      </c>
    </row>
    <row r="1487" spans="1:4" x14ac:dyDescent="0.2">
      <c r="A1487" s="5">
        <v>1426</v>
      </c>
      <c r="B1487" s="138">
        <f>'Expenditures 15-22'!K246</f>
        <v>2317</v>
      </c>
      <c r="C1487" s="2" t="s">
        <v>573</v>
      </c>
      <c r="D1487" s="2" t="str">
        <f t="shared" si="22"/>
        <v>Error?</v>
      </c>
    </row>
    <row r="1488" spans="1:4" x14ac:dyDescent="0.2">
      <c r="A1488" s="5">
        <v>1427</v>
      </c>
      <c r="B1488" s="138">
        <f>'Expenditures 15-22'!K257</f>
        <v>2548</v>
      </c>
      <c r="C1488" s="2" t="s">
        <v>573</v>
      </c>
      <c r="D1488" s="2" t="str">
        <f t="shared" si="22"/>
        <v>Error?</v>
      </c>
    </row>
    <row r="1489" spans="1:4" x14ac:dyDescent="0.2">
      <c r="A1489" s="5">
        <v>1428</v>
      </c>
      <c r="B1489" s="138">
        <f>'Expenditures 15-22'!K259</f>
        <v>15302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15302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10976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36748</v>
      </c>
      <c r="C1495" s="2" t="s">
        <v>573</v>
      </c>
      <c r="D1495" s="2" t="str">
        <f t="shared" si="22"/>
        <v>Error?</v>
      </c>
    </row>
    <row r="1496" spans="1:4" x14ac:dyDescent="0.2">
      <c r="A1496" s="5">
        <v>1435</v>
      </c>
      <c r="B1496" s="138">
        <f>'Expenditures 15-22'!K267</f>
        <v>27038</v>
      </c>
      <c r="C1496" s="2" t="s">
        <v>573</v>
      </c>
      <c r="D1496" s="2" t="str">
        <f t="shared" si="22"/>
        <v>Error?</v>
      </c>
    </row>
    <row r="1497" spans="1:4" x14ac:dyDescent="0.2">
      <c r="A1497" s="5">
        <v>1436</v>
      </c>
      <c r="B1497" s="138">
        <f>'Expenditures 15-22'!K268</f>
        <v>9061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83823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158924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198183</v>
      </c>
      <c r="C1517" s="2" t="s">
        <v>573</v>
      </c>
      <c r="D1517" s="2" t="str">
        <f t="shared" si="22"/>
        <v>Error?</v>
      </c>
    </row>
    <row r="1518" spans="1:4" x14ac:dyDescent="0.2">
      <c r="A1518" s="5">
        <v>1457</v>
      </c>
      <c r="B1518" s="138">
        <f>'Expenditures 15-22'!K296</f>
        <v>37867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849425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691123</v>
      </c>
      <c r="C1630" s="2" t="s">
        <v>573</v>
      </c>
      <c r="D1630" s="2" t="str">
        <f t="shared" si="24"/>
        <v>Error?</v>
      </c>
    </row>
    <row r="1631" spans="1:4" x14ac:dyDescent="0.2">
      <c r="A1631" s="5">
        <v>1570</v>
      </c>
      <c r="B1631" s="138">
        <f>'Acct Summary 7-8'!D79</f>
        <v>1068659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1217617</v>
      </c>
      <c r="C1644" s="2" t="s">
        <v>573</v>
      </c>
      <c r="D1644" s="2" t="str">
        <f t="shared" si="24"/>
        <v>Error?</v>
      </c>
    </row>
    <row r="1645" spans="1:4" x14ac:dyDescent="0.2">
      <c r="A1645" s="5">
        <v>1584</v>
      </c>
      <c r="B1645" s="138">
        <f>'Acct Summary 7-8'!E79</f>
        <v>344517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372443</v>
      </c>
      <c r="C1658" s="2" t="s">
        <v>573</v>
      </c>
      <c r="D1658" s="2" t="str">
        <f t="shared" si="24"/>
        <v>Error?</v>
      </c>
    </row>
    <row r="1659" spans="1:4" x14ac:dyDescent="0.2">
      <c r="A1659" s="5">
        <v>1598</v>
      </c>
      <c r="B1659" s="138">
        <f>'Acct Summary 7-8'!F79</f>
        <v>304006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251979</v>
      </c>
      <c r="C1672" s="2" t="s">
        <v>573</v>
      </c>
      <c r="D1672" s="2" t="str">
        <f t="shared" si="25"/>
        <v>Error?</v>
      </c>
    </row>
    <row r="1673" spans="1:4" x14ac:dyDescent="0.2">
      <c r="A1673" s="5">
        <v>1612</v>
      </c>
      <c r="B1673" s="138">
        <f>'Acct Summary 7-8'!G79</f>
        <v>112689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150556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2422998</v>
      </c>
      <c r="C1744" s="2" t="s">
        <v>573</v>
      </c>
      <c r="D1744" s="2" t="str">
        <f t="shared" si="26"/>
        <v>Error?</v>
      </c>
    </row>
    <row r="1745" spans="1:5" x14ac:dyDescent="0.2">
      <c r="A1745" s="5">
        <v>1684</v>
      </c>
      <c r="B1745" s="138">
        <f>'Tax Sched 23'!B5</f>
        <v>311868</v>
      </c>
      <c r="C1745" s="2" t="s">
        <v>573</v>
      </c>
      <c r="D1745" s="2" t="str">
        <f t="shared" si="26"/>
        <v>Error?</v>
      </c>
    </row>
    <row r="1746" spans="1:5" x14ac:dyDescent="0.2">
      <c r="A1746" s="5">
        <v>1685</v>
      </c>
      <c r="B1746" s="138">
        <f>'Tax Sched 23'!B6</f>
        <v>620069</v>
      </c>
      <c r="C1746" s="2" t="s">
        <v>573</v>
      </c>
      <c r="D1746" s="2" t="str">
        <f t="shared" si="26"/>
        <v>Error?</v>
      </c>
    </row>
    <row r="1747" spans="1:5" x14ac:dyDescent="0.2">
      <c r="A1747" s="5">
        <v>1686</v>
      </c>
      <c r="B1747" s="138">
        <f>'Tax Sched 23'!B7</f>
        <v>207941</v>
      </c>
      <c r="C1747" s="2" t="s">
        <v>573</v>
      </c>
      <c r="D1747" s="2" t="str">
        <f t="shared" si="26"/>
        <v>Error?</v>
      </c>
    </row>
    <row r="1748" spans="1:5" x14ac:dyDescent="0.2">
      <c r="A1748" s="5">
        <v>1687</v>
      </c>
      <c r="B1748" s="138">
        <f>'Tax Sched 23'!B8</f>
        <v>63727</v>
      </c>
      <c r="C1748" s="2" t="s">
        <v>573</v>
      </c>
      <c r="D1748" s="2" t="str">
        <f t="shared" si="26"/>
        <v>Error?</v>
      </c>
    </row>
    <row r="1749" spans="1:5" x14ac:dyDescent="0.2">
      <c r="A1749" s="5">
        <v>1688</v>
      </c>
      <c r="B1749" s="138">
        <f>'Tax Sched 23'!B10</f>
        <v>20863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100588</v>
      </c>
      <c r="C1752" s="2" t="s">
        <v>573</v>
      </c>
      <c r="D1752" s="2" t="str">
        <f t="shared" si="26"/>
        <v>Error?</v>
      </c>
    </row>
    <row r="1753" spans="1:5" x14ac:dyDescent="0.2">
      <c r="A1753" s="5">
        <v>1692</v>
      </c>
      <c r="B1753" s="138">
        <f>'Tax Sched 23'!B12</f>
        <v>48709</v>
      </c>
      <c r="C1753" s="2" t="s">
        <v>573</v>
      </c>
      <c r="D1753" s="2" t="str">
        <f t="shared" si="26"/>
        <v>Error?</v>
      </c>
    </row>
    <row r="1754" spans="1:5" x14ac:dyDescent="0.2">
      <c r="A1754" s="5">
        <v>1693</v>
      </c>
      <c r="B1754" s="138">
        <f>'Tax Sched 23'!B14</f>
        <v>34735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3895225</v>
      </c>
      <c r="C1759" s="2" t="s">
        <v>573</v>
      </c>
      <c r="D1759" s="2" t="str">
        <f t="shared" si="26"/>
        <v>Error?</v>
      </c>
    </row>
    <row r="1760" spans="1:5" x14ac:dyDescent="0.2">
      <c r="A1760" s="5">
        <v>1699</v>
      </c>
      <c r="B1760" s="138">
        <f>'Tax Sched 23'!D4</f>
        <v>1196115</v>
      </c>
      <c r="C1760" s="2" t="s">
        <v>573</v>
      </c>
      <c r="D1760" s="2" t="str">
        <f t="shared" si="26"/>
        <v>Error?</v>
      </c>
    </row>
    <row r="1761" spans="1:5" x14ac:dyDescent="0.2">
      <c r="A1761" s="5">
        <v>1700</v>
      </c>
      <c r="B1761" s="138">
        <f>'Tax Sched 23'!D5</f>
        <v>153929</v>
      </c>
      <c r="C1761" s="2" t="s">
        <v>573</v>
      </c>
      <c r="D1761" s="2" t="str">
        <f t="shared" si="26"/>
        <v>Error?</v>
      </c>
    </row>
    <row r="1762" spans="1:5" s="8" customFormat="1" x14ac:dyDescent="0.2">
      <c r="A1762" s="5">
        <v>1701</v>
      </c>
      <c r="B1762" s="138">
        <f>'Tax Sched 23'!D6</f>
        <v>310533</v>
      </c>
      <c r="C1762" s="2" t="s">
        <v>573</v>
      </c>
      <c r="D1762" s="2" t="str">
        <f t="shared" si="26"/>
        <v>Error?</v>
      </c>
      <c r="E1762" s="9"/>
    </row>
    <row r="1763" spans="1:5" x14ac:dyDescent="0.2">
      <c r="A1763" s="5">
        <v>1702</v>
      </c>
      <c r="B1763" s="138">
        <f>'Tax Sched 23'!D7</f>
        <v>102634</v>
      </c>
      <c r="C1763" s="2" t="s">
        <v>573</v>
      </c>
      <c r="D1763" s="2" t="str">
        <f t="shared" si="26"/>
        <v>Error?</v>
      </c>
    </row>
    <row r="1764" spans="1:5" x14ac:dyDescent="0.2">
      <c r="A1764" s="5">
        <v>1703</v>
      </c>
      <c r="B1764" s="138">
        <f>'Tax Sched 23'!D8</f>
        <v>31458</v>
      </c>
      <c r="C1764" s="2" t="s">
        <v>573</v>
      </c>
      <c r="D1764" s="2" t="str">
        <f t="shared" si="26"/>
        <v>Error?</v>
      </c>
    </row>
    <row r="1765" spans="1:5" x14ac:dyDescent="0.2">
      <c r="A1765" s="5">
        <v>1704</v>
      </c>
      <c r="B1765" s="138">
        <f>'Tax Sched 23'!D10</f>
        <v>10293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49639</v>
      </c>
      <c r="C1768" s="2" t="s">
        <v>573</v>
      </c>
      <c r="D1768" s="2" t="str">
        <f t="shared" si="26"/>
        <v>Error?</v>
      </c>
    </row>
    <row r="1769" spans="1:5" x14ac:dyDescent="0.2">
      <c r="A1769" s="5">
        <v>1708</v>
      </c>
      <c r="B1769" s="138">
        <f>'Tax Sched 23'!D12</f>
        <v>24032</v>
      </c>
      <c r="C1769" s="2" t="s">
        <v>573</v>
      </c>
      <c r="D1769" s="2" t="str">
        <f t="shared" si="26"/>
        <v>Error?</v>
      </c>
    </row>
    <row r="1770" spans="1:5" x14ac:dyDescent="0.2">
      <c r="A1770" s="5">
        <v>1709</v>
      </c>
      <c r="B1770" s="138">
        <f>'Tax Sched 23'!D14</f>
        <v>17134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1927225</v>
      </c>
      <c r="C1775" s="2" t="s">
        <v>573</v>
      </c>
      <c r="D1775" s="2" t="str">
        <f t="shared" si="26"/>
        <v>Error?</v>
      </c>
    </row>
    <row r="1776" spans="1:5" x14ac:dyDescent="0.2">
      <c r="A1776" s="5">
        <v>1715</v>
      </c>
      <c r="B1776" s="138">
        <f>'Tax Sched 23'!C4</f>
        <v>1226883</v>
      </c>
      <c r="D1776" s="2" t="str">
        <f t="shared" si="26"/>
        <v>Error?</v>
      </c>
    </row>
    <row r="1777" spans="1:4" x14ac:dyDescent="0.2">
      <c r="A1777" s="5">
        <v>1716</v>
      </c>
      <c r="B1777" s="138">
        <f>'Tax Sched 23'!C5</f>
        <v>157939</v>
      </c>
      <c r="D1777" s="2" t="str">
        <f t="shared" si="26"/>
        <v>Error?</v>
      </c>
    </row>
    <row r="1778" spans="1:4" x14ac:dyDescent="0.2">
      <c r="A1778" s="5">
        <v>1717</v>
      </c>
      <c r="B1778" s="138">
        <f>'Tax Sched 23'!C6</f>
        <v>309536</v>
      </c>
      <c r="D1778" s="2" t="str">
        <f t="shared" si="26"/>
        <v>Error?</v>
      </c>
    </row>
    <row r="1779" spans="1:4" x14ac:dyDescent="0.2">
      <c r="A1779" s="5">
        <v>1718</v>
      </c>
      <c r="B1779" s="138">
        <f>'Tax Sched 23'!C7</f>
        <v>105307</v>
      </c>
      <c r="D1779" s="2" t="str">
        <f t="shared" si="26"/>
        <v>Error?</v>
      </c>
    </row>
    <row r="1780" spans="1:4" x14ac:dyDescent="0.2">
      <c r="A1780" s="5">
        <v>1719</v>
      </c>
      <c r="B1780" s="138">
        <f>'Tax Sched 23'!C8</f>
        <v>32269</v>
      </c>
      <c r="D1780" s="2" t="str">
        <f t="shared" si="26"/>
        <v>Error?</v>
      </c>
    </row>
    <row r="1781" spans="1:4" x14ac:dyDescent="0.2">
      <c r="A1781" s="5">
        <v>1720</v>
      </c>
      <c r="B1781" s="138">
        <f>'Tax Sched 23'!C10</f>
        <v>10570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50949</v>
      </c>
      <c r="D1784" s="2" t="str">
        <f t="shared" si="26"/>
        <v>Error?</v>
      </c>
    </row>
    <row r="1785" spans="1:4" x14ac:dyDescent="0.2">
      <c r="A1785" s="5">
        <v>1724</v>
      </c>
      <c r="B1785" s="138">
        <f>'Tax Sched 23'!C12</f>
        <v>24677</v>
      </c>
      <c r="D1785" s="2" t="str">
        <f t="shared" si="26"/>
        <v>Error?</v>
      </c>
    </row>
    <row r="1786" spans="1:4" x14ac:dyDescent="0.2">
      <c r="A1786" s="5">
        <v>1725</v>
      </c>
      <c r="B1786" s="138">
        <f>'Tax Sched 23'!C14</f>
        <v>17601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1968000</v>
      </c>
      <c r="C1791" s="2" t="s">
        <v>573</v>
      </c>
      <c r="D1791" s="2" t="str">
        <f t="shared" ref="D1791:D1854" si="27">IF(ISBLANK(B1791),"OK",IF(A1791-B1791=0,"OK","Error?"))</f>
        <v>Error?</v>
      </c>
    </row>
    <row r="1792" spans="1:4" x14ac:dyDescent="0.2">
      <c r="A1792" s="5">
        <v>1731</v>
      </c>
      <c r="B1792" s="138">
        <f>'Tax Sched 23'!F4</f>
        <v>1216404</v>
      </c>
      <c r="C1792" s="2" t="s">
        <v>573</v>
      </c>
      <c r="D1792" s="2" t="str">
        <f t="shared" si="27"/>
        <v>Error?</v>
      </c>
    </row>
    <row r="1793" spans="1:4" x14ac:dyDescent="0.2">
      <c r="A1793" s="5">
        <v>1732</v>
      </c>
      <c r="B1793" s="138">
        <f>'Tax Sched 23'!F5</f>
        <v>156589</v>
      </c>
      <c r="C1793" s="2" t="s">
        <v>573</v>
      </c>
      <c r="D1793" s="2" t="str">
        <f t="shared" si="27"/>
        <v>Error?</v>
      </c>
    </row>
    <row r="1794" spans="1:4" x14ac:dyDescent="0.2">
      <c r="A1794" s="5">
        <v>1733</v>
      </c>
      <c r="B1794" s="138">
        <f>'Tax Sched 23'!F6</f>
        <v>306892</v>
      </c>
      <c r="C1794" s="2" t="s">
        <v>573</v>
      </c>
      <c r="D1794" s="2" t="str">
        <f t="shared" si="27"/>
        <v>Error?</v>
      </c>
    </row>
    <row r="1795" spans="1:4" x14ac:dyDescent="0.2">
      <c r="A1795" s="5">
        <v>1734</v>
      </c>
      <c r="B1795" s="138">
        <f>'Tax Sched 23'!F7</f>
        <v>104407</v>
      </c>
      <c r="C1795" s="2" t="s">
        <v>573</v>
      </c>
      <c r="D1795" s="2" t="str">
        <f t="shared" si="27"/>
        <v>Error?</v>
      </c>
    </row>
    <row r="1796" spans="1:4" x14ac:dyDescent="0.2">
      <c r="A1796" s="5">
        <v>1735</v>
      </c>
      <c r="B1796" s="138">
        <f>'Tax Sched 23'!F8</f>
        <v>31994</v>
      </c>
      <c r="C1796" s="2" t="s">
        <v>573</v>
      </c>
      <c r="D1796" s="2" t="str">
        <f t="shared" si="27"/>
        <v>Error?</v>
      </c>
    </row>
    <row r="1797" spans="1:4" x14ac:dyDescent="0.2">
      <c r="A1797" s="5">
        <v>1736</v>
      </c>
      <c r="B1797" s="138">
        <f>'Tax Sched 23'!F10</f>
        <v>10479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50515</v>
      </c>
      <c r="C1800" s="2" t="s">
        <v>573</v>
      </c>
      <c r="D1800" s="2" t="str">
        <f t="shared" si="27"/>
        <v>Error?</v>
      </c>
    </row>
    <row r="1801" spans="1:4" x14ac:dyDescent="0.2">
      <c r="A1801" s="5">
        <v>1740</v>
      </c>
      <c r="B1801" s="138">
        <f>'Tax Sched 23'!F12</f>
        <v>24465</v>
      </c>
      <c r="C1801" s="2" t="s">
        <v>573</v>
      </c>
      <c r="D1801" s="2" t="str">
        <f t="shared" si="27"/>
        <v>Error?</v>
      </c>
    </row>
    <row r="1802" spans="1:4" x14ac:dyDescent="0.2">
      <c r="A1802" s="5">
        <v>1741</v>
      </c>
      <c r="B1802" s="138">
        <f>'Tax Sched 23'!F14</f>
        <v>17452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1951191</v>
      </c>
      <c r="C1807" s="2" t="s">
        <v>573</v>
      </c>
      <c r="D1807" s="2" t="str">
        <f t="shared" si="27"/>
        <v>Error?</v>
      </c>
    </row>
    <row r="1808" spans="1:4" x14ac:dyDescent="0.2">
      <c r="A1808" s="5">
        <v>1747</v>
      </c>
      <c r="B1808" s="138">
        <f>'Tax Sched 23'!E4</f>
        <v>2443287</v>
      </c>
      <c r="D1808" s="2" t="str">
        <f t="shared" si="27"/>
        <v>Error?</v>
      </c>
    </row>
    <row r="1809" spans="1:4" x14ac:dyDescent="0.2">
      <c r="A1809" s="5">
        <v>1748</v>
      </c>
      <c r="B1809" s="138">
        <f>'Tax Sched 23'!E5</f>
        <v>314528</v>
      </c>
      <c r="D1809" s="2" t="str">
        <f t="shared" si="27"/>
        <v>Error?</v>
      </c>
    </row>
    <row r="1810" spans="1:4" x14ac:dyDescent="0.2">
      <c r="A1810" s="5">
        <v>1749</v>
      </c>
      <c r="B1810" s="138">
        <f>'Tax Sched 23'!E6</f>
        <v>616428</v>
      </c>
      <c r="D1810" s="2" t="str">
        <f t="shared" si="27"/>
        <v>Error?</v>
      </c>
    </row>
    <row r="1811" spans="1:4" x14ac:dyDescent="0.2">
      <c r="A1811" s="5">
        <v>1750</v>
      </c>
      <c r="B1811" s="138">
        <f>'Tax Sched 23'!E7</f>
        <v>209714</v>
      </c>
      <c r="D1811" s="2" t="str">
        <f t="shared" si="27"/>
        <v>Error?</v>
      </c>
    </row>
    <row r="1812" spans="1:4" x14ac:dyDescent="0.2">
      <c r="A1812" s="5">
        <v>1751</v>
      </c>
      <c r="B1812" s="138">
        <f>'Tax Sched 23'!E8</f>
        <v>64263</v>
      </c>
      <c r="D1812" s="2" t="str">
        <f t="shared" si="27"/>
        <v>Error?</v>
      </c>
    </row>
    <row r="1813" spans="1:4" x14ac:dyDescent="0.2">
      <c r="A1813" s="5">
        <v>1752</v>
      </c>
      <c r="B1813" s="138">
        <f>'Tax Sched 23'!E10</f>
        <v>21049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101464</v>
      </c>
      <c r="D1816" s="2" t="str">
        <f t="shared" si="27"/>
        <v>Error?</v>
      </c>
    </row>
    <row r="1817" spans="1:4" x14ac:dyDescent="0.2">
      <c r="A1817" s="5">
        <v>1756</v>
      </c>
      <c r="B1817" s="138">
        <f>'Tax Sched 23'!E12</f>
        <v>49142</v>
      </c>
      <c r="D1817" s="2" t="str">
        <f t="shared" si="27"/>
        <v>Error?</v>
      </c>
    </row>
    <row r="1818" spans="1:4" x14ac:dyDescent="0.2">
      <c r="A1818" s="5">
        <v>1757</v>
      </c>
      <c r="B1818" s="138">
        <f>'Tax Sched 23'!E14</f>
        <v>35053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3919191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14993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14993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14993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38176</v>
      </c>
      <c r="D2008" s="2" t="str">
        <f t="shared" si="30"/>
        <v>Error?</v>
      </c>
    </row>
    <row r="2009" spans="1:4" x14ac:dyDescent="0.2">
      <c r="A2009" s="5">
        <v>1948</v>
      </c>
      <c r="B2009" s="138">
        <f>'Cap Outlay Deprec 26'!C8</f>
        <v>9654452</v>
      </c>
      <c r="D2009" s="2" t="str">
        <f t="shared" si="30"/>
        <v>Error?</v>
      </c>
    </row>
    <row r="2010" spans="1:4" x14ac:dyDescent="0.2">
      <c r="A2010" s="5">
        <v>1949</v>
      </c>
      <c r="B2010" s="138">
        <f>'Cap Outlay Deprec 26'!C10</f>
        <v>60781</v>
      </c>
      <c r="D2010" s="2" t="str">
        <f t="shared" si="30"/>
        <v>Error?</v>
      </c>
    </row>
    <row r="2011" spans="1:4" x14ac:dyDescent="0.2">
      <c r="A2011" s="5">
        <v>1950</v>
      </c>
      <c r="B2011" s="138">
        <f>'Cap Outlay Deprec 26'!C12</f>
        <v>656185</v>
      </c>
      <c r="D2011" s="2" t="str">
        <f t="shared" si="30"/>
        <v>Error?</v>
      </c>
    </row>
    <row r="2012" spans="1:4" x14ac:dyDescent="0.2">
      <c r="A2012" s="5">
        <v>1951</v>
      </c>
      <c r="B2012" s="138">
        <f>'Cap Outlay Deprec 26'!C13</f>
        <v>182797</v>
      </c>
      <c r="D2012" s="2" t="str">
        <f t="shared" si="30"/>
        <v>Error?</v>
      </c>
    </row>
    <row r="2013" spans="1:4" x14ac:dyDescent="0.2">
      <c r="A2013" s="5">
        <v>1952</v>
      </c>
      <c r="B2013" s="138">
        <f>'Cap Outlay Deprec 26'!C16</f>
        <v>10617391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25000</v>
      </c>
      <c r="D2016" s="2" t="str">
        <f t="shared" si="30"/>
        <v>Error?</v>
      </c>
    </row>
    <row r="2017" spans="1:4" x14ac:dyDescent="0.2">
      <c r="A2017" s="5">
        <v>1956</v>
      </c>
      <c r="B2017" s="138">
        <f>'Cap Outlay Deprec 26'!D12</f>
        <v>10300</v>
      </c>
      <c r="D2017" s="2" t="str">
        <f t="shared" si="30"/>
        <v>Error?</v>
      </c>
    </row>
    <row r="2018" spans="1:4" x14ac:dyDescent="0.2">
      <c r="A2018" s="5">
        <v>1957</v>
      </c>
      <c r="B2018" s="138">
        <f>'Cap Outlay Deprec 26'!D13</f>
        <v>28276</v>
      </c>
      <c r="D2018" s="2" t="str">
        <f t="shared" si="30"/>
        <v>Error?</v>
      </c>
    </row>
    <row r="2019" spans="1:4" x14ac:dyDescent="0.2">
      <c r="A2019" s="5">
        <v>1958</v>
      </c>
      <c r="B2019" s="138">
        <f>'Cap Outlay Deprec 26'!D16</f>
        <v>63576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23025</v>
      </c>
      <c r="D2024" s="2" t="str">
        <f t="shared" si="30"/>
        <v>Error?</v>
      </c>
    </row>
    <row r="2025" spans="1:4" x14ac:dyDescent="0.2">
      <c r="A2025" s="5">
        <v>1964</v>
      </c>
      <c r="B2025" s="138">
        <f>'Cap Outlay Deprec 26'!E16</f>
        <v>48025</v>
      </c>
      <c r="C2025" s="2" t="s">
        <v>573</v>
      </c>
      <c r="D2025" s="2" t="str">
        <f t="shared" si="30"/>
        <v>Error?</v>
      </c>
    </row>
    <row r="2026" spans="1:4" x14ac:dyDescent="0.2">
      <c r="A2026" s="5">
        <v>1965</v>
      </c>
      <c r="B2026" s="138">
        <f>'Cap Outlay Deprec 26'!F5</f>
        <v>38176</v>
      </c>
      <c r="C2026" s="2" t="s">
        <v>573</v>
      </c>
      <c r="D2026" s="2" t="str">
        <f t="shared" si="30"/>
        <v>Error?</v>
      </c>
    </row>
    <row r="2027" spans="1:4" x14ac:dyDescent="0.2">
      <c r="A2027" s="5">
        <v>1966</v>
      </c>
      <c r="B2027" s="138">
        <f>'Cap Outlay Deprec 26'!F8</f>
        <v>9654452</v>
      </c>
      <c r="C2027" s="2" t="s">
        <v>573</v>
      </c>
      <c r="D2027" s="2" t="str">
        <f t="shared" si="30"/>
        <v>Error?</v>
      </c>
    </row>
    <row r="2028" spans="1:4" x14ac:dyDescent="0.2">
      <c r="A2028" s="5">
        <v>1967</v>
      </c>
      <c r="B2028" s="138">
        <f>'Cap Outlay Deprec 26'!F10</f>
        <v>85781</v>
      </c>
      <c r="C2028" s="2" t="s">
        <v>573</v>
      </c>
      <c r="D2028" s="2" t="str">
        <f t="shared" si="30"/>
        <v>Error?</v>
      </c>
    </row>
    <row r="2029" spans="1:4" x14ac:dyDescent="0.2">
      <c r="A2029" s="5">
        <v>1968</v>
      </c>
      <c r="B2029" s="138">
        <f>'Cap Outlay Deprec 26'!F12</f>
        <v>666485</v>
      </c>
      <c r="C2029" s="2" t="s">
        <v>573</v>
      </c>
      <c r="D2029" s="2" t="str">
        <f t="shared" si="30"/>
        <v>Error?</v>
      </c>
    </row>
    <row r="2030" spans="1:4" x14ac:dyDescent="0.2">
      <c r="A2030" s="5">
        <v>1969</v>
      </c>
      <c r="B2030" s="138">
        <f>'Cap Outlay Deprec 26'!F13</f>
        <v>188048</v>
      </c>
      <c r="C2030" s="2" t="s">
        <v>573</v>
      </c>
      <c r="D2030" s="2" t="str">
        <f t="shared" si="30"/>
        <v>Error?</v>
      </c>
    </row>
    <row r="2031" spans="1:4" x14ac:dyDescent="0.2">
      <c r="A2031" s="5">
        <v>1970</v>
      </c>
      <c r="B2031" s="138">
        <f>'Cap Outlay Deprec 26'!F16</f>
        <v>10632942</v>
      </c>
      <c r="C2031" s="2" t="s">
        <v>573</v>
      </c>
      <c r="D2031" s="2" t="str">
        <f t="shared" si="30"/>
        <v>Error?</v>
      </c>
    </row>
    <row r="2032" spans="1:4" x14ac:dyDescent="0.2">
      <c r="A2032" s="10">
        <v>1971</v>
      </c>
      <c r="D2032" s="2" t="str">
        <f t="shared" si="30"/>
        <v>OK</v>
      </c>
    </row>
    <row r="2033" spans="1:4" x14ac:dyDescent="0.2">
      <c r="A2033" s="5">
        <v>1972</v>
      </c>
      <c r="B2033" s="138">
        <f>'Cap Outlay Deprec 26'!H8</f>
        <v>3630978</v>
      </c>
      <c r="D2033" s="2" t="str">
        <f t="shared" si="30"/>
        <v>Error?</v>
      </c>
    </row>
    <row r="2034" spans="1:4" x14ac:dyDescent="0.2">
      <c r="A2034" s="5">
        <v>1973</v>
      </c>
      <c r="B2034" s="138">
        <f>'Cap Outlay Deprec 26'!H10</f>
        <v>53796</v>
      </c>
      <c r="D2034" s="2" t="str">
        <f t="shared" si="30"/>
        <v>Error?</v>
      </c>
    </row>
    <row r="2035" spans="1:4" x14ac:dyDescent="0.2">
      <c r="A2035" s="5">
        <v>1974</v>
      </c>
      <c r="B2035" s="138">
        <f>'Cap Outlay Deprec 26'!H12</f>
        <v>497220</v>
      </c>
      <c r="D2035" s="2" t="str">
        <f t="shared" si="30"/>
        <v>Error?</v>
      </c>
    </row>
    <row r="2036" spans="1:4" x14ac:dyDescent="0.2">
      <c r="A2036" s="5">
        <v>1975</v>
      </c>
      <c r="B2036" s="138">
        <f>'Cap Outlay Deprec 26'!H13</f>
        <v>163207</v>
      </c>
      <c r="D2036" s="2" t="str">
        <f t="shared" si="30"/>
        <v>Error?</v>
      </c>
    </row>
    <row r="2037" spans="1:4" x14ac:dyDescent="0.2">
      <c r="A2037" s="5">
        <v>1976</v>
      </c>
      <c r="B2037" s="138">
        <f>'Cap Outlay Deprec 26'!H16</f>
        <v>4345201</v>
      </c>
      <c r="C2037" s="2" t="s">
        <v>573</v>
      </c>
      <c r="D2037" s="2" t="str">
        <f t="shared" si="30"/>
        <v>Error?</v>
      </c>
    </row>
    <row r="2038" spans="1:4" x14ac:dyDescent="0.2">
      <c r="A2038" s="10">
        <v>1977</v>
      </c>
      <c r="D2038" s="2" t="str">
        <f t="shared" si="30"/>
        <v>OK</v>
      </c>
    </row>
    <row r="2039" spans="1:4" x14ac:dyDescent="0.2">
      <c r="A2039" s="5">
        <v>1978</v>
      </c>
      <c r="B2039" s="138">
        <f>'Cap Outlay Deprec 26'!I8</f>
        <v>164843</v>
      </c>
      <c r="D2039" s="2" t="str">
        <f t="shared" si="30"/>
        <v>Error?</v>
      </c>
    </row>
    <row r="2040" spans="1:4" x14ac:dyDescent="0.2">
      <c r="A2040" s="5">
        <v>1979</v>
      </c>
      <c r="B2040" s="138">
        <f>'Cap Outlay Deprec 26'!I10</f>
        <v>2873</v>
      </c>
      <c r="D2040" s="2" t="str">
        <f t="shared" si="30"/>
        <v>Error?</v>
      </c>
    </row>
    <row r="2041" spans="1:4" x14ac:dyDescent="0.2">
      <c r="A2041" s="5">
        <v>1980</v>
      </c>
      <c r="B2041" s="138">
        <f>'Cap Outlay Deprec 26'!I12</f>
        <v>46869</v>
      </c>
      <c r="D2041" s="2" t="str">
        <f t="shared" si="30"/>
        <v>Error?</v>
      </c>
    </row>
    <row r="2042" spans="1:4" x14ac:dyDescent="0.2">
      <c r="A2042" s="5">
        <v>1981</v>
      </c>
      <c r="B2042" s="138">
        <f>'Cap Outlay Deprec 26'!I13</f>
        <v>7667</v>
      </c>
      <c r="D2042" s="2" t="str">
        <f t="shared" si="30"/>
        <v>Error?</v>
      </c>
    </row>
    <row r="2043" spans="1:4" x14ac:dyDescent="0.2">
      <c r="A2043" s="5">
        <v>1982</v>
      </c>
      <c r="B2043" s="138">
        <f>'Cap Outlay Deprec 26'!I16</f>
        <v>222252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23025</v>
      </c>
      <c r="D2048" s="2" t="str">
        <f t="shared" si="31"/>
        <v>Error?</v>
      </c>
    </row>
    <row r="2049" spans="1:4" x14ac:dyDescent="0.2">
      <c r="A2049" s="5">
        <v>1988</v>
      </c>
      <c r="B2049" s="138">
        <f>'Cap Outlay Deprec 26'!J16</f>
        <v>23025</v>
      </c>
      <c r="C2049" s="2" t="s">
        <v>573</v>
      </c>
      <c r="D2049" s="2" t="str">
        <f t="shared" si="31"/>
        <v>Error?</v>
      </c>
    </row>
    <row r="2050" spans="1:4" x14ac:dyDescent="0.2">
      <c r="A2050" s="10">
        <v>1989</v>
      </c>
      <c r="D2050" s="2" t="str">
        <f t="shared" si="31"/>
        <v>OK</v>
      </c>
    </row>
    <row r="2051" spans="1:4" x14ac:dyDescent="0.2">
      <c r="A2051" s="5">
        <v>1990</v>
      </c>
      <c r="B2051" s="138">
        <f>'Cap Outlay Deprec 26'!K8</f>
        <v>3795821</v>
      </c>
      <c r="C2051" s="2" t="s">
        <v>573</v>
      </c>
      <c r="D2051" s="2" t="str">
        <f t="shared" si="31"/>
        <v>Error?</v>
      </c>
    </row>
    <row r="2052" spans="1:4" x14ac:dyDescent="0.2">
      <c r="A2052" s="5">
        <v>1991</v>
      </c>
      <c r="B2052" s="138">
        <f>'Cap Outlay Deprec 26'!K10</f>
        <v>56669</v>
      </c>
      <c r="C2052" s="2" t="s">
        <v>573</v>
      </c>
      <c r="D2052" s="2" t="str">
        <f t="shared" si="31"/>
        <v>Error?</v>
      </c>
    </row>
    <row r="2053" spans="1:4" x14ac:dyDescent="0.2">
      <c r="A2053" s="5">
        <v>1992</v>
      </c>
      <c r="B2053" s="138">
        <f>'Cap Outlay Deprec 26'!K12</f>
        <v>544089</v>
      </c>
      <c r="C2053" s="2" t="s">
        <v>573</v>
      </c>
      <c r="D2053" s="2" t="str">
        <f t="shared" si="31"/>
        <v>Error?</v>
      </c>
    </row>
    <row r="2054" spans="1:4" x14ac:dyDescent="0.2">
      <c r="A2054" s="5">
        <v>1993</v>
      </c>
      <c r="B2054" s="138">
        <f>'Cap Outlay Deprec 26'!K13</f>
        <v>147849</v>
      </c>
      <c r="C2054" s="2" t="s">
        <v>573</v>
      </c>
      <c r="D2054" s="2" t="str">
        <f t="shared" si="31"/>
        <v>Error?</v>
      </c>
    </row>
    <row r="2055" spans="1:4" x14ac:dyDescent="0.2">
      <c r="A2055" s="5">
        <v>1994</v>
      </c>
      <c r="B2055" s="138">
        <f>'Cap Outlay Deprec 26'!K16</f>
        <v>4544428</v>
      </c>
      <c r="C2055" s="2" t="s">
        <v>573</v>
      </c>
      <c r="D2055" s="2" t="str">
        <f t="shared" si="31"/>
        <v>Error?</v>
      </c>
    </row>
    <row r="2056" spans="1:4" x14ac:dyDescent="0.2">
      <c r="A2056" s="5">
        <v>1995</v>
      </c>
      <c r="B2056" s="138">
        <f>'Cap Outlay Deprec 26'!L5</f>
        <v>38176</v>
      </c>
      <c r="C2056" s="2" t="s">
        <v>573</v>
      </c>
      <c r="D2056" s="2" t="str">
        <f t="shared" si="31"/>
        <v>Error?</v>
      </c>
    </row>
    <row r="2057" spans="1:4" x14ac:dyDescent="0.2">
      <c r="A2057" s="5">
        <v>1996</v>
      </c>
      <c r="B2057" s="138">
        <f>'Cap Outlay Deprec 26'!L8</f>
        <v>5858631</v>
      </c>
      <c r="C2057" s="2" t="s">
        <v>573</v>
      </c>
      <c r="D2057" s="2" t="str">
        <f t="shared" si="31"/>
        <v>Error?</v>
      </c>
    </row>
    <row r="2058" spans="1:4" x14ac:dyDescent="0.2">
      <c r="A2058" s="5">
        <v>1997</v>
      </c>
      <c r="B2058" s="138">
        <f>'Cap Outlay Deprec 26'!L10</f>
        <v>29112</v>
      </c>
      <c r="C2058" s="2" t="s">
        <v>573</v>
      </c>
      <c r="D2058" s="2" t="str">
        <f t="shared" si="31"/>
        <v>Error?</v>
      </c>
    </row>
    <row r="2059" spans="1:4" x14ac:dyDescent="0.2">
      <c r="A2059" s="5">
        <v>1998</v>
      </c>
      <c r="B2059" s="138">
        <f>'Cap Outlay Deprec 26'!L12</f>
        <v>122396</v>
      </c>
      <c r="C2059" s="2" t="s">
        <v>573</v>
      </c>
      <c r="D2059" s="2" t="str">
        <f t="shared" si="31"/>
        <v>Error?</v>
      </c>
    </row>
    <row r="2060" spans="1:4" x14ac:dyDescent="0.2">
      <c r="A2060" s="5">
        <v>1999</v>
      </c>
      <c r="B2060" s="138">
        <f>'Cap Outlay Deprec 26'!L13</f>
        <v>40199</v>
      </c>
      <c r="C2060" s="2" t="s">
        <v>573</v>
      </c>
      <c r="D2060" s="2" t="str">
        <f t="shared" si="31"/>
        <v>Error?</v>
      </c>
    </row>
    <row r="2061" spans="1:4" x14ac:dyDescent="0.2">
      <c r="A2061" s="5">
        <v>2000</v>
      </c>
      <c r="B2061" s="138">
        <f>'Cap Outlay Deprec 26'!L16</f>
        <v>6088514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292275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292275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2673480</v>
      </c>
      <c r="C2551" s="2" t="s">
        <v>573</v>
      </c>
      <c r="D2551" s="2" t="str">
        <f t="shared" si="38"/>
        <v>Error?</v>
      </c>
    </row>
    <row r="2552" spans="1:4" x14ac:dyDescent="0.2">
      <c r="A2552" s="10">
        <v>2491</v>
      </c>
      <c r="D2552" s="2" t="str">
        <f t="shared" si="38"/>
        <v>OK</v>
      </c>
    </row>
    <row r="2553" spans="1:4" x14ac:dyDescent="0.2">
      <c r="A2553" s="5">
        <v>2492</v>
      </c>
      <c r="B2553" s="138">
        <f>'Acct Summary 7-8'!C6</f>
        <v>1145891</v>
      </c>
      <c r="C2553" s="2" t="s">
        <v>573</v>
      </c>
      <c r="D2553" s="2" t="str">
        <f t="shared" si="38"/>
        <v>Error?</v>
      </c>
    </row>
    <row r="2554" spans="1:4" x14ac:dyDescent="0.2">
      <c r="A2554" s="5">
        <v>2493</v>
      </c>
      <c r="B2554" s="138">
        <f>'Acct Summary 7-8'!C7</f>
        <v>321206</v>
      </c>
      <c r="C2554" s="2" t="s">
        <v>573</v>
      </c>
      <c r="D2554" s="2" t="str">
        <f t="shared" si="38"/>
        <v>Error?</v>
      </c>
    </row>
    <row r="2555" spans="1:4" x14ac:dyDescent="0.2">
      <c r="A2555" s="5">
        <v>2494</v>
      </c>
      <c r="B2555" s="138">
        <f>'Acct Summary 7-8'!C8</f>
        <v>4140577</v>
      </c>
      <c r="C2555" s="2" t="s">
        <v>573</v>
      </c>
      <c r="D2555" s="2" t="str">
        <f t="shared" si="38"/>
        <v>Error?</v>
      </c>
    </row>
    <row r="2556" spans="1:4" x14ac:dyDescent="0.2">
      <c r="A2556" s="5">
        <v>2495</v>
      </c>
      <c r="B2556" s="138">
        <f>'Acct Summary 7-8'!C12</f>
        <v>2929657</v>
      </c>
      <c r="C2556" s="2" t="s">
        <v>573</v>
      </c>
      <c r="D2556" s="2" t="str">
        <f t="shared" si="38"/>
        <v>Error?</v>
      </c>
    </row>
    <row r="2557" spans="1:4" x14ac:dyDescent="0.2">
      <c r="A2557" s="5">
        <v>2496</v>
      </c>
      <c r="B2557" s="138">
        <f>'Acct Summary 7-8'!C13</f>
        <v>1076947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292275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4298879</v>
      </c>
      <c r="C2561" s="2" t="s">
        <v>573</v>
      </c>
      <c r="D2561" s="2" t="str">
        <f t="shared" si="39"/>
        <v>Error?</v>
      </c>
    </row>
    <row r="2562" spans="1:4" x14ac:dyDescent="0.2">
      <c r="A2562" s="5">
        <v>2501</v>
      </c>
      <c r="B2562" s="138">
        <f>'Acct Summary 7-8'!C20</f>
        <v>-158302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427390</v>
      </c>
      <c r="C2564" s="2" t="s">
        <v>573</v>
      </c>
      <c r="D2564" s="2" t="str">
        <f t="shared" si="39"/>
        <v>Error?</v>
      </c>
    </row>
    <row r="2565" spans="1:4" x14ac:dyDescent="0.2">
      <c r="A2565" s="10">
        <v>2504</v>
      </c>
      <c r="D2565" s="2" t="str">
        <f t="shared" si="39"/>
        <v>OK</v>
      </c>
    </row>
    <row r="2566" spans="1:4" x14ac:dyDescent="0.2">
      <c r="A2566" s="5">
        <v>2505</v>
      </c>
      <c r="B2566" s="138">
        <f>'Acct Summary 7-8'!D6</f>
        <v>212047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639437</v>
      </c>
      <c r="C2568" s="2" t="s">
        <v>573</v>
      </c>
      <c r="D2568" s="2" t="str">
        <f t="shared" si="39"/>
        <v>Error?</v>
      </c>
    </row>
    <row r="2569" spans="1:4" x14ac:dyDescent="0.2">
      <c r="A2569" s="5">
        <v>2508</v>
      </c>
      <c r="B2569" s="138">
        <f>'Acct Summary 7-8'!D13</f>
        <v>490479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490479</v>
      </c>
      <c r="C2573" s="2" t="s">
        <v>573</v>
      </c>
      <c r="D2573" s="2" t="str">
        <f t="shared" si="39"/>
        <v>Error?</v>
      </c>
    </row>
    <row r="2574" spans="1:4" x14ac:dyDescent="0.2">
      <c r="A2574" s="5">
        <v>2513</v>
      </c>
      <c r="B2574" s="138">
        <f>'Acct Summary 7-8'!D20</f>
        <v>148958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208503</v>
      </c>
      <c r="C2591" s="2" t="s">
        <v>573</v>
      </c>
      <c r="D2591" s="2" t="str">
        <f t="shared" si="39"/>
        <v>Error?</v>
      </c>
    </row>
    <row r="2592" spans="1:4" x14ac:dyDescent="0.2">
      <c r="A2592" s="10">
        <v>2531</v>
      </c>
      <c r="D2592" s="2" t="str">
        <f t="shared" si="39"/>
        <v>OK</v>
      </c>
    </row>
    <row r="2593" spans="1:4" x14ac:dyDescent="0.2">
      <c r="A2593" s="5">
        <v>2532</v>
      </c>
      <c r="B2593" s="138">
        <f>'Acct Summary 7-8'!F6</f>
        <v>165939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374442</v>
      </c>
      <c r="C2595" s="2" t="s">
        <v>573</v>
      </c>
      <c r="D2595" s="2" t="str">
        <f t="shared" si="39"/>
        <v>Error?</v>
      </c>
    </row>
    <row r="2596" spans="1:4" x14ac:dyDescent="0.2">
      <c r="A2596" s="5">
        <v>2535</v>
      </c>
      <c r="B2596" s="138">
        <f>'Acct Summary 7-8'!F13</f>
        <v>428724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428724</v>
      </c>
      <c r="C2600" s="2" t="s">
        <v>573</v>
      </c>
      <c r="D2600" s="2" t="str">
        <f t="shared" si="39"/>
        <v>Error?</v>
      </c>
    </row>
    <row r="2601" spans="1:4" x14ac:dyDescent="0.2">
      <c r="A2601" s="5">
        <v>2540</v>
      </c>
      <c r="B2601" s="138">
        <f>'Acct Summary 7-8'!F20</f>
        <v>-54282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130027</v>
      </c>
      <c r="C2603" s="2" t="s">
        <v>573</v>
      </c>
      <c r="D2603" s="2" t="str">
        <f t="shared" si="39"/>
        <v>Error?</v>
      </c>
    </row>
    <row r="2604" spans="1:4" x14ac:dyDescent="0.2">
      <c r="A2604" s="5">
        <v>2543</v>
      </c>
      <c r="B2604" s="138">
        <f>'Acct Summary 7-8'!G6</f>
        <v>106023</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236050</v>
      </c>
      <c r="C2606" s="2" t="s">
        <v>573</v>
      </c>
      <c r="D2606" s="2" t="str">
        <f t="shared" si="39"/>
        <v>Error?</v>
      </c>
    </row>
    <row r="2607" spans="1:4" x14ac:dyDescent="0.2">
      <c r="A2607" s="5">
        <v>2546</v>
      </c>
      <c r="B2607" s="138">
        <f>'Acct Summary 7-8'!G12</f>
        <v>39259</v>
      </c>
      <c r="C2607" s="2" t="s">
        <v>573</v>
      </c>
      <c r="D2607" s="2" t="str">
        <f t="shared" si="39"/>
        <v>Error?</v>
      </c>
    </row>
    <row r="2608" spans="1:4" x14ac:dyDescent="0.2">
      <c r="A2608" s="5">
        <v>2547</v>
      </c>
      <c r="B2608" s="138">
        <f>'Acct Summary 7-8'!G13</f>
        <v>158924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198183</v>
      </c>
      <c r="C2612" s="2" t="s">
        <v>573</v>
      </c>
      <c r="D2612" s="2" t="str">
        <f t="shared" si="39"/>
        <v>Error?</v>
      </c>
    </row>
    <row r="2613" spans="1:4" x14ac:dyDescent="0.2">
      <c r="A2613" s="5">
        <v>2552</v>
      </c>
      <c r="B2613" s="138">
        <f>'Acct Summary 7-8'!G20</f>
        <v>37867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620488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620488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620562</v>
      </c>
      <c r="C2634" s="2" t="s">
        <v>573</v>
      </c>
      <c r="D2634" s="2" t="str">
        <f t="shared" si="40"/>
        <v>Error?</v>
      </c>
    </row>
    <row r="2635" spans="1:4" x14ac:dyDescent="0.2">
      <c r="A2635" s="5">
        <v>2574</v>
      </c>
      <c r="B2635" s="138">
        <f>'Acct Summary 7-8'!E17</f>
        <v>620562</v>
      </c>
      <c r="C2635" s="2" t="s">
        <v>573</v>
      </c>
      <c r="D2635" s="2" t="str">
        <f t="shared" si="40"/>
        <v>Error?</v>
      </c>
    </row>
    <row r="2636" spans="1:4" x14ac:dyDescent="0.2">
      <c r="A2636" s="5">
        <v>2575</v>
      </c>
      <c r="B2636" s="138">
        <f>'Acct Summary 7-8'!E20</f>
        <v>-74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443088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443656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71265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443656</v>
      </c>
      <c r="D2912" s="2" t="str">
        <f t="shared" si="44"/>
        <v>Error?</v>
      </c>
    </row>
    <row r="2913" spans="1:4" x14ac:dyDescent="0.2">
      <c r="A2913" s="5">
        <v>2852</v>
      </c>
      <c r="B2913" s="138">
        <f>'Assets-Liab 5-6'!I41</f>
        <v>443656</v>
      </c>
      <c r="C2913" s="2" t="s">
        <v>573</v>
      </c>
      <c r="D2913" s="2" t="str">
        <f t="shared" si="44"/>
        <v>Error?</v>
      </c>
    </row>
    <row r="2914" spans="1:4" x14ac:dyDescent="0.2">
      <c r="A2914" s="5">
        <v>2853</v>
      </c>
      <c r="B2914" s="138">
        <f>'Assets-Liab 5-6'!L33</f>
        <v>71265</v>
      </c>
      <c r="D2914" s="2" t="str">
        <f t="shared" si="44"/>
        <v>Error?</v>
      </c>
    </row>
    <row r="2915" spans="1:4" x14ac:dyDescent="0.2">
      <c r="A2915" s="10">
        <v>2854</v>
      </c>
      <c r="D2915" s="2" t="str">
        <f t="shared" si="44"/>
        <v>OK</v>
      </c>
    </row>
    <row r="2916" spans="1:4" x14ac:dyDescent="0.2">
      <c r="A2916" s="5">
        <v>2855</v>
      </c>
      <c r="B2916" s="138">
        <f>'Assets-Liab 5-6'!L34</f>
        <v>71265</v>
      </c>
      <c r="C2916" s="2" t="s">
        <v>573</v>
      </c>
      <c r="D2916" s="2" t="str">
        <f t="shared" si="44"/>
        <v>Error?</v>
      </c>
    </row>
    <row r="2917" spans="1:4" x14ac:dyDescent="0.2">
      <c r="A2917" s="5">
        <v>2856</v>
      </c>
      <c r="B2917" s="138">
        <f>'Assets-Liab 5-6'!L41</f>
        <v>71265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269775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269775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111574</v>
      </c>
      <c r="D3055" s="2" t="str">
        <f t="shared" si="46"/>
        <v>Error?</v>
      </c>
    </row>
    <row r="3056" spans="1:4" x14ac:dyDescent="0.2">
      <c r="A3056" s="5">
        <v>2995</v>
      </c>
      <c r="B3056" s="138">
        <f>'Expenditures 15-22'!D10</f>
        <v>19165</v>
      </c>
      <c r="D3056" s="2" t="str">
        <f t="shared" si="46"/>
        <v>Error?</v>
      </c>
    </row>
    <row r="3057" spans="1:4" x14ac:dyDescent="0.2">
      <c r="A3057" s="5">
        <v>2996</v>
      </c>
      <c r="B3057" s="138">
        <f>'Expenditures 15-22'!E10</f>
        <v>1798</v>
      </c>
      <c r="D3057" s="2" t="str">
        <f t="shared" si="46"/>
        <v>Error?</v>
      </c>
    </row>
    <row r="3058" spans="1:4" x14ac:dyDescent="0.2">
      <c r="A3058" s="5">
        <v>2997</v>
      </c>
      <c r="B3058" s="138">
        <f>'Expenditures 15-22'!F10</f>
        <v>29764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162301</v>
      </c>
      <c r="C3062" s="2" t="s">
        <v>573</v>
      </c>
      <c r="D3062" s="2" t="str">
        <f t="shared" si="46"/>
        <v>Error?</v>
      </c>
    </row>
    <row r="3063" spans="1:4" x14ac:dyDescent="0.2">
      <c r="A3063" s="10">
        <v>3002</v>
      </c>
      <c r="D3063" s="2" t="str">
        <f t="shared" si="46"/>
        <v>OK</v>
      </c>
    </row>
    <row r="3064" spans="1:4" x14ac:dyDescent="0.2">
      <c r="A3064" s="5">
        <v>3003</v>
      </c>
      <c r="B3064" s="138">
        <f>'Expenditures 15-22'!D219</f>
        <v>1314</v>
      </c>
      <c r="D3064" s="2" t="str">
        <f t="shared" si="46"/>
        <v>Error?</v>
      </c>
    </row>
    <row r="3065" spans="1:4" x14ac:dyDescent="0.2">
      <c r="A3065" s="5">
        <v>3004</v>
      </c>
      <c r="B3065" s="138">
        <f>'Expenditures 15-22'!K219</f>
        <v>1314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20942</v>
      </c>
      <c r="C3225" s="2" t="s">
        <v>573</v>
      </c>
      <c r="D3225" s="2" t="str">
        <f t="shared" si="49"/>
        <v>Error?</v>
      </c>
    </row>
    <row r="3226" spans="1:4" x14ac:dyDescent="0.2">
      <c r="A3226" s="5">
        <v>3165</v>
      </c>
      <c r="B3226" s="138">
        <f>'Acct Summary 7-8'!I8</f>
        <v>20942</v>
      </c>
      <c r="C3226" s="2" t="s">
        <v>573</v>
      </c>
      <c r="D3226" s="2" t="str">
        <f t="shared" si="49"/>
        <v>Error?</v>
      </c>
    </row>
    <row r="3227" spans="1:4" x14ac:dyDescent="0.2">
      <c r="A3227" s="5">
        <v>3166</v>
      </c>
      <c r="B3227" s="138">
        <f>'Acct Summary 7-8'!I20</f>
        <v>20942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-158302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148958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2255</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2255</v>
      </c>
      <c r="C3255" s="2" t="s">
        <v>573</v>
      </c>
      <c r="D3255" s="2" t="str">
        <f t="shared" si="49"/>
        <v>Error?</v>
      </c>
    </row>
    <row r="3256" spans="1:4" x14ac:dyDescent="0.2">
      <c r="A3256" s="5">
        <v>3195</v>
      </c>
      <c r="B3256" s="138">
        <f>'Acct Summary 7-8'!F78</f>
        <v>-52027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37867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28000</v>
      </c>
      <c r="D3273" s="2" t="str">
        <f t="shared" si="50"/>
        <v>Error?</v>
      </c>
    </row>
    <row r="3274" spans="1:4" x14ac:dyDescent="0.2">
      <c r="A3274" s="5">
        <v>3213</v>
      </c>
      <c r="B3274" s="138">
        <f>'Acct Summary 7-8'!E44</f>
        <v>28000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28000</v>
      </c>
      <c r="C3277" s="2" t="s">
        <v>573</v>
      </c>
      <c r="D3277" s="2" t="str">
        <f t="shared" si="50"/>
        <v>Error?</v>
      </c>
    </row>
    <row r="3278" spans="1:4" x14ac:dyDescent="0.2">
      <c r="A3278" s="5">
        <v>3217</v>
      </c>
      <c r="B3278" s="138">
        <f>'Acct Summary 7-8'!E78</f>
        <v>27926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20942</v>
      </c>
      <c r="C3320" s="2" t="s">
        <v>573</v>
      </c>
      <c r="D3320" s="2" t="str">
        <f t="shared" si="50"/>
        <v>Error?</v>
      </c>
    </row>
    <row r="3321" spans="1:4" x14ac:dyDescent="0.2">
      <c r="A3321" s="5">
        <v>3260</v>
      </c>
      <c r="B3321" s="138">
        <f>'Acct Summary 7-8'!I79</f>
        <v>422714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443656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220830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20511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241341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23731</v>
      </c>
      <c r="D3387" s="2" t="str">
        <f t="shared" si="51"/>
        <v>Error?</v>
      </c>
    </row>
    <row r="3388" spans="1:4" x14ac:dyDescent="0.2">
      <c r="A3388" s="5">
        <v>3327</v>
      </c>
      <c r="B3388" s="138">
        <f>'Expenditures 15-22'!D217</f>
        <v>2804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23731</v>
      </c>
      <c r="C3390" s="2" t="s">
        <v>573</v>
      </c>
      <c r="D3390" s="2" t="str">
        <f t="shared" si="51"/>
        <v>Error?</v>
      </c>
    </row>
    <row r="3391" spans="1:4" x14ac:dyDescent="0.2">
      <c r="A3391" s="5">
        <v>3330</v>
      </c>
      <c r="B3391" s="138">
        <f>'Expenditures 15-22'!K217</f>
        <v>2804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20864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63819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15118</v>
      </c>
      <c r="D3417" s="2" t="str">
        <f t="shared" si="52"/>
        <v>Error?</v>
      </c>
    </row>
    <row r="3418" spans="1:4" x14ac:dyDescent="0.2">
      <c r="A3418" s="10">
        <v>3357</v>
      </c>
      <c r="D3418" s="2" t="str">
        <f t="shared" si="52"/>
        <v>OK</v>
      </c>
    </row>
    <row r="3419" spans="1:4" x14ac:dyDescent="0.2">
      <c r="A3419" s="5">
        <v>3358</v>
      </c>
      <c r="B3419" s="138">
        <f>'Assets-Liab 5-6'!F4</f>
        <v>27505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49224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71265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63727</v>
      </c>
      <c r="C3446" s="2" t="s">
        <v>573</v>
      </c>
      <c r="D3446" s="2" t="str">
        <f t="shared" si="52"/>
        <v>Error?</v>
      </c>
    </row>
    <row r="3447" spans="1:4" x14ac:dyDescent="0.2">
      <c r="A3447" s="5">
        <v>3386</v>
      </c>
      <c r="B3447" s="138">
        <f>'Tax Sched 23'!D16</f>
        <v>31458</v>
      </c>
      <c r="C3447" s="2" t="s">
        <v>573</v>
      </c>
      <c r="D3447" s="2" t="str">
        <f t="shared" si="52"/>
        <v>Error?</v>
      </c>
    </row>
    <row r="3448" spans="1:4" x14ac:dyDescent="0.2">
      <c r="A3448" s="5">
        <v>3387</v>
      </c>
      <c r="B3448" s="138">
        <f>'Tax Sched 23'!C16</f>
        <v>32269</v>
      </c>
      <c r="D3448" s="2" t="str">
        <f t="shared" si="52"/>
        <v>Error?</v>
      </c>
    </row>
    <row r="3449" spans="1:4" x14ac:dyDescent="0.2">
      <c r="A3449" s="5">
        <v>3388</v>
      </c>
      <c r="B3449" s="138">
        <f>'Tax Sched 23'!F16</f>
        <v>31994</v>
      </c>
      <c r="C3449" s="2" t="s">
        <v>573</v>
      </c>
      <c r="D3449" s="2" t="str">
        <f t="shared" si="52"/>
        <v>Error?</v>
      </c>
    </row>
    <row r="3450" spans="1:4" x14ac:dyDescent="0.2">
      <c r="A3450" s="5">
        <v>3389</v>
      </c>
      <c r="B3450" s="138">
        <f>'Tax Sched 23'!E16</f>
        <v>64263</v>
      </c>
      <c r="D3450" s="2" t="str">
        <f t="shared" si="52"/>
        <v>Error?</v>
      </c>
    </row>
    <row r="3451" spans="1:4" x14ac:dyDescent="0.2">
      <c r="A3451" s="5">
        <v>3390</v>
      </c>
      <c r="B3451" s="138">
        <f>'Cap Outlay Deprec 26'!C15</f>
        <v>25000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25000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2255</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280844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282015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282015</v>
      </c>
      <c r="D3567" s="2" t="str">
        <f t="shared" si="54"/>
        <v>Error?</v>
      </c>
    </row>
    <row r="3568" spans="1:4" x14ac:dyDescent="0.2">
      <c r="A3568" s="5">
        <v>3507</v>
      </c>
      <c r="B3568" s="138">
        <f>'Assets-Liab 5-6'!K41</f>
        <v>282015</v>
      </c>
      <c r="C3568" s="2" t="s">
        <v>573</v>
      </c>
      <c r="D3568" s="2" t="str">
        <f t="shared" si="54"/>
        <v>Error?</v>
      </c>
    </row>
    <row r="3569" spans="1:4" x14ac:dyDescent="0.2">
      <c r="A3569" s="5">
        <v>3508</v>
      </c>
      <c r="B3569" s="138">
        <f>'Acct Summary 7-8'!K4</f>
        <v>48831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48831</v>
      </c>
      <c r="C3571" s="2" t="s">
        <v>573</v>
      </c>
      <c r="D3571" s="2" t="str">
        <f t="shared" si="54"/>
        <v>Error?</v>
      </c>
    </row>
    <row r="3572" spans="1:4" x14ac:dyDescent="0.2">
      <c r="A3572" s="5">
        <v>3511</v>
      </c>
      <c r="B3572" s="138">
        <f>'Acct Summary 7-8'!K13</f>
        <v>6898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6898</v>
      </c>
      <c r="C3575" s="2" t="s">
        <v>573</v>
      </c>
      <c r="D3575" s="2" t="str">
        <f t="shared" si="54"/>
        <v>Error?</v>
      </c>
    </row>
    <row r="3576" spans="1:4" x14ac:dyDescent="0.2">
      <c r="A3576" s="5">
        <v>3515</v>
      </c>
      <c r="B3576" s="138">
        <f>'Acct Summary 7-8'!K20</f>
        <v>41933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41933</v>
      </c>
      <c r="C3588" s="2" t="s">
        <v>573</v>
      </c>
      <c r="D3588" s="2" t="str">
        <f t="shared" si="55"/>
        <v>Error?</v>
      </c>
    </row>
    <row r="3589" spans="1:4" x14ac:dyDescent="0.2">
      <c r="A3589" s="5">
        <v>3528</v>
      </c>
      <c r="B3589" s="138">
        <f>'Acct Summary 7-8'!K79</f>
        <v>240082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282015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6828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6828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6828</v>
      </c>
      <c r="C3649" s="2" t="s">
        <v>573</v>
      </c>
      <c r="D3649" s="2" t="str">
        <f t="shared" si="56"/>
        <v>Error?</v>
      </c>
    </row>
    <row r="3650" spans="1:4" x14ac:dyDescent="0.2">
      <c r="A3650" s="5">
        <v>3589</v>
      </c>
      <c r="B3650" s="138">
        <f>'Expenditures 15-22'!G367</f>
        <v>6828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6898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6898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6898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6898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41933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149635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419201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4559778</v>
      </c>
      <c r="C4122" s="2" t="s">
        <v>573</v>
      </c>
      <c r="D4122" s="2" t="str">
        <f t="shared" si="63"/>
        <v>Error?</v>
      </c>
    </row>
    <row r="4123" spans="1:4" x14ac:dyDescent="0.2">
      <c r="A4123" s="5">
        <v>4062</v>
      </c>
      <c r="B4123" s="138">
        <f>'Acct Summary 7-8'!D10</f>
        <v>639437</v>
      </c>
      <c r="C4123" s="2" t="s">
        <v>573</v>
      </c>
      <c r="D4123" s="2" t="str">
        <f t="shared" si="63"/>
        <v>Error?</v>
      </c>
    </row>
    <row r="4124" spans="1:4" x14ac:dyDescent="0.2">
      <c r="A4124" s="5">
        <v>4063</v>
      </c>
      <c r="B4124" s="138">
        <f>'Acct Summary 7-8'!E10</f>
        <v>620488</v>
      </c>
      <c r="C4124" s="2" t="s">
        <v>573</v>
      </c>
      <c r="D4124" s="2" t="str">
        <f t="shared" si="63"/>
        <v>Error?</v>
      </c>
    </row>
    <row r="4125" spans="1:4" x14ac:dyDescent="0.2">
      <c r="A4125" s="5">
        <v>4064</v>
      </c>
      <c r="B4125" s="138">
        <f>'Acct Summary 7-8'!F10</f>
        <v>374442</v>
      </c>
      <c r="C4125" s="2" t="s">
        <v>573</v>
      </c>
      <c r="D4125" s="2" t="str">
        <f t="shared" si="63"/>
        <v>Error?</v>
      </c>
    </row>
    <row r="4126" spans="1:4" x14ac:dyDescent="0.2">
      <c r="A4126" s="5">
        <v>4065</v>
      </c>
      <c r="B4126" s="138">
        <f>'Acct Summary 7-8'!G10</f>
        <v>236050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20942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48831</v>
      </c>
      <c r="C4130" s="2" t="s">
        <v>573</v>
      </c>
      <c r="D4130" s="2" t="str">
        <f t="shared" si="63"/>
        <v>Error?</v>
      </c>
    </row>
    <row r="4131" spans="1:4" x14ac:dyDescent="0.2">
      <c r="A4131" s="5">
        <v>4070</v>
      </c>
      <c r="B4131" s="138">
        <f>'Acct Summary 7-8'!C18</f>
        <v>419201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4718080</v>
      </c>
      <c r="C4136" s="2" t="s">
        <v>573</v>
      </c>
      <c r="D4136" s="2" t="str">
        <f t="shared" si="63"/>
        <v>Error?</v>
      </c>
    </row>
    <row r="4137" spans="1:4" x14ac:dyDescent="0.2">
      <c r="A4137" s="5">
        <v>4076</v>
      </c>
      <c r="B4137" s="138">
        <f>'Acct Summary 7-8'!D19</f>
        <v>490479</v>
      </c>
      <c r="C4137" s="2" t="s">
        <v>573</v>
      </c>
      <c r="D4137" s="2" t="str">
        <f t="shared" si="63"/>
        <v>Error?</v>
      </c>
    </row>
    <row r="4138" spans="1:4" x14ac:dyDescent="0.2">
      <c r="A4138" s="5">
        <v>4077</v>
      </c>
      <c r="B4138" s="138">
        <f>'Acct Summary 7-8'!E19</f>
        <v>620562</v>
      </c>
      <c r="C4138" s="2" t="s">
        <v>573</v>
      </c>
      <c r="D4138" s="2" t="str">
        <f t="shared" si="63"/>
        <v>Error?</v>
      </c>
    </row>
    <row r="4139" spans="1:4" x14ac:dyDescent="0.2">
      <c r="A4139" s="5">
        <v>4078</v>
      </c>
      <c r="B4139" s="138">
        <f>'Acct Summary 7-8'!F19</f>
        <v>428724</v>
      </c>
      <c r="C4139" s="2" t="s">
        <v>573</v>
      </c>
      <c r="D4139" s="2" t="str">
        <f t="shared" si="63"/>
        <v>Error?</v>
      </c>
    </row>
    <row r="4140" spans="1:4" x14ac:dyDescent="0.2">
      <c r="A4140" s="5">
        <v>4079</v>
      </c>
      <c r="B4140" s="138">
        <f>'Acct Summary 7-8'!G19</f>
        <v>198183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6898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4130000</v>
      </c>
      <c r="C4171" s="2" t="s">
        <v>573</v>
      </c>
      <c r="D4171" s="2" t="str">
        <f t="shared" si="64"/>
        <v>Error?</v>
      </c>
    </row>
    <row r="4172" spans="1:4" x14ac:dyDescent="0.2">
      <c r="A4172" s="5">
        <v>4111</v>
      </c>
      <c r="B4172" s="138">
        <f>'Short-Term Long-Term Debt 24'!J49</f>
        <v>3757557</v>
      </c>
      <c r="C4172" s="2" t="s">
        <v>573</v>
      </c>
      <c r="D4172" s="2" t="str">
        <f t="shared" si="64"/>
        <v>Error?</v>
      </c>
    </row>
    <row r="4173" spans="1:4" x14ac:dyDescent="0.2">
      <c r="A4173" s="5">
        <v>4112</v>
      </c>
      <c r="B4173" s="138">
        <f>'Short-Term Long-Term Debt 24'!H49</f>
        <v>450000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2843.9</v>
      </c>
      <c r="C4265" s="2" t="s">
        <v>573</v>
      </c>
      <c r="D4265" s="2" t="str">
        <f t="shared" si="65"/>
        <v>Error?</v>
      </c>
      <c r="E4265" s="128"/>
    </row>
    <row r="4266" spans="1:5" x14ac:dyDescent="0.2">
      <c r="A4266" s="12">
        <v>4205</v>
      </c>
      <c r="B4266" s="138">
        <f>('FP Info 3'!F10)*100000</f>
        <v>366.1</v>
      </c>
      <c r="C4266" s="2" t="s">
        <v>573</v>
      </c>
      <c r="D4266" s="2" t="str">
        <f t="shared" si="65"/>
        <v>Error?</v>
      </c>
      <c r="E4266" s="128"/>
    </row>
    <row r="4267" spans="1:5" x14ac:dyDescent="0.2">
      <c r="A4267" s="12">
        <v>4206</v>
      </c>
      <c r="B4267" s="138">
        <f>('FP Info 3'!H10)*100000</f>
        <v>244.1</v>
      </c>
      <c r="C4267" s="2" t="s">
        <v>573</v>
      </c>
      <c r="D4267" s="2" t="str">
        <f t="shared" si="65"/>
        <v>Error?</v>
      </c>
      <c r="E4267" s="128"/>
    </row>
    <row r="4268" spans="1:5" x14ac:dyDescent="0.2">
      <c r="A4268" s="12">
        <v>4207</v>
      </c>
      <c r="B4268" s="138">
        <f>('FP Info 3'!J10)*100000</f>
        <v>3454</v>
      </c>
      <c r="C4268" s="2" t="s">
        <v>573</v>
      </c>
      <c r="D4268" s="2" t="str">
        <f t="shared" si="65"/>
        <v>Error?</v>
      </c>
    </row>
    <row r="4269" spans="1:5" x14ac:dyDescent="0.2">
      <c r="A4269" s="12">
        <v>4208</v>
      </c>
      <c r="B4269" s="138">
        <f>'FP Info 3'!J16</f>
        <v>2604375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65015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14122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10982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17458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19014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85913252</v>
      </c>
      <c r="D4995" s="2" t="str">
        <f t="shared" si="77"/>
        <v>Error?</v>
      </c>
    </row>
    <row r="4996" spans="1:4" x14ac:dyDescent="0.2">
      <c r="A4996" s="12">
        <v>4935</v>
      </c>
      <c r="B4996" s="138">
        <f>'FP Info 3'!H31</f>
        <v>11856028.776000001</v>
      </c>
      <c r="D4996" s="2" t="str">
        <f t="shared" si="77"/>
        <v>Error?</v>
      </c>
    </row>
    <row r="4997" spans="1:4" x14ac:dyDescent="0.2">
      <c r="A4997" s="12">
        <v>4936</v>
      </c>
      <c r="B4997" s="138">
        <f>'FP Info 3'!H37</f>
        <v>4130000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2422998</v>
      </c>
      <c r="D5061" s="2" t="str">
        <f t="shared" si="78"/>
        <v>Error?</v>
      </c>
    </row>
    <row r="5062" spans="1:4" x14ac:dyDescent="0.2">
      <c r="A5062" s="10">
        <v>5001</v>
      </c>
      <c r="D5062" s="2" t="str">
        <f t="shared" si="78"/>
        <v>OK</v>
      </c>
    </row>
    <row r="5063" spans="1:4" x14ac:dyDescent="0.2">
      <c r="A5063" s="5">
        <v>5002</v>
      </c>
      <c r="B5063" s="138">
        <f>'Revenues 9-14'!C7</f>
        <v>34735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2457733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10587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10587</v>
      </c>
      <c r="C5090" s="2" t="s">
        <v>573</v>
      </c>
      <c r="D5090" s="2" t="str">
        <f t="shared" si="78"/>
        <v>Error?</v>
      </c>
    </row>
    <row r="5091" spans="1:4" x14ac:dyDescent="0.2">
      <c r="A5091" s="5">
        <v>5030</v>
      </c>
      <c r="B5091" s="138">
        <f>'Revenues 9-14'!C70</f>
        <v>8163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2934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68912</v>
      </c>
      <c r="C5096" s="2" t="s">
        <v>573</v>
      </c>
      <c r="D5096" s="2" t="str">
        <f t="shared" si="78"/>
        <v>Error?</v>
      </c>
    </row>
    <row r="5097" spans="1:4" x14ac:dyDescent="0.2">
      <c r="A5097" s="5">
        <v>5036</v>
      </c>
      <c r="B5097" s="138">
        <f>'Revenues 9-14'!C77</f>
        <v>16758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52948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69706</v>
      </c>
      <c r="C5102" s="2" t="s">
        <v>573</v>
      </c>
      <c r="D5102" s="2" t="str">
        <f t="shared" si="78"/>
        <v>Error?</v>
      </c>
    </row>
    <row r="5103" spans="1:4" x14ac:dyDescent="0.2">
      <c r="A5103" s="5">
        <v>5042</v>
      </c>
      <c r="B5103" s="138">
        <f>'Revenues 9-14'!C84</f>
        <v>46580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46580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v>
      </c>
      <c r="D5119" s="2" t="str">
        <f t="shared" ref="D5119:D5182" si="79">IF(ISBLANK(B5119),"OK",IF(A5119-B5119=0,"OK","Error?"))</f>
        <v>Error?</v>
      </c>
    </row>
    <row r="5120" spans="1:4" x14ac:dyDescent="0.2">
      <c r="A5120" s="5">
        <v>5059</v>
      </c>
      <c r="B5120" s="138">
        <f>'Revenues 9-14'!C108</f>
        <v>19962</v>
      </c>
      <c r="C5120" s="2" t="s">
        <v>573</v>
      </c>
      <c r="D5120" s="2" t="str">
        <f t="shared" si="79"/>
        <v>Error?</v>
      </c>
    </row>
    <row r="5121" spans="1:4" x14ac:dyDescent="0.2">
      <c r="A5121" s="5">
        <v>5060</v>
      </c>
      <c r="B5121" s="138">
        <f>'Revenues 9-14'!C109</f>
        <v>2673480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848186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848186</v>
      </c>
      <c r="C5132" s="2" t="s">
        <v>573</v>
      </c>
      <c r="D5132" s="2" t="str">
        <f t="shared" si="79"/>
        <v>Error?</v>
      </c>
    </row>
    <row r="5133" spans="1:4" x14ac:dyDescent="0.2">
      <c r="A5133" s="5">
        <v>5072</v>
      </c>
      <c r="B5133" s="138">
        <f>'Revenues 9-14'!C125</f>
        <v>24598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24598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13701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1667</v>
      </c>
      <c r="D5167" s="2" t="str">
        <f t="shared" si="79"/>
        <v>Error?</v>
      </c>
    </row>
    <row r="5168" spans="1:4" x14ac:dyDescent="0.2">
      <c r="A5168" s="5">
        <v>5107</v>
      </c>
      <c r="B5168" s="138">
        <f>'Revenues 9-14'!C148</f>
        <v>7161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231564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297705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1145891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74920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21567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96487</v>
      </c>
      <c r="C5246" s="2" t="s">
        <v>573</v>
      </c>
      <c r="D5246" s="2" t="str">
        <f t="shared" si="80"/>
        <v>Error?</v>
      </c>
    </row>
    <row r="5247" spans="1:4" x14ac:dyDescent="0.2">
      <c r="A5247" s="5">
        <v>5186</v>
      </c>
      <c r="B5247" s="138">
        <f>'Revenues 9-14'!C200</f>
        <v>75964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140979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6421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52215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58636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321206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321206</v>
      </c>
      <c r="C5326" s="2" t="s">
        <v>573</v>
      </c>
      <c r="D5326" s="2" t="str">
        <f t="shared" si="82"/>
        <v>Error?</v>
      </c>
    </row>
    <row r="5327" spans="1:5" x14ac:dyDescent="0.2">
      <c r="A5327" s="5">
        <v>5266</v>
      </c>
      <c r="B5327" s="138">
        <f>'Revenues 9-14'!C268</f>
        <v>4140577</v>
      </c>
      <c r="C5327" s="2" t="s">
        <v>573</v>
      </c>
      <c r="D5327" s="2" t="str">
        <f t="shared" si="82"/>
        <v>Error?</v>
      </c>
    </row>
    <row r="5328" spans="1:5" x14ac:dyDescent="0.2">
      <c r="A5328" s="5">
        <v>5267</v>
      </c>
      <c r="B5328" s="138">
        <f>'Revenues 9-14'!D5</f>
        <v>311868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311868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86216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86216</v>
      </c>
      <c r="C5339" s="2" t="s">
        <v>573</v>
      </c>
      <c r="D5339" s="2" t="str">
        <f t="shared" si="82"/>
        <v>Error?</v>
      </c>
    </row>
    <row r="5340" spans="1:4" x14ac:dyDescent="0.2">
      <c r="A5340" s="5">
        <v>5279</v>
      </c>
      <c r="B5340" s="138">
        <f>'Revenues 9-14'!D65</f>
        <v>377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28929</v>
      </c>
      <c r="C5355" s="2" t="s">
        <v>573</v>
      </c>
      <c r="D5355" s="2" t="str">
        <f t="shared" si="82"/>
        <v>Error?</v>
      </c>
    </row>
    <row r="5356" spans="1:4" x14ac:dyDescent="0.2">
      <c r="A5356" s="5">
        <v>5295</v>
      </c>
      <c r="B5356" s="138">
        <f>'Revenues 9-14'!D109</f>
        <v>427390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212047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212047</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212047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639437</v>
      </c>
      <c r="C5508" s="2" t="s">
        <v>573</v>
      </c>
      <c r="D5508" s="2" t="str">
        <f t="shared" si="85"/>
        <v>Error?</v>
      </c>
    </row>
    <row r="5509" spans="1:4" x14ac:dyDescent="0.2">
      <c r="A5509" s="5">
        <v>5448</v>
      </c>
      <c r="B5509" s="138">
        <f>'Revenues 9-14'!E5</f>
        <v>620069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620069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620488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620488</v>
      </c>
      <c r="C5552" s="2" t="s">
        <v>573</v>
      </c>
      <c r="D5552" s="2" t="str">
        <f t="shared" si="85"/>
        <v>Error?</v>
      </c>
    </row>
    <row r="5553" spans="1:4" x14ac:dyDescent="0.2">
      <c r="A5553" s="5">
        <v>5492</v>
      </c>
      <c r="B5553" s="138">
        <f>'Revenues 9-14'!F5</f>
        <v>207941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207941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208503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123271</v>
      </c>
      <c r="D5615" s="2" t="str">
        <f t="shared" si="86"/>
        <v>Error?</v>
      </c>
    </row>
    <row r="5616" spans="1:4" x14ac:dyDescent="0.2">
      <c r="A5616" s="10">
        <v>5555</v>
      </c>
      <c r="D5616" s="2" t="str">
        <f t="shared" si="86"/>
        <v>OK</v>
      </c>
    </row>
    <row r="5617" spans="1:5" x14ac:dyDescent="0.2">
      <c r="A5617" s="5">
        <v>5556</v>
      </c>
      <c r="B5617" s="138">
        <f>'Revenues 9-14'!F153</f>
        <v>42668</v>
      </c>
      <c r="D5617" s="2" t="str">
        <f t="shared" si="86"/>
        <v>Error?</v>
      </c>
    </row>
    <row r="5618" spans="1:5" x14ac:dyDescent="0.2">
      <c r="A5618" s="5">
        <v>5557</v>
      </c>
      <c r="B5618" s="138">
        <f>'Revenues 9-14'!F155</f>
        <v>165939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165939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165939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374442</v>
      </c>
      <c r="C5720" s="2" t="s">
        <v>573</v>
      </c>
      <c r="D5720" s="2" t="str">
        <f t="shared" si="88"/>
        <v>Error?</v>
      </c>
    </row>
    <row r="5721" spans="1:4" x14ac:dyDescent="0.2">
      <c r="A5721" s="5">
        <v>5660</v>
      </c>
      <c r="B5721" s="138">
        <f>'Revenues 9-14'!G5</f>
        <v>63727</v>
      </c>
      <c r="D5721" s="2" t="str">
        <f t="shared" si="88"/>
        <v>Error?</v>
      </c>
    </row>
    <row r="5722" spans="1:4" x14ac:dyDescent="0.2">
      <c r="A5722" s="5">
        <v>5661</v>
      </c>
      <c r="B5722" s="138">
        <f>'Revenues 9-14'!G7</f>
        <v>0</v>
      </c>
      <c r="D5722" s="2" t="str">
        <f t="shared" si="88"/>
        <v>Error?</v>
      </c>
    </row>
    <row r="5723" spans="1:4" x14ac:dyDescent="0.2">
      <c r="A5723" s="5">
        <v>5662</v>
      </c>
      <c r="B5723" s="138">
        <f>'Revenues 9-14'!G8</f>
        <v>63727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127454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2447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2447</v>
      </c>
      <c r="C5730" s="2" t="s">
        <v>573</v>
      </c>
      <c r="D5730" s="2" t="str">
        <f t="shared" si="88"/>
        <v>Error?</v>
      </c>
    </row>
    <row r="5731" spans="1:4" x14ac:dyDescent="0.2">
      <c r="A5731" s="5">
        <v>5670</v>
      </c>
      <c r="B5731" s="138">
        <f>'Revenues 9-14'!G65</f>
        <v>126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106023</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106023</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106023</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236050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20863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20863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20942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48709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48709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48831</v>
      </c>
      <c r="C6023" s="2" t="s">
        <v>573</v>
      </c>
      <c r="D6023" s="2" t="str">
        <f t="shared" si="93"/>
        <v>Error?</v>
      </c>
    </row>
    <row r="6024" spans="1:5" x14ac:dyDescent="0.2">
      <c r="A6024" s="5">
        <v>5963</v>
      </c>
      <c r="B6024" s="138">
        <f>'Revenues 9-14'!G109</f>
        <v>130027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20942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48831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57815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13943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485.9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38712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38712</v>
      </c>
      <c r="D6215" s="2" t="str">
        <f t="shared" si="96"/>
        <v>Error?</v>
      </c>
      <c r="E6215" s="2" t="s">
        <v>190</v>
      </c>
    </row>
    <row r="6216" spans="1:5" x14ac:dyDescent="0.2">
      <c r="A6216">
        <v>6155</v>
      </c>
      <c r="B6216" s="138">
        <f>'Assets-Liab 5-6'!J41</f>
        <v>38712</v>
      </c>
      <c r="D6216" s="2" t="str">
        <f t="shared" si="96"/>
        <v>Error?</v>
      </c>
      <c r="E6216" s="2" t="s">
        <v>190</v>
      </c>
    </row>
    <row r="6217" spans="1:5" x14ac:dyDescent="0.2">
      <c r="A6217">
        <v>6156</v>
      </c>
      <c r="B6217" s="138">
        <f>'Assets-Liab 5-6'!J4</f>
        <v>516</v>
      </c>
      <c r="D6217" s="2" t="str">
        <f t="shared" si="96"/>
        <v>Error?</v>
      </c>
      <c r="E6217" s="2" t="s">
        <v>190</v>
      </c>
    </row>
    <row r="6218" spans="1:5" x14ac:dyDescent="0.2">
      <c r="A6218">
        <v>6157</v>
      </c>
      <c r="B6218" s="138">
        <f>'Assets-Liab 5-6'!J5</f>
        <v>38196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100672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100672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100672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87590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87590</v>
      </c>
      <c r="D6229" s="2" t="str">
        <f t="shared" si="96"/>
        <v>Error?</v>
      </c>
      <c r="E6229" s="2" t="s">
        <v>190</v>
      </c>
    </row>
    <row r="6230" spans="1:5" x14ac:dyDescent="0.2">
      <c r="A6230">
        <v>6169</v>
      </c>
      <c r="B6230" s="138">
        <f>'Acct Summary 7-8'!J20</f>
        <v>13082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13082</v>
      </c>
      <c r="D6263" s="2" t="str">
        <f t="shared" si="96"/>
        <v>Error?</v>
      </c>
      <c r="E6263" s="2" t="s">
        <v>190</v>
      </c>
    </row>
    <row r="6264" spans="1:5" x14ac:dyDescent="0.2">
      <c r="A6264">
        <v>6203</v>
      </c>
      <c r="B6264" s="138">
        <f>'Acct Summary 7-8'!J79</f>
        <v>25630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38712</v>
      </c>
      <c r="D6266" s="2" t="str">
        <f t="shared" si="96"/>
        <v>Error?</v>
      </c>
      <c r="E6266" s="2" t="s">
        <v>190</v>
      </c>
    </row>
    <row r="6267" spans="1:5" x14ac:dyDescent="0.2">
      <c r="A6267">
        <v>6206</v>
      </c>
      <c r="B6267" s="138">
        <f>'Acct Summary 7-8'!C82</f>
        <v>-158302</v>
      </c>
      <c r="D6267" s="2" t="str">
        <f t="shared" si="96"/>
        <v>Error?</v>
      </c>
      <c r="E6267" s="2" t="s">
        <v>190</v>
      </c>
    </row>
    <row r="6268" spans="1:5" x14ac:dyDescent="0.2">
      <c r="A6268">
        <v>6207</v>
      </c>
      <c r="B6268" s="138">
        <f>'Acct Summary 7-8'!D82</f>
        <v>148958</v>
      </c>
      <c r="D6268" s="2" t="str">
        <f t="shared" si="96"/>
        <v>Error?</v>
      </c>
      <c r="E6268" s="2" t="s">
        <v>190</v>
      </c>
    </row>
    <row r="6269" spans="1:5" x14ac:dyDescent="0.2">
      <c r="A6269">
        <v>6208</v>
      </c>
      <c r="B6269" s="138">
        <f>'Acct Summary 7-8'!E82</f>
        <v>27926</v>
      </c>
      <c r="D6269" s="2" t="str">
        <f t="shared" si="96"/>
        <v>Error?</v>
      </c>
      <c r="E6269" s="2" t="s">
        <v>190</v>
      </c>
    </row>
    <row r="6270" spans="1:5" x14ac:dyDescent="0.2">
      <c r="A6270">
        <v>6209</v>
      </c>
      <c r="B6270" s="138">
        <f>'Acct Summary 7-8'!F82</f>
        <v>-52027</v>
      </c>
      <c r="D6270" s="2" t="str">
        <f t="shared" si="96"/>
        <v>Error?</v>
      </c>
      <c r="E6270" s="2" t="s">
        <v>190</v>
      </c>
    </row>
    <row r="6271" spans="1:5" x14ac:dyDescent="0.2">
      <c r="A6271">
        <v>6210</v>
      </c>
      <c r="B6271" s="138">
        <f>'Acct Summary 7-8'!G82</f>
        <v>37867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20942</v>
      </c>
      <c r="D6273" s="2" t="str">
        <f t="shared" si="97"/>
        <v>Error?</v>
      </c>
      <c r="E6273" s="2" t="s">
        <v>190</v>
      </c>
    </row>
    <row r="6274" spans="1:5" x14ac:dyDescent="0.2">
      <c r="A6274">
        <v>6213</v>
      </c>
      <c r="B6274" s="138">
        <f>'Acct Summary 7-8'!J82</f>
        <v>13082</v>
      </c>
      <c r="D6274" s="2" t="str">
        <f t="shared" si="97"/>
        <v>Error?</v>
      </c>
      <c r="E6274" s="2" t="s">
        <v>190</v>
      </c>
    </row>
    <row r="6275" spans="1:5" x14ac:dyDescent="0.2">
      <c r="A6275">
        <v>6214</v>
      </c>
      <c r="B6275" s="138">
        <f>'Acct Summary 7-8'!K82</f>
        <v>41933</v>
      </c>
      <c r="D6275" s="2" t="str">
        <f t="shared" si="97"/>
        <v>Error?</v>
      </c>
      <c r="E6275" s="2" t="s">
        <v>190</v>
      </c>
    </row>
    <row r="6276" spans="1:5" x14ac:dyDescent="0.2">
      <c r="A6276">
        <v>6215</v>
      </c>
      <c r="B6276" s="138">
        <f>'Acct Summary 7-8'!C83</f>
        <v>-0.22905040057992571</v>
      </c>
      <c r="D6276" s="2" t="str">
        <f t="shared" si="97"/>
        <v>Error?</v>
      </c>
      <c r="E6276" s="2" t="s">
        <v>190</v>
      </c>
    </row>
    <row r="6277" spans="1:5" x14ac:dyDescent="0.2">
      <c r="A6277">
        <v>6216</v>
      </c>
      <c r="B6277" s="138">
        <f>'Acct Summary 7-8'!D83</f>
        <v>0.12233567698217092</v>
      </c>
      <c r="D6277" s="2" t="str">
        <f t="shared" si="97"/>
        <v>Error?</v>
      </c>
      <c r="E6277" s="2" t="s">
        <v>190</v>
      </c>
    </row>
    <row r="6278" spans="1:5" x14ac:dyDescent="0.2">
      <c r="A6278">
        <v>6217</v>
      </c>
      <c r="B6278" s="138">
        <f>'Acct Summary 7-8'!E83</f>
        <v>7.4980601058416987E-2</v>
      </c>
      <c r="D6278" s="2" t="str">
        <f t="shared" si="97"/>
        <v>Error?</v>
      </c>
      <c r="E6278" s="2" t="s">
        <v>190</v>
      </c>
    </row>
    <row r="6279" spans="1:5" x14ac:dyDescent="0.2">
      <c r="A6279">
        <v>6218</v>
      </c>
      <c r="B6279" s="138">
        <f>'Acct Summary 7-8'!F83</f>
        <v>-0.20647355533596054</v>
      </c>
      <c r="D6279" s="2" t="str">
        <f t="shared" si="97"/>
        <v>Error?</v>
      </c>
      <c r="E6279" s="2" t="s">
        <v>190</v>
      </c>
    </row>
    <row r="6280" spans="1:5" x14ac:dyDescent="0.2">
      <c r="A6280">
        <v>6219</v>
      </c>
      <c r="B6280" s="138">
        <f>'Acct Summary 7-8'!G83</f>
        <v>0.25151438667339726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4.7203238545179146E-2</v>
      </c>
      <c r="D6282" s="2" t="str">
        <f t="shared" si="97"/>
        <v>Error?</v>
      </c>
      <c r="E6282" s="2" t="s">
        <v>190</v>
      </c>
    </row>
    <row r="6283" spans="1:5" x14ac:dyDescent="0.2">
      <c r="A6283">
        <v>6222</v>
      </c>
      <c r="B6283" s="138">
        <f>'Acct Summary 7-8'!J83</f>
        <v>0.33793139078321965</v>
      </c>
      <c r="D6283" s="2" t="str">
        <f t="shared" si="97"/>
        <v>Error?</v>
      </c>
      <c r="E6283" s="2" t="s">
        <v>190</v>
      </c>
    </row>
    <row r="6284" spans="1:5" x14ac:dyDescent="0.2">
      <c r="A6284">
        <v>6223</v>
      </c>
      <c r="B6284" s="138">
        <f>'Acct Summary 7-8'!K83</f>
        <v>0.14869067248196019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100588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100588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28929</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100672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13701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120565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153625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93988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87590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100672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8206</v>
      </c>
      <c r="D7073" s="2" t="str">
        <f t="shared" si="109"/>
        <v>Error?</v>
      </c>
    </row>
    <row r="7074" spans="1:4" x14ac:dyDescent="0.2">
      <c r="A7074">
        <v>7013</v>
      </c>
      <c r="B7074" s="138">
        <f>'Expenditures 15-22'!K216</f>
        <v>8206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29944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29944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42412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42412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15089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15089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87590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87590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87590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87590</v>
      </c>
      <c r="D7224" s="2" t="str">
        <f t="shared" si="111"/>
        <v>Error?</v>
      </c>
    </row>
    <row r="7225" spans="1:4" x14ac:dyDescent="0.2">
      <c r="A7225">
        <v>7164</v>
      </c>
      <c r="B7225" s="138">
        <f>'Expenditures 15-22'!K343</f>
        <v>13082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4000</v>
      </c>
      <c r="D7246" s="2" t="str">
        <f t="shared" si="112"/>
        <v>Error?</v>
      </c>
    </row>
    <row r="7247" spans="1:4" x14ac:dyDescent="0.2">
      <c r="A7247">
        <f t="shared" si="113"/>
        <v>7186</v>
      </c>
      <c r="B7247" s="138">
        <f>'Expenditures 15-22'!E7</f>
        <v>4802</v>
      </c>
      <c r="D7247" s="2" t="str">
        <f t="shared" si="112"/>
        <v>Error?</v>
      </c>
    </row>
    <row r="7248" spans="1:4" x14ac:dyDescent="0.2">
      <c r="A7248">
        <f t="shared" si="113"/>
        <v>7187</v>
      </c>
      <c r="B7248" s="138">
        <f>'Expenditures 15-22'!F7</f>
        <v>22915</v>
      </c>
      <c r="D7248" s="2" t="str">
        <f t="shared" si="112"/>
        <v>Error?</v>
      </c>
    </row>
    <row r="7249" spans="1:4" x14ac:dyDescent="0.2">
      <c r="A7249">
        <f t="shared" si="113"/>
        <v>7188</v>
      </c>
      <c r="B7249" s="138">
        <f>'Expenditures 15-22'!G7</f>
        <v>1343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74978</v>
      </c>
      <c r="D7263" s="2" t="str">
        <f t="shared" si="112"/>
        <v>Error?</v>
      </c>
    </row>
    <row r="7264" spans="1:4" x14ac:dyDescent="0.2">
      <c r="A7264">
        <f t="shared" si="113"/>
        <v>7203</v>
      </c>
      <c r="B7264" s="138">
        <f>'Expenditures 15-22'!D17</f>
        <v>18985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25</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222252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7161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9661</v>
      </c>
      <c r="D7719" s="2" t="str">
        <f t="shared" si="126"/>
        <v>Error?</v>
      </c>
      <c r="E7719" s="2" t="s">
        <v>827</v>
      </c>
    </row>
    <row r="7720" spans="1:6" x14ac:dyDescent="0.2">
      <c r="A7720">
        <v>7659</v>
      </c>
      <c r="B7720" s="138">
        <f>'Rest Tax Levies-Tort Im 25'!H14</f>
        <v>14993</v>
      </c>
      <c r="D7720" s="2" t="str">
        <f t="shared" si="126"/>
        <v>Error?</v>
      </c>
      <c r="E7720" s="2" t="s">
        <v>827</v>
      </c>
    </row>
    <row r="7721" spans="1:6" x14ac:dyDescent="0.2">
      <c r="A7721">
        <v>7660</v>
      </c>
      <c r="B7721" s="138">
        <f>'Rest Tax Levies-Tort Im 25'!K14</f>
        <v>9661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2" t="s">
        <v>1191</v>
      </c>
      <c r="B2" s="2412"/>
      <c r="C2" s="2412"/>
      <c r="D2" s="2412"/>
      <c r="E2" s="2412"/>
      <c r="F2" s="2412"/>
      <c r="G2" s="2412"/>
      <c r="H2" s="2412"/>
      <c r="I2" s="2412"/>
      <c r="J2" s="2412"/>
      <c r="K2" s="2412"/>
      <c r="L2" s="2412"/>
    </row>
    <row r="3" spans="1:29" ht="13.5" customHeight="1" x14ac:dyDescent="0.2">
      <c r="A3" s="2443" t="s">
        <v>1190</v>
      </c>
      <c r="B3" s="2443"/>
      <c r="C3" s="2443"/>
      <c r="D3" s="2443"/>
      <c r="E3" s="2443"/>
      <c r="F3" s="2443"/>
      <c r="G3" s="2443"/>
      <c r="H3" s="2443"/>
      <c r="I3" s="2443"/>
      <c r="J3" s="2443"/>
      <c r="K3" s="2443"/>
      <c r="L3" s="2443"/>
    </row>
    <row r="4" spans="1:29" ht="13.5" customHeight="1" x14ac:dyDescent="0.2">
      <c r="A4" s="2412" t="s">
        <v>1987</v>
      </c>
      <c r="B4" s="2433"/>
      <c r="C4" s="2433"/>
      <c r="D4" s="2433"/>
      <c r="E4" s="2433"/>
      <c r="F4" s="2433"/>
      <c r="G4" s="2433"/>
      <c r="H4" s="2433"/>
      <c r="I4" s="2433"/>
      <c r="J4" s="2433"/>
      <c r="K4" s="2433"/>
      <c r="L4" s="243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34" t="str">
        <f>COVER!A17</f>
        <v>Tri City CUSD 1</v>
      </c>
      <c r="B7" s="2435"/>
      <c r="C7" s="2435"/>
      <c r="D7" s="2436"/>
      <c r="E7" s="2437">
        <f>COVER!A13</f>
        <v>51084001026</v>
      </c>
      <c r="F7" s="2438"/>
      <c r="G7" s="2444" t="str">
        <f>COVER!T23</f>
        <v>066-003847</v>
      </c>
      <c r="H7" s="2445"/>
      <c r="I7" s="2445"/>
      <c r="J7" s="2445"/>
      <c r="K7" s="2445"/>
      <c r="L7" s="244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47"/>
      <c r="B9" s="2448"/>
      <c r="C9" s="2448"/>
      <c r="D9" s="2448"/>
      <c r="E9" s="2448"/>
      <c r="F9" s="2449"/>
      <c r="G9" s="2418" t="str">
        <f>COVER!T13</f>
        <v>LMHN, Ltd.</v>
      </c>
      <c r="H9" s="2450"/>
      <c r="I9" s="2450"/>
      <c r="J9" s="2450"/>
      <c r="K9" s="2450"/>
      <c r="L9" s="2451"/>
    </row>
    <row r="10" spans="1:29" ht="13.5" customHeight="1" x14ac:dyDescent="0.2">
      <c r="A10" s="2424" t="str">
        <f>COVER!A38</f>
        <v>Jill Larson</v>
      </c>
      <c r="B10" s="2425"/>
      <c r="C10" s="2425"/>
      <c r="D10" s="2425"/>
      <c r="E10" s="2425"/>
      <c r="F10" s="2426"/>
      <c r="G10" s="2418" t="str">
        <f>COVER!T17</f>
        <v>900 N Webster St - PO Box 87</v>
      </c>
      <c r="H10" s="2419"/>
      <c r="I10" s="2419"/>
      <c r="J10" s="2419"/>
      <c r="K10" s="2419"/>
      <c r="L10" s="2420"/>
    </row>
    <row r="11" spans="1:29" ht="13.5" customHeight="1" x14ac:dyDescent="0.2">
      <c r="A11" s="1183" t="s">
        <v>1519</v>
      </c>
      <c r="B11" s="1184"/>
      <c r="C11" s="1185"/>
      <c r="D11" s="1190"/>
      <c r="E11" s="1185"/>
      <c r="F11" s="1189"/>
      <c r="G11" s="2418" t="str">
        <f>COVER!T19</f>
        <v>Taylorville</v>
      </c>
      <c r="H11" s="2419"/>
      <c r="I11" s="2419"/>
      <c r="J11" s="2419"/>
      <c r="K11" s="2419"/>
      <c r="L11" s="2420"/>
    </row>
    <row r="12" spans="1:29" ht="13.5" customHeight="1" x14ac:dyDescent="0.2">
      <c r="A12" s="2427" t="s">
        <v>1518</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1520</v>
      </c>
      <c r="H13" s="2414"/>
      <c r="I13" s="2430" t="str">
        <f>COVER!T25</f>
        <v>lmhncpas@yahoo.com</v>
      </c>
      <c r="J13" s="2431"/>
      <c r="K13" s="2431"/>
      <c r="L13" s="2432"/>
    </row>
    <row r="14" spans="1:29" ht="13.5" customHeight="1" x14ac:dyDescent="0.2">
      <c r="A14" s="2418" t="str">
        <f>COVER!A19</f>
        <v>PO Box 290</v>
      </c>
      <c r="B14" s="2419"/>
      <c r="C14" s="2419"/>
      <c r="D14" s="2419"/>
      <c r="E14" s="2419"/>
      <c r="F14" s="2420"/>
      <c r="G14" s="1194" t="s">
        <v>1185</v>
      </c>
      <c r="H14" s="1192"/>
      <c r="I14" s="1192"/>
      <c r="J14" s="1192"/>
      <c r="K14" s="1192"/>
      <c r="L14" s="1193"/>
    </row>
    <row r="15" spans="1:29" ht="13.5" customHeight="1" x14ac:dyDescent="0.2">
      <c r="A15" s="2418" t="str">
        <f>COVER!A21</f>
        <v>Buffalo</v>
      </c>
      <c r="B15" s="2419"/>
      <c r="C15" s="2419"/>
      <c r="D15" s="2419"/>
      <c r="E15" s="2419"/>
      <c r="F15" s="2420"/>
      <c r="G15" s="2415" t="str">
        <f>COVER!T15</f>
        <v>M. Adam Mathias</v>
      </c>
      <c r="H15" s="2416"/>
      <c r="I15" s="2416"/>
      <c r="J15" s="2416"/>
      <c r="K15" s="2416"/>
      <c r="L15" s="2417"/>
    </row>
    <row r="16" spans="1:29" ht="12.2" customHeight="1" x14ac:dyDescent="0.2">
      <c r="A16" s="2440">
        <f>COVER!A25</f>
        <v>62515</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4" t="s">
        <v>1184</v>
      </c>
      <c r="H17" s="1192"/>
      <c r="I17" s="1192"/>
      <c r="J17" s="1192"/>
      <c r="K17" s="1196" t="s">
        <v>1183</v>
      </c>
      <c r="L17" s="1189"/>
      <c r="M17" s="1182"/>
    </row>
    <row r="18" spans="1:13" ht="12.2" customHeight="1" x14ac:dyDescent="0.2">
      <c r="A18" s="2424"/>
      <c r="B18" s="2425"/>
      <c r="C18" s="2425"/>
      <c r="D18" s="2425"/>
      <c r="E18" s="2425"/>
      <c r="F18" s="2426"/>
      <c r="G18" s="2434" t="str">
        <f>COVER!T21</f>
        <v>217-824-9661</v>
      </c>
      <c r="H18" s="2435"/>
      <c r="I18" s="2435"/>
      <c r="J18" s="2435"/>
      <c r="K18" s="2434" t="str">
        <f>COVER!X21</f>
        <v>217-824-2415</v>
      </c>
      <c r="L18" s="243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6" t="str">
        <f>'Single Audit Cover'!A7</f>
        <v>Tri City CUSD 1</v>
      </c>
      <c r="B1" s="2433"/>
      <c r="C1" s="2433"/>
      <c r="D1" s="2433"/>
    </row>
    <row r="2" spans="1:11" s="1211" customFormat="1" ht="12.75" x14ac:dyDescent="0.2">
      <c r="A2" s="2457">
        <f>'Single Audit Cover'!E7</f>
        <v>51084001026</v>
      </c>
      <c r="B2" s="2458"/>
      <c r="C2" s="2458"/>
      <c r="D2" s="2458"/>
    </row>
    <row r="3" spans="1:11" s="1211" customFormat="1" ht="12.75" x14ac:dyDescent="0.2">
      <c r="A3" s="2456" t="s">
        <v>1513</v>
      </c>
      <c r="B3" s="2433"/>
      <c r="C3" s="2433"/>
      <c r="D3" s="243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0" t="str">
        <f>'Single Audit Cover'!A7</f>
        <v>Tri City CUSD 1</v>
      </c>
      <c r="B1" s="2460"/>
      <c r="C1" s="2460"/>
      <c r="D1" s="2460"/>
      <c r="E1" s="2460"/>
    </row>
    <row r="2" spans="1:5" x14ac:dyDescent="0.2">
      <c r="A2" s="2461">
        <f>'Single Audit Cover'!E7</f>
        <v>51084001026</v>
      </c>
      <c r="B2" s="2461"/>
      <c r="C2" s="2461"/>
      <c r="D2" s="2461"/>
      <c r="E2" s="2461"/>
    </row>
    <row r="3" spans="1:5" ht="4.5" customHeight="1" x14ac:dyDescent="0.2"/>
    <row r="4" spans="1:5" x14ac:dyDescent="0.2">
      <c r="A4" s="2460" t="s">
        <v>1245</v>
      </c>
      <c r="B4" s="2460"/>
      <c r="C4" s="2460"/>
      <c r="D4" s="2460"/>
      <c r="E4" s="2460"/>
    </row>
    <row r="5" spans="1:5" x14ac:dyDescent="0.2">
      <c r="A5" s="2463" t="str">
        <f>'Single Audit Cover'!A4</f>
        <v>Year Ending June 30, 2019</v>
      </c>
      <c r="B5" s="2463"/>
      <c r="C5" s="2463"/>
      <c r="D5" s="2463"/>
      <c r="E5" s="2463"/>
    </row>
    <row r="6" spans="1:5" x14ac:dyDescent="0.2">
      <c r="A6" s="2460" t="s">
        <v>1244</v>
      </c>
      <c r="B6" s="2460"/>
      <c r="C6" s="2460"/>
      <c r="D6" s="2460"/>
      <c r="E6" s="2460"/>
    </row>
    <row r="8" spans="1:5" x14ac:dyDescent="0.2">
      <c r="A8" s="1256" t="s">
        <v>1243</v>
      </c>
    </row>
    <row r="10" spans="1:5" x14ac:dyDescent="0.2">
      <c r="A10" s="1257" t="s">
        <v>1242</v>
      </c>
      <c r="B10" s="1258" t="s">
        <v>1241</v>
      </c>
      <c r="C10" s="1258"/>
      <c r="D10" s="1259">
        <f>SUM('Acct Summary 7-8'!C7:K7)</f>
        <v>321206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13943</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-14122</v>
      </c>
    </row>
    <row r="19" spans="1:4" ht="13.5" thickBot="1" x14ac:dyDescent="0.25">
      <c r="A19" s="1261" t="s">
        <v>1235</v>
      </c>
      <c r="D19" s="1262">
        <f>SUM(D10:D17)</f>
        <v>321027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2"/>
      <c r="B24" s="2462"/>
      <c r="D24" s="1264"/>
    </row>
    <row r="25" spans="1:4" x14ac:dyDescent="0.2">
      <c r="A25" s="2459"/>
      <c r="B25" s="2459"/>
      <c r="D25" s="1264"/>
    </row>
    <row r="26" spans="1:4" x14ac:dyDescent="0.2">
      <c r="A26" s="2459"/>
      <c r="B26" s="2459"/>
      <c r="D26" s="1264"/>
    </row>
    <row r="27" spans="1:4" x14ac:dyDescent="0.2">
      <c r="A27" s="2459"/>
      <c r="B27" s="2459"/>
      <c r="D27" s="1264"/>
    </row>
    <row r="28" spans="1:4" x14ac:dyDescent="0.2">
      <c r="A28" s="2459"/>
      <c r="B28" s="2459"/>
      <c r="D28" s="1264"/>
    </row>
    <row r="29" spans="1:4" x14ac:dyDescent="0.2">
      <c r="A29" s="2459"/>
      <c r="B29" s="2459"/>
      <c r="D29" s="1264"/>
    </row>
    <row r="30" spans="1:4" x14ac:dyDescent="0.2">
      <c r="A30" s="2459"/>
      <c r="B30" s="2459"/>
      <c r="D30" s="1264"/>
    </row>
    <row r="32" spans="1:4" x14ac:dyDescent="0.2">
      <c r="A32" s="1256" t="s">
        <v>1233</v>
      </c>
      <c r="D32" s="1259">
        <f>SUM(D19:D30)</f>
        <v>321027</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59"/>
      <c r="B40" s="2459"/>
      <c r="D40" s="1264"/>
    </row>
    <row r="41" spans="1:4" x14ac:dyDescent="0.2">
      <c r="A41" s="2459"/>
      <c r="B41" s="2459"/>
      <c r="D41" s="1267"/>
    </row>
    <row r="42" spans="1:4" x14ac:dyDescent="0.2">
      <c r="A42" s="2459"/>
      <c r="B42" s="2459"/>
      <c r="D42" s="1267"/>
    </row>
    <row r="43" spans="1:4" x14ac:dyDescent="0.2">
      <c r="A43" s="2459"/>
      <c r="B43" s="2459"/>
      <c r="D43" s="1267"/>
    </row>
    <row r="44" spans="1:4" x14ac:dyDescent="0.2">
      <c r="A44" s="2459"/>
      <c r="B44" s="2459"/>
      <c r="D44" s="1267"/>
    </row>
    <row r="45" spans="1:4" x14ac:dyDescent="0.2">
      <c r="A45" s="2459"/>
      <c r="B45" s="2459"/>
      <c r="D45" s="1267"/>
    </row>
    <row r="47" spans="1:4" x14ac:dyDescent="0.2">
      <c r="B47" s="1268" t="s">
        <v>1227</v>
      </c>
      <c r="C47" s="1268"/>
      <c r="D47" s="1269">
        <f>SUM(D35:D45)</f>
        <v>0</v>
      </c>
    </row>
    <row r="49" spans="2:4" x14ac:dyDescent="0.2">
      <c r="B49" s="1268" t="s">
        <v>1226</v>
      </c>
      <c r="C49" s="1268"/>
      <c r="D49" s="1269">
        <f>D32-D47</f>
        <v>321027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95" colorId="8" zoomScale="130" zoomScaleNormal="70" zoomScaleSheetLayoutView="13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1168</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6" t="s">
        <v>1633</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6" t="s">
        <v>313</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35431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1323</v>
      </c>
      <c r="B70" s="2099"/>
      <c r="C70" s="2099"/>
      <c r="D70" s="2099"/>
      <c r="E70" s="2100"/>
      <c r="F70" s="2100"/>
      <c r="G70" s="2100"/>
      <c r="H70" s="2100"/>
      <c r="I70" s="210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1320</v>
      </c>
      <c r="B83" s="2101"/>
      <c r="C83" s="2101"/>
      <c r="D83" s="210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2065</v>
      </c>
      <c r="D114" s="209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1330</v>
      </c>
      <c r="D117" s="2094"/>
      <c r="E117" s="2095"/>
      <c r="F117" s="2095"/>
      <c r="G117" s="2095"/>
      <c r="H117" s="2095"/>
      <c r="I117" s="304"/>
    </row>
    <row r="118" spans="1:9" s="181" customFormat="1" ht="24" customHeight="1" x14ac:dyDescent="0.2">
      <c r="A118" s="316"/>
      <c r="B118" s="316"/>
      <c r="C118" s="316"/>
      <c r="D118" s="323" t="s">
        <v>2223</v>
      </c>
      <c r="E118" s="322"/>
      <c r="F118" s="324"/>
      <c r="G118" s="1839"/>
      <c r="H118" s="322"/>
      <c r="I118" s="304"/>
    </row>
    <row r="119" spans="1:9" s="181" customFormat="1" ht="11.25" customHeight="1" x14ac:dyDescent="0.2">
      <c r="A119" s="325"/>
      <c r="B119" s="325"/>
      <c r="C119" s="326"/>
      <c r="D119" s="327" t="s">
        <v>361</v>
      </c>
      <c r="E119" s="310"/>
      <c r="F119" s="1838" t="s">
        <v>1905</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1" right="0.5" top="1" bottom="0.75" header="1" footer="0.25"/>
  <pageSetup scale="75" firstPageNumber="2" fitToHeight="2" orientation="portrait" useFirstPageNumber="1" r:id="rId1"/>
  <headerFooter differentOddEven="1" alignWithMargins="0">
    <oddHeader>&amp;L&amp;8Page &amp;P&amp;C &amp;R&amp;8Page &amp;P</oddHeader>
    <oddFooter>&amp;L&amp;8Printed: &amp;D  &amp;F&amp;CReference should be made to auditor's report regarding this information.
52</oddFooter>
    <evenFooter>&amp;CReference should be made to auditor's report regarding this information.
53</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43" t="str">
        <f>'Single Audit Cover'!A7</f>
        <v>Tri City CUSD 1</v>
      </c>
      <c r="C1" s="2464"/>
      <c r="D1" s="2464"/>
      <c r="E1" s="2464"/>
      <c r="F1" s="2464"/>
      <c r="G1" s="2464"/>
      <c r="H1" s="2464"/>
      <c r="I1" s="2464"/>
      <c r="J1" s="2464"/>
      <c r="K1" s="2464"/>
      <c r="L1" s="2464"/>
      <c r="M1" s="2464"/>
    </row>
    <row r="2" spans="2:14" ht="15" x14ac:dyDescent="0.2">
      <c r="B2" s="2465">
        <f>'Single Audit Cover'!E7</f>
        <v>51084001026</v>
      </c>
      <c r="C2" s="2465"/>
      <c r="D2" s="2465"/>
      <c r="E2" s="2465"/>
      <c r="F2" s="2465"/>
      <c r="G2" s="2465"/>
      <c r="H2" s="2465"/>
      <c r="I2" s="2465"/>
      <c r="J2" s="2465"/>
      <c r="K2" s="2465"/>
      <c r="L2" s="2465"/>
      <c r="M2" s="2465"/>
      <c r="N2" s="1298"/>
    </row>
    <row r="3" spans="2:14" ht="15" x14ac:dyDescent="0.2">
      <c r="B3" s="2466" t="s">
        <v>1219</v>
      </c>
      <c r="C3" s="2466"/>
      <c r="D3" s="2466"/>
      <c r="E3" s="2466"/>
      <c r="F3" s="2466"/>
      <c r="G3" s="2466"/>
      <c r="H3" s="2466"/>
      <c r="I3" s="2466"/>
      <c r="J3" s="2466"/>
      <c r="K3" s="2466"/>
      <c r="L3" s="2466"/>
      <c r="M3" s="2466"/>
      <c r="N3" s="1298"/>
    </row>
    <row r="4" spans="2:14" ht="15" x14ac:dyDescent="0.2">
      <c r="B4" s="2467" t="str">
        <f>'Single Audit Cover'!A4</f>
        <v>Year Ending June 30, 2019</v>
      </c>
      <c r="C4" s="2467"/>
      <c r="D4" s="2467"/>
      <c r="E4" s="2467"/>
      <c r="F4" s="2467"/>
      <c r="G4" s="2467"/>
      <c r="H4" s="2467"/>
      <c r="I4" s="2467"/>
      <c r="J4" s="2467"/>
      <c r="K4" s="2467"/>
      <c r="L4" s="2467"/>
      <c r="M4" s="246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Tri City CUSD 1</v>
      </c>
      <c r="B1" s="2477"/>
      <c r="C1" s="2477"/>
      <c r="D1" s="2477"/>
      <c r="E1" s="2477"/>
      <c r="F1" s="2477"/>
    </row>
    <row r="2" spans="1:7" ht="13.5" customHeight="1" x14ac:dyDescent="0.2">
      <c r="A2" s="2465">
        <f>'Single Audit Cover'!E7</f>
        <v>51084001026</v>
      </c>
      <c r="B2" s="2465"/>
      <c r="C2" s="2465"/>
      <c r="D2" s="2465"/>
      <c r="E2" s="2465"/>
      <c r="F2" s="2465"/>
      <c r="G2" s="1271"/>
    </row>
    <row r="3" spans="1:7" ht="15.75" customHeight="1" x14ac:dyDescent="0.2">
      <c r="A3" s="2478" t="s">
        <v>1271</v>
      </c>
      <c r="B3" s="2478"/>
      <c r="C3" s="2478"/>
      <c r="D3" s="2478"/>
      <c r="E3" s="2478"/>
      <c r="F3" s="2478"/>
    </row>
    <row r="4" spans="1:7" ht="13.5" customHeight="1" x14ac:dyDescent="0.2">
      <c r="A4" s="2479" t="str">
        <f>'Single Audit Cover'!A4</f>
        <v>Year Ending June 30, 2019</v>
      </c>
      <c r="B4" s="2479"/>
      <c r="C4" s="2479"/>
      <c r="D4" s="2479"/>
      <c r="E4" s="2479"/>
      <c r="F4" s="2479"/>
    </row>
    <row r="5" spans="1:7" ht="8.25" customHeight="1" x14ac:dyDescent="0.2">
      <c r="C5" s="317"/>
      <c r="D5" s="317"/>
    </row>
    <row r="6" spans="1:7" ht="13.5" customHeight="1" x14ac:dyDescent="0.2">
      <c r="A6" s="1272" t="s">
        <v>1728</v>
      </c>
      <c r="C6" s="317"/>
      <c r="D6" s="317"/>
    </row>
    <row r="7" spans="1:7" ht="60.95" customHeight="1" x14ac:dyDescent="0.2">
      <c r="A7" s="2476" t="s">
        <v>1729</v>
      </c>
      <c r="B7" s="2476"/>
      <c r="C7" s="2476"/>
      <c r="D7" s="2476"/>
      <c r="E7" s="2476"/>
      <c r="F7" s="247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76" t="s">
        <v>1731</v>
      </c>
      <c r="B13" s="2476"/>
      <c r="C13" s="2476"/>
      <c r="D13" s="2476"/>
      <c r="E13" s="2476"/>
      <c r="F13" s="2476"/>
    </row>
    <row r="14" spans="1:7" ht="9.75" customHeight="1" x14ac:dyDescent="0.2">
      <c r="C14" s="1256"/>
      <c r="D14" s="1256"/>
    </row>
    <row r="15" spans="1:7" ht="13.5" customHeight="1" x14ac:dyDescent="0.2">
      <c r="C15" s="1845" t="s">
        <v>1270</v>
      </c>
      <c r="D15" s="2474" t="s">
        <v>1269</v>
      </c>
      <c r="E15" s="2474"/>
      <c r="F15" s="2474"/>
    </row>
    <row r="16" spans="1:7" ht="13.5" customHeight="1" x14ac:dyDescent="0.2">
      <c r="A16" s="1278"/>
      <c r="B16" s="1272" t="s">
        <v>1268</v>
      </c>
      <c r="C16" s="1845" t="s">
        <v>1267</v>
      </c>
      <c r="D16" s="2475" t="s">
        <v>1588</v>
      </c>
      <c r="E16" s="2475"/>
      <c r="F16" s="2475"/>
    </row>
    <row r="17" spans="1:6" ht="20.45" customHeight="1" x14ac:dyDescent="0.2">
      <c r="A17" s="1279"/>
      <c r="B17" s="1280"/>
      <c r="C17" s="1281"/>
      <c r="D17" s="2469"/>
      <c r="E17" s="2469"/>
      <c r="F17" s="2469"/>
    </row>
    <row r="18" spans="1:6" ht="20.65" customHeight="1" x14ac:dyDescent="0.2">
      <c r="A18" s="1279"/>
      <c r="B18" s="1280"/>
      <c r="C18" s="1281"/>
      <c r="D18" s="2469"/>
      <c r="E18" s="2469"/>
      <c r="F18" s="2469"/>
    </row>
    <row r="19" spans="1:6" ht="20.65" customHeight="1" x14ac:dyDescent="0.2">
      <c r="A19" s="1279"/>
      <c r="B19" s="1280"/>
      <c r="C19" s="1281"/>
      <c r="D19" s="2469"/>
      <c r="E19" s="2469"/>
      <c r="F19" s="2469"/>
    </row>
    <row r="20" spans="1:6" ht="20.65" customHeight="1" x14ac:dyDescent="0.2">
      <c r="A20" s="1279"/>
      <c r="B20" s="1280"/>
      <c r="C20" s="1281"/>
      <c r="D20" s="2469"/>
      <c r="E20" s="2469"/>
      <c r="F20" s="2469"/>
    </row>
    <row r="21" spans="1:6" ht="20.65" customHeight="1" x14ac:dyDescent="0.2">
      <c r="A21" s="1279"/>
      <c r="B21" s="1280"/>
      <c r="C21" s="1281"/>
      <c r="D21" s="2469"/>
      <c r="E21" s="2469"/>
      <c r="F21" s="2469"/>
    </row>
    <row r="22" spans="1:6" ht="20.65" customHeight="1" x14ac:dyDescent="0.2">
      <c r="A22" s="1279"/>
      <c r="B22" s="1280"/>
      <c r="C22" s="1281"/>
      <c r="D22" s="2469"/>
      <c r="E22" s="2469"/>
      <c r="F22" s="2469"/>
    </row>
    <row r="23" spans="1:6" ht="20.65" customHeight="1" x14ac:dyDescent="0.2">
      <c r="A23" s="1279"/>
      <c r="B23" s="1280"/>
      <c r="C23" s="1281"/>
      <c r="D23" s="2469"/>
      <c r="E23" s="2469"/>
      <c r="F23" s="2469"/>
    </row>
    <row r="24" spans="1:6" ht="20.65" customHeight="1" x14ac:dyDescent="0.2">
      <c r="A24" s="1279"/>
      <c r="B24" s="1280"/>
      <c r="C24" s="1281"/>
      <c r="D24" s="2469"/>
      <c r="E24" s="2469"/>
      <c r="F24" s="2469"/>
    </row>
    <row r="25" spans="1:6" ht="20.65" customHeight="1" x14ac:dyDescent="0.2">
      <c r="A25" s="1279"/>
      <c r="B25" s="1280"/>
      <c r="C25" s="1281"/>
      <c r="D25" s="2469"/>
      <c r="E25" s="2469"/>
      <c r="F25" s="2469"/>
    </row>
    <row r="26" spans="1:6" ht="20.65" customHeight="1" x14ac:dyDescent="0.2">
      <c r="A26" s="1279"/>
      <c r="B26" s="1280"/>
      <c r="C26" s="1281"/>
      <c r="D26" s="2469"/>
      <c r="E26" s="2469"/>
      <c r="F26" s="2469"/>
    </row>
    <row r="27" spans="1:6" ht="20.65" customHeight="1" x14ac:dyDescent="0.2">
      <c r="A27" s="1279"/>
      <c r="B27" s="1280"/>
      <c r="C27" s="1281"/>
      <c r="D27" s="2469"/>
      <c r="E27" s="2469"/>
      <c r="F27" s="2469"/>
    </row>
    <row r="28" spans="1:6" ht="20.65" customHeight="1" x14ac:dyDescent="0.2">
      <c r="A28" s="1279"/>
      <c r="B28" s="1280"/>
      <c r="C28" s="1281"/>
      <c r="D28" s="2469"/>
      <c r="E28" s="2469"/>
      <c r="F28" s="2469"/>
    </row>
    <row r="29" spans="1:6" ht="20.65" customHeight="1" x14ac:dyDescent="0.2">
      <c r="A29" s="1279"/>
      <c r="B29" s="1280"/>
      <c r="C29" s="1281"/>
      <c r="D29" s="2469"/>
      <c r="E29" s="2469"/>
      <c r="F29" s="2469"/>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70" t="s">
        <v>1732</v>
      </c>
      <c r="B32" s="2470"/>
      <c r="C32" s="2470"/>
      <c r="D32" s="2470"/>
      <c r="E32" s="2470"/>
      <c r="F32" s="2470"/>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71">
        <f>+C33+C34</f>
        <v>0</v>
      </c>
      <c r="F34" s="2472"/>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73" t="s">
        <v>1590</v>
      </c>
      <c r="C49" s="2473"/>
      <c r="D49" s="2473"/>
      <c r="E49" s="1395"/>
    </row>
    <row r="50" spans="1:5" s="1296" customFormat="1" ht="3.75" customHeight="1" x14ac:dyDescent="0.2">
      <c r="A50" s="1295"/>
      <c r="B50" s="1844"/>
      <c r="C50" s="1844"/>
      <c r="D50" s="1844"/>
      <c r="E50" s="1395"/>
    </row>
    <row r="51" spans="1:5" s="1296" customFormat="1" ht="20.25" customHeight="1" x14ac:dyDescent="0.2">
      <c r="A51" s="1297">
        <v>6</v>
      </c>
      <c r="B51" s="2468" t="s">
        <v>1551</v>
      </c>
      <c r="C51" s="2468"/>
      <c r="D51" s="2468"/>
    </row>
    <row r="52" spans="1:5" ht="14.25" customHeight="1" x14ac:dyDescent="0.2">
      <c r="A52" s="1297"/>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Tri City CUSD 1</v>
      </c>
      <c r="C1" s="2492"/>
      <c r="D1" s="2492"/>
      <c r="E1" s="2492"/>
      <c r="F1" s="2492"/>
      <c r="G1" s="2492"/>
      <c r="H1" s="2492"/>
      <c r="I1" s="2492"/>
      <c r="J1" s="1405"/>
    </row>
    <row r="2" spans="2:10" s="317" customFormat="1" ht="12.75" customHeight="1" x14ac:dyDescent="0.2">
      <c r="B2" s="2493">
        <f>'Single Audit Cover'!E7</f>
        <v>51084001026</v>
      </c>
      <c r="C2" s="2494"/>
      <c r="D2" s="2494"/>
      <c r="E2" s="2494"/>
      <c r="F2" s="2494"/>
      <c r="G2" s="2494"/>
      <c r="H2" s="2494"/>
      <c r="I2" s="2494"/>
      <c r="J2" s="1405"/>
    </row>
    <row r="3" spans="2:10" s="317" customFormat="1" ht="12.75" customHeight="1" x14ac:dyDescent="0.2">
      <c r="B3" s="2495" t="s">
        <v>1285</v>
      </c>
      <c r="C3" s="2496"/>
      <c r="D3" s="2496"/>
      <c r="E3" s="2496"/>
      <c r="F3" s="2496"/>
      <c r="G3" s="2496"/>
      <c r="H3" s="2496"/>
      <c r="I3" s="2496"/>
      <c r="J3" s="1406"/>
    </row>
    <row r="4" spans="2:10" s="317" customFormat="1" ht="12.75" customHeight="1" x14ac:dyDescent="0.2">
      <c r="B4" s="2495" t="str">
        <f>'Single Audit Cover'!A4</f>
        <v>Year Ending June 30, 2019</v>
      </c>
      <c r="C4" s="2496"/>
      <c r="D4" s="2496"/>
      <c r="E4" s="2496"/>
      <c r="F4" s="2496"/>
      <c r="G4" s="2496"/>
      <c r="H4" s="2496"/>
      <c r="I4" s="2496"/>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95" t="s">
        <v>1284</v>
      </c>
      <c r="C7" s="2496"/>
      <c r="D7" s="2496"/>
      <c r="E7" s="2496"/>
      <c r="F7" s="2496"/>
      <c r="G7" s="2496"/>
      <c r="H7" s="2496"/>
      <c r="I7" s="2496"/>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97"/>
      <c r="D11" s="2497"/>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98"/>
      <c r="E29" s="2498"/>
      <c r="F29" s="2498"/>
      <c r="G29" s="2498"/>
      <c r="H29" s="2498"/>
      <c r="I29" s="2498"/>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99" t="s">
        <v>1751</v>
      </c>
      <c r="D37" s="2500"/>
      <c r="E37" s="2500"/>
      <c r="F37" s="2501"/>
      <c r="G37" s="2499" t="s">
        <v>1592</v>
      </c>
      <c r="H37" s="2500"/>
      <c r="I37" s="2501"/>
    </row>
    <row r="38" spans="2:9" ht="16.5" customHeight="1" x14ac:dyDescent="0.2">
      <c r="B38" s="1427"/>
      <c r="C38" s="2487"/>
      <c r="D38" s="2488"/>
      <c r="E38" s="2488"/>
      <c r="F38" s="2489"/>
      <c r="G38" s="2502"/>
      <c r="H38" s="2503"/>
      <c r="I38" s="2504"/>
    </row>
    <row r="39" spans="2:9" ht="16.5" customHeight="1" x14ac:dyDescent="0.2">
      <c r="B39" s="1427"/>
      <c r="C39" s="2487"/>
      <c r="D39" s="2488"/>
      <c r="E39" s="2488"/>
      <c r="F39" s="2489"/>
      <c r="G39" s="2490"/>
      <c r="H39" s="2490"/>
      <c r="I39" s="2490"/>
    </row>
    <row r="40" spans="2:9" ht="16.5" customHeight="1" x14ac:dyDescent="0.2">
      <c r="B40" s="1427"/>
      <c r="C40" s="2487"/>
      <c r="D40" s="2488"/>
      <c r="E40" s="2488"/>
      <c r="F40" s="2489"/>
      <c r="G40" s="2490"/>
      <c r="H40" s="2490"/>
      <c r="I40" s="2490"/>
    </row>
    <row r="41" spans="2:9" ht="16.5" customHeight="1" x14ac:dyDescent="0.2">
      <c r="B41" s="1427"/>
      <c r="C41" s="2487"/>
      <c r="D41" s="2488"/>
      <c r="E41" s="2488"/>
      <c r="F41" s="2489"/>
      <c r="G41" s="2490"/>
      <c r="H41" s="2490"/>
      <c r="I41" s="2490"/>
    </row>
    <row r="42" spans="2:9" ht="16.5" customHeight="1" x14ac:dyDescent="0.2">
      <c r="B42" s="1427"/>
      <c r="C42" s="2487"/>
      <c r="D42" s="2488"/>
      <c r="E42" s="2488"/>
      <c r="F42" s="2489"/>
      <c r="G42" s="2490"/>
      <c r="H42" s="2490"/>
      <c r="I42" s="2490"/>
    </row>
    <row r="43" spans="2:9" ht="16.5" customHeight="1" x14ac:dyDescent="0.2">
      <c r="B43" s="1427"/>
      <c r="C43" s="2480" t="s">
        <v>1593</v>
      </c>
      <c r="D43" s="2481"/>
      <c r="E43" s="2481"/>
      <c r="F43" s="2482"/>
      <c r="G43" s="2483">
        <f>SUM(G38:I42)</f>
        <v>0</v>
      </c>
      <c r="H43" s="2483"/>
      <c r="I43" s="2483"/>
    </row>
    <row r="44" spans="2:9" ht="12.75" customHeight="1" x14ac:dyDescent="0.2"/>
    <row r="45" spans="2:9" ht="12.75" customHeight="1" x14ac:dyDescent="0.2">
      <c r="B45" s="1418" t="s">
        <v>2062</v>
      </c>
      <c r="D45" s="2484">
        <v>0</v>
      </c>
      <c r="E45" s="248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86"/>
      <c r="F49" s="2486"/>
      <c r="G49" s="248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Tri City CUSD 1</v>
      </c>
      <c r="C1" s="2491"/>
      <c r="D1" s="2491"/>
      <c r="E1" s="2491"/>
      <c r="F1" s="2491"/>
      <c r="G1" s="2491"/>
      <c r="H1" s="2491"/>
      <c r="I1" s="2491"/>
      <c r="J1" s="2491"/>
      <c r="K1" s="2491"/>
      <c r="L1" s="1370"/>
      <c r="M1" s="1370"/>
    </row>
    <row r="2" spans="1:13" ht="12" customHeight="1" x14ac:dyDescent="0.2">
      <c r="B2" s="2493">
        <f>'Single Audit Cover'!E7</f>
        <v>51084001026</v>
      </c>
      <c r="C2" s="2493"/>
      <c r="D2" s="2493"/>
      <c r="E2" s="2493"/>
      <c r="F2" s="2493"/>
      <c r="G2" s="2493"/>
      <c r="H2" s="2493"/>
      <c r="I2" s="2493"/>
      <c r="J2" s="2493"/>
      <c r="K2" s="2493"/>
      <c r="L2" s="1371"/>
      <c r="M2" s="1372"/>
    </row>
    <row r="3" spans="1:13" ht="10.35" customHeight="1" x14ac:dyDescent="0.2">
      <c r="B3" s="2507" t="s">
        <v>1285</v>
      </c>
      <c r="C3" s="2507"/>
      <c r="D3" s="2507"/>
      <c r="E3" s="2507"/>
      <c r="F3" s="2507"/>
      <c r="G3" s="2507"/>
      <c r="H3" s="2507"/>
      <c r="I3" s="2507"/>
      <c r="J3" s="2507"/>
      <c r="K3" s="2507"/>
      <c r="L3" s="1373"/>
      <c r="M3" s="1373"/>
    </row>
    <row r="4" spans="1:13" ht="14.25" customHeight="1" x14ac:dyDescent="0.2">
      <c r="B4" s="2508" t="str">
        <f>'Single Audit Cover'!A4</f>
        <v>Year Ending June 30, 2019</v>
      </c>
      <c r="C4" s="2508"/>
      <c r="D4" s="2508"/>
      <c r="E4" s="2508"/>
      <c r="F4" s="2508"/>
      <c r="G4" s="2508"/>
      <c r="H4" s="2508"/>
      <c r="I4" s="2508"/>
      <c r="J4" s="2508"/>
      <c r="K4" s="250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08" t="s">
        <v>1296</v>
      </c>
      <c r="C7" s="2508"/>
      <c r="D7" s="2509"/>
      <c r="E7" s="2509"/>
      <c r="F7" s="2509"/>
      <c r="G7" s="2509"/>
      <c r="H7" s="2509"/>
      <c r="I7" s="2509"/>
      <c r="J7" s="2509"/>
      <c r="K7" s="250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506"/>
      <c r="C14" s="2506"/>
      <c r="D14" s="2506"/>
      <c r="E14" s="2506"/>
      <c r="F14" s="2506"/>
      <c r="G14" s="2506"/>
      <c r="H14" s="2506"/>
      <c r="I14" s="2506"/>
      <c r="J14" s="2506"/>
      <c r="K14" s="250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506"/>
      <c r="C17" s="2506"/>
      <c r="D17" s="2506"/>
      <c r="E17" s="2506"/>
      <c r="F17" s="2506"/>
      <c r="G17" s="2506"/>
      <c r="H17" s="2506"/>
      <c r="I17" s="2506"/>
      <c r="J17" s="2506"/>
      <c r="K17" s="250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510"/>
      <c r="C20" s="2510"/>
      <c r="D20" s="2506"/>
      <c r="E20" s="2506"/>
      <c r="F20" s="2506"/>
      <c r="G20" s="2506"/>
      <c r="H20" s="2506"/>
      <c r="I20" s="2506"/>
      <c r="J20" s="2506"/>
      <c r="K20" s="250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506"/>
      <c r="C23" s="2506"/>
      <c r="D23" s="2506"/>
      <c r="E23" s="2506"/>
      <c r="F23" s="2506"/>
      <c r="G23" s="2506"/>
      <c r="H23" s="2506"/>
      <c r="I23" s="2506"/>
      <c r="J23" s="2506"/>
      <c r="K23" s="250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506"/>
      <c r="C26" s="2506"/>
      <c r="D26" s="2506"/>
      <c r="E26" s="2506"/>
      <c r="F26" s="2506"/>
      <c r="G26" s="2506"/>
      <c r="H26" s="2506"/>
      <c r="I26" s="2506"/>
      <c r="J26" s="2506"/>
      <c r="K26" s="250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505"/>
      <c r="C29" s="2505"/>
      <c r="D29" s="2506"/>
      <c r="E29" s="2506"/>
      <c r="F29" s="2506"/>
      <c r="G29" s="2506"/>
      <c r="H29" s="2506"/>
      <c r="I29" s="2506"/>
      <c r="J29" s="2506"/>
      <c r="K29" s="250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505"/>
      <c r="C32" s="2505"/>
      <c r="D32" s="2506"/>
      <c r="E32" s="2506"/>
      <c r="F32" s="2506"/>
      <c r="G32" s="2506"/>
      <c r="H32" s="2506"/>
      <c r="I32" s="2506"/>
      <c r="J32" s="2506"/>
      <c r="K32" s="250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Tri City CUSD 1</v>
      </c>
      <c r="C1" s="2514"/>
      <c r="D1" s="2514"/>
      <c r="E1" s="2514"/>
      <c r="F1" s="2514"/>
      <c r="G1" s="2514"/>
      <c r="H1" s="2514"/>
      <c r="I1" s="2514"/>
      <c r="J1" s="2514"/>
      <c r="K1" s="2514"/>
      <c r="L1" s="1448"/>
    </row>
    <row r="2" spans="1:12" ht="12.75" customHeight="1" x14ac:dyDescent="0.2">
      <c r="B2" s="2515">
        <f>'Single Audit Cover'!E7</f>
        <v>51084001026</v>
      </c>
      <c r="C2" s="2515"/>
      <c r="D2" s="2515"/>
      <c r="E2" s="2515"/>
      <c r="F2" s="2515"/>
      <c r="G2" s="2515"/>
      <c r="H2" s="2515"/>
      <c r="I2" s="2515"/>
      <c r="J2" s="2515"/>
      <c r="K2" s="2515"/>
      <c r="L2" s="1449"/>
    </row>
    <row r="3" spans="1:12" ht="12.75" customHeight="1" x14ac:dyDescent="0.2">
      <c r="B3" s="2507" t="s">
        <v>1285</v>
      </c>
      <c r="C3" s="2507"/>
      <c r="D3" s="2507"/>
      <c r="E3" s="2507"/>
      <c r="F3" s="2507"/>
      <c r="G3" s="2507"/>
      <c r="H3" s="2507"/>
      <c r="I3" s="2507"/>
      <c r="J3" s="2507"/>
      <c r="K3" s="2507"/>
      <c r="L3" s="1373"/>
    </row>
    <row r="4" spans="1:12" ht="12.75" customHeight="1" x14ac:dyDescent="0.2">
      <c r="B4" s="2507" t="str">
        <f>'Single Audit Cover'!A4</f>
        <v>Year Ending June 30, 2019</v>
      </c>
      <c r="C4" s="2507"/>
      <c r="D4" s="2507"/>
      <c r="E4" s="2507"/>
      <c r="F4" s="2507"/>
      <c r="G4" s="2507"/>
      <c r="H4" s="2507"/>
      <c r="I4" s="2507"/>
      <c r="J4" s="2507"/>
      <c r="K4" s="2507"/>
      <c r="L4" s="1373"/>
    </row>
    <row r="5" spans="1:12" ht="5.25" customHeight="1" x14ac:dyDescent="0.2">
      <c r="B5" s="1256" t="s">
        <v>1169</v>
      </c>
      <c r="C5" s="1256"/>
      <c r="L5" s="322"/>
    </row>
    <row r="6" spans="1:12" ht="30.75" customHeight="1" x14ac:dyDescent="0.2">
      <c r="A6" s="322"/>
      <c r="B6" s="2516" t="s">
        <v>1308</v>
      </c>
      <c r="C6" s="2516"/>
      <c r="D6" s="2516"/>
      <c r="E6" s="2516"/>
      <c r="F6" s="2516"/>
      <c r="G6" s="2516"/>
      <c r="H6" s="2516"/>
      <c r="I6" s="2516"/>
      <c r="J6" s="2516"/>
      <c r="K6" s="251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1989</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98"/>
      <c r="G12" s="2498"/>
      <c r="H12" s="2498"/>
      <c r="I12" s="2498"/>
      <c r="J12" s="2498"/>
      <c r="K12" s="249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11"/>
      <c r="E14" s="2511"/>
      <c r="F14" s="2511"/>
      <c r="H14" s="1458" t="s">
        <v>1303</v>
      </c>
      <c r="I14" s="2512"/>
      <c r="J14" s="2512"/>
      <c r="K14" s="251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12"/>
      <c r="E16" s="2512"/>
      <c r="F16" s="2512"/>
      <c r="G16" s="2512"/>
      <c r="H16" s="2512"/>
      <c r="I16" s="2512"/>
      <c r="J16" s="2512"/>
      <c r="K16" s="2512"/>
      <c r="L16" s="322"/>
    </row>
    <row r="17" spans="2:12" ht="13.5" customHeight="1" x14ac:dyDescent="0.2">
      <c r="B17" s="1383" t="s">
        <v>1301</v>
      </c>
      <c r="C17" s="1383"/>
      <c r="D17" s="2513"/>
      <c r="E17" s="2513"/>
      <c r="F17" s="2513"/>
      <c r="G17" s="2513"/>
      <c r="H17" s="2513"/>
      <c r="I17" s="2513"/>
      <c r="J17" s="2513"/>
      <c r="K17" s="251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506"/>
      <c r="C20" s="2506"/>
      <c r="D20" s="2506"/>
      <c r="E20" s="2506"/>
      <c r="F20" s="2506"/>
      <c r="G20" s="2506"/>
      <c r="H20" s="2506"/>
      <c r="I20" s="2506"/>
      <c r="J20" s="2506"/>
      <c r="K20" s="250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91" t="str">
        <f>'Single Audit Cover'!A7</f>
        <v>Tri City CUSD 1</v>
      </c>
      <c r="C1" s="2491"/>
      <c r="D1" s="2491"/>
      <c r="E1" s="1468"/>
    </row>
    <row r="2" spans="2:5" s="1278" customFormat="1" ht="12.75" customHeight="1" x14ac:dyDescent="0.2">
      <c r="B2" s="2493">
        <f>'Single Audit Cover'!E7</f>
        <v>51084001026</v>
      </c>
      <c r="C2" s="2493"/>
      <c r="D2" s="2493"/>
      <c r="E2" s="1469"/>
    </row>
    <row r="3" spans="2:5" ht="12.75" customHeight="1" x14ac:dyDescent="0.2">
      <c r="B3" s="2507" t="s">
        <v>1766</v>
      </c>
      <c r="C3" s="2507"/>
      <c r="D3" s="2507"/>
      <c r="E3" s="1270"/>
    </row>
    <row r="4" spans="2:5" s="1278" customFormat="1" ht="12.75" customHeight="1" x14ac:dyDescent="0.2">
      <c r="B4" s="2517" t="str">
        <f>'Single Audit Cover'!A4</f>
        <v>Year Ending June 30, 2019</v>
      </c>
      <c r="C4" s="2517"/>
      <c r="D4" s="251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D10" sqref="D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386</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85913252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2.8438999999999999E-2</v>
      </c>
      <c r="E10" s="356" t="s">
        <v>1005</v>
      </c>
      <c r="F10" s="355">
        <v>3.6610000000000002E-3</v>
      </c>
      <c r="G10" s="356" t="s">
        <v>1005</v>
      </c>
      <c r="H10" s="355">
        <v>2.441E-3</v>
      </c>
      <c r="I10" s="356" t="s">
        <v>1006</v>
      </c>
      <c r="J10" s="1731">
        <f>ROUND(D10+F10+H10,5)</f>
        <v>3.4540000000000001E-2</v>
      </c>
      <c r="K10" s="222"/>
      <c r="L10" s="355">
        <v>2.4499999999999999E-4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5175398</v>
      </c>
      <c r="E16" s="356"/>
      <c r="F16" s="1732">
        <f>SUM('Acct Summary 7-8'!C17,'Acct Summary 7-8'!D17,'Acct Summary 7-8'!F17)</f>
        <v>5218082</v>
      </c>
      <c r="G16" s="356"/>
      <c r="H16" s="1732">
        <f>SUM(D16-F16)</f>
        <v>-42684</v>
      </c>
      <c r="I16" s="222"/>
      <c r="J16" s="1732">
        <f>SUM('Acct Summary 7-8'!C81,'Acct Summary 7-8'!D81,'Acct Summary 7-8'!F81,'Acct Summary 7-8'!I81)</f>
        <v>2604375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11856028.776000001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4130000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1" right="0.5" top="1.25" bottom="0.75" header="1" footer="0.25"/>
  <pageSetup scale="88" firstPageNumber="3" orientation="portrait" useFirstPageNumber="1" r:id="rId1"/>
  <headerFooter alignWithMargins="0">
    <oddHeader>&amp;L&amp;8Page &amp;P&amp;C &amp;R&amp;8Page &amp;P</oddHeader>
    <oddFooter>&amp;L&amp;8Printed: &amp;D
&amp;F&amp;CReference should be made to auditor's report regarding this information.
54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O16" sqref="O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556</v>
      </c>
      <c r="B2" s="2131"/>
      <c r="C2" s="2131"/>
      <c r="D2" s="2131"/>
      <c r="E2" s="2131"/>
      <c r="F2" s="2131"/>
      <c r="G2" s="2131"/>
      <c r="H2" s="2131"/>
      <c r="I2" s="2131"/>
      <c r="J2" s="2131"/>
      <c r="K2" s="2131"/>
      <c r="L2" s="2131"/>
      <c r="M2" s="2131"/>
      <c r="N2" s="2131"/>
      <c r="O2" s="2131"/>
      <c r="P2" s="2131"/>
      <c r="Q2" s="2131"/>
      <c r="R2" s="2131"/>
    </row>
    <row r="3" spans="1:18" ht="12.75" x14ac:dyDescent="0.2">
      <c r="A3" s="2132" t="s">
        <v>1413</v>
      </c>
      <c r="B3" s="2132"/>
      <c r="C3" s="2132"/>
      <c r="D3" s="2132"/>
      <c r="E3" s="2132"/>
      <c r="F3" s="2132"/>
      <c r="G3" s="2132"/>
      <c r="H3" s="2132"/>
      <c r="I3" s="2132"/>
      <c r="J3" s="2132"/>
      <c r="K3" s="2132"/>
      <c r="L3" s="2132"/>
      <c r="M3" s="2132"/>
      <c r="N3" s="2132"/>
      <c r="O3" s="2132"/>
      <c r="P3" s="2132"/>
      <c r="Q3" s="2132"/>
      <c r="R3" s="2132"/>
    </row>
    <row r="4" spans="1:18" x14ac:dyDescent="0.2">
      <c r="A4" s="2133" t="s">
        <v>1554</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Tri City CUSD 1</v>
      </c>
      <c r="E7" s="391"/>
      <c r="G7" s="252"/>
      <c r="H7" s="387"/>
      <c r="I7" s="387"/>
      <c r="J7" s="387"/>
      <c r="K7" s="387"/>
      <c r="L7" s="329"/>
      <c r="M7" s="329"/>
      <c r="N7" s="329"/>
      <c r="O7" s="329"/>
      <c r="P7" s="329"/>
    </row>
    <row r="8" spans="1:18" ht="12.75" x14ac:dyDescent="0.2">
      <c r="A8" s="329"/>
      <c r="B8" s="329"/>
      <c r="C8" s="389" t="s">
        <v>1125</v>
      </c>
      <c r="D8" s="392">
        <f>COVER!A13</f>
        <v>51084001026</v>
      </c>
      <c r="E8" s="393"/>
      <c r="G8" s="329"/>
      <c r="H8" s="329"/>
      <c r="I8" s="329"/>
      <c r="J8" s="329"/>
      <c r="K8" s="329"/>
      <c r="L8" s="329"/>
      <c r="M8" s="329"/>
      <c r="N8" s="329"/>
      <c r="O8" s="329"/>
      <c r="P8" s="329"/>
    </row>
    <row r="9" spans="1:18" ht="12.75" x14ac:dyDescent="0.2">
      <c r="A9" s="329"/>
      <c r="B9" s="329"/>
      <c r="C9" s="389" t="s">
        <v>713</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2604375</v>
      </c>
      <c r="I12" s="404"/>
      <c r="J12" s="404"/>
      <c r="K12" s="405">
        <f>TRUNC((H12/H13*100000),5)/100000</f>
        <v>0.50322216760000005</v>
      </c>
      <c r="L12" s="406"/>
      <c r="M12" s="360" t="s">
        <v>1144</v>
      </c>
      <c r="N12" s="360"/>
      <c r="O12" s="407">
        <v>0.35</v>
      </c>
      <c r="P12" s="218"/>
      <c r="Q12" s="218"/>
    </row>
    <row r="13" spans="1:18" s="408" customFormat="1" ht="12.75" x14ac:dyDescent="0.2">
      <c r="A13" s="218"/>
      <c r="B13" s="401"/>
      <c r="C13" s="2129" t="s">
        <v>1324</v>
      </c>
      <c r="D13" s="2130"/>
      <c r="E13" s="218"/>
      <c r="F13" s="409" t="s">
        <v>793</v>
      </c>
      <c r="G13" s="402"/>
      <c r="H13" s="403">
        <f>SUM('Acct Summary 7-8'!C8+'Acct Summary 7-8'!D8+'Acct Summary 7-8'!F8+'Acct Summary 7-8'!I8)+H14</f>
        <v>5175398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5218082</v>
      </c>
      <c r="I17" s="404"/>
      <c r="J17" s="416"/>
      <c r="K17" s="405">
        <f>TRUNC((H17/H18*100000),5)/100000</f>
        <v>1.0082474816</v>
      </c>
      <c r="L17" s="406"/>
      <c r="M17" s="417" t="s">
        <v>1171</v>
      </c>
      <c r="O17" s="418" t="str">
        <f>IF(AND(O16="2", J20 &gt; 2),"1",IF(AND(O16 = "1", J20 &gt; 2),"2",IF(AND(O16="1", J20 &gt;1),"1","0")))</f>
        <v>0</v>
      </c>
      <c r="P17" s="218"/>
    </row>
    <row r="18" spans="1:18" s="408" customFormat="1" ht="11.25" x14ac:dyDescent="0.2">
      <c r="A18" s="218"/>
      <c r="B18" s="401"/>
      <c r="C18" s="2129" t="s">
        <v>1317</v>
      </c>
      <c r="D18" s="2130"/>
      <c r="E18" s="218"/>
      <c r="F18" s="419" t="s">
        <v>794</v>
      </c>
      <c r="G18" s="402"/>
      <c r="H18" s="403">
        <f>SUM('Acct Summary 7-8'!C8+'Acct Summary 7-8'!D8+'Acct Summary 7-8'!F8+'Acct Summary 7-8'!I8)+H19</f>
        <v>5175398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48.890338499999999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6" t="s">
        <v>1412</v>
      </c>
      <c r="D24" s="2126"/>
      <c r="E24" s="218"/>
      <c r="F24" s="218" t="s">
        <v>445</v>
      </c>
      <c r="G24" s="402"/>
      <c r="H24" s="403">
        <f>SUM('Assets-Liab 5-6'!C4+'Assets-Liab 5-6'!D4+'Assets-Liab 5-6'!F4+'Assets-Liab 5-6'!I4+'Assets-Liab 5-6'!C5+'Assets-Liab 5-6'!D5+'Assets-Liab 5-6'!F5+'Assets-Liab 5-6'!I5)</f>
        <v>2604375</v>
      </c>
      <c r="I24" s="422"/>
      <c r="J24" s="422"/>
      <c r="K24" s="423">
        <f>TRUNC(((H24/H25*100000)/100000),2)</f>
        <v>179.67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14494.67222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2522327.1654699999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4130000</v>
      </c>
      <c r="I32" s="420"/>
      <c r="J32" s="420"/>
      <c r="K32" s="423">
        <f>TRUNC(100-((((H32/H33*100))*100)/100),2)</f>
        <v>65.16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11856028.776000001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5" right="0.5" top="1.25" bottom="0.5" header="1" footer="0.25"/>
  <pageSetup scale="82"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G13" sqref="G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6" t="s">
        <v>973</v>
      </c>
      <c r="B3" s="2137"/>
      <c r="C3" s="1558"/>
      <c r="D3" s="1559"/>
      <c r="E3" s="1559"/>
      <c r="F3" s="1559"/>
      <c r="G3" s="1559"/>
      <c r="H3" s="1559"/>
      <c r="I3" s="1559"/>
      <c r="J3" s="1559"/>
      <c r="K3" s="1559"/>
      <c r="L3" s="1559"/>
      <c r="M3" s="1560"/>
      <c r="N3" s="1561"/>
    </row>
    <row r="4" spans="1:14" ht="13.5" customHeight="1" x14ac:dyDescent="0.2">
      <c r="A4" s="463" t="s">
        <v>1651</v>
      </c>
      <c r="B4" s="464"/>
      <c r="C4" s="465">
        <v>20864</v>
      </c>
      <c r="D4" s="466">
        <v>63819</v>
      </c>
      <c r="E4" s="466">
        <v>15118</v>
      </c>
      <c r="F4" s="466">
        <v>27505</v>
      </c>
      <c r="G4" s="466">
        <v>49224</v>
      </c>
      <c r="H4" s="466"/>
      <c r="I4" s="466">
        <v>568</v>
      </c>
      <c r="J4" s="467">
        <v>516</v>
      </c>
      <c r="K4" s="466">
        <v>1171</v>
      </c>
      <c r="L4" s="466">
        <v>71265</v>
      </c>
      <c r="M4" s="468"/>
      <c r="N4" s="469"/>
    </row>
    <row r="5" spans="1:14" x14ac:dyDescent="0.2">
      <c r="A5" s="463" t="s">
        <v>992</v>
      </c>
      <c r="B5" s="470">
        <v>120</v>
      </c>
      <c r="C5" s="465">
        <v>670259</v>
      </c>
      <c r="D5" s="466">
        <v>1153798</v>
      </c>
      <c r="E5" s="466">
        <v>357325</v>
      </c>
      <c r="F5" s="466">
        <v>224474</v>
      </c>
      <c r="G5" s="466">
        <v>101332</v>
      </c>
      <c r="H5" s="466"/>
      <c r="I5" s="466">
        <v>443088</v>
      </c>
      <c r="J5" s="467">
        <v>38196</v>
      </c>
      <c r="K5" s="471">
        <v>280844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691123</v>
      </c>
      <c r="D13" s="1736">
        <f t="shared" ref="D13:L13" si="0">SUM(D4:D12)</f>
        <v>1217617</v>
      </c>
      <c r="E13" s="1736">
        <f t="shared" si="0"/>
        <v>372443</v>
      </c>
      <c r="F13" s="1736">
        <f t="shared" si="0"/>
        <v>251979</v>
      </c>
      <c r="G13" s="1736">
        <f t="shared" si="0"/>
        <v>150556</v>
      </c>
      <c r="H13" s="1736">
        <f t="shared" si="0"/>
        <v>0</v>
      </c>
      <c r="I13" s="1736">
        <f t="shared" si="0"/>
        <v>443656</v>
      </c>
      <c r="J13" s="1736">
        <f t="shared" si="0"/>
        <v>38712</v>
      </c>
      <c r="K13" s="1736">
        <f t="shared" si="0"/>
        <v>282015</v>
      </c>
      <c r="L13" s="1736">
        <f t="shared" si="0"/>
        <v>71265</v>
      </c>
      <c r="M13" s="468"/>
      <c r="N13" s="469"/>
    </row>
    <row r="14" spans="1:14" ht="18" customHeight="1" thickTop="1" x14ac:dyDescent="0.2">
      <c r="A14" s="2138" t="s">
        <v>147</v>
      </c>
      <c r="B14" s="2139"/>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38176</v>
      </c>
      <c r="N16" s="484"/>
    </row>
    <row r="17" spans="1:14" s="485" customFormat="1" ht="12.75" customHeight="1" x14ac:dyDescent="0.2">
      <c r="A17" s="482" t="s">
        <v>1403</v>
      </c>
      <c r="B17" s="483">
        <v>230</v>
      </c>
      <c r="C17" s="477"/>
      <c r="D17" s="477"/>
      <c r="E17" s="477"/>
      <c r="F17" s="477"/>
      <c r="G17" s="477"/>
      <c r="H17" s="477"/>
      <c r="I17" s="477"/>
      <c r="J17" s="477"/>
      <c r="K17" s="477"/>
      <c r="L17" s="477"/>
      <c r="M17" s="467">
        <v>9654452</v>
      </c>
      <c r="N17" s="484"/>
    </row>
    <row r="18" spans="1:14" s="485" customFormat="1" ht="12.75" customHeight="1" x14ac:dyDescent="0.2">
      <c r="A18" s="482" t="s">
        <v>1404</v>
      </c>
      <c r="B18" s="483">
        <v>240</v>
      </c>
      <c r="C18" s="477"/>
      <c r="D18" s="477"/>
      <c r="E18" s="477"/>
      <c r="F18" s="477"/>
      <c r="G18" s="477"/>
      <c r="H18" s="477"/>
      <c r="I18" s="477"/>
      <c r="J18" s="477"/>
      <c r="K18" s="477"/>
      <c r="L18" s="477"/>
      <c r="M18" s="467">
        <v>85781</v>
      </c>
      <c r="N18" s="484"/>
    </row>
    <row r="19" spans="1:14" s="485" customFormat="1" ht="12.75" customHeight="1" x14ac:dyDescent="0.2">
      <c r="A19" s="482" t="s">
        <v>1405</v>
      </c>
      <c r="B19" s="483">
        <v>250</v>
      </c>
      <c r="C19" s="477"/>
      <c r="D19" s="477"/>
      <c r="E19" s="477"/>
      <c r="F19" s="477"/>
      <c r="G19" s="477"/>
      <c r="H19" s="477"/>
      <c r="I19" s="477"/>
      <c r="J19" s="477"/>
      <c r="K19" s="477"/>
      <c r="L19" s="477"/>
      <c r="M19" s="467">
        <f>666485+188048</f>
        <v>854533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372443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3757557</v>
      </c>
    </row>
    <row r="23" spans="1:14" ht="13.5" customHeight="1" thickBot="1" x14ac:dyDescent="0.25">
      <c r="A23" s="1735" t="s">
        <v>643</v>
      </c>
      <c r="B23" s="1740"/>
      <c r="C23" s="468"/>
      <c r="D23" s="468"/>
      <c r="E23" s="468"/>
      <c r="F23" s="468"/>
      <c r="G23" s="468"/>
      <c r="H23" s="468"/>
      <c r="I23" s="468"/>
      <c r="J23" s="468"/>
      <c r="K23" s="468"/>
      <c r="L23" s="468"/>
      <c r="M23" s="1687">
        <f>SUM(M15:M22)</f>
        <v>10632942</v>
      </c>
      <c r="N23" s="1687">
        <f>SUM(N21:N22)</f>
        <v>4130000</v>
      </c>
    </row>
    <row r="24" spans="1:14" ht="18" customHeight="1" thickTop="1" x14ac:dyDescent="0.2">
      <c r="A24" s="2140" t="s">
        <v>598</v>
      </c>
      <c r="B24" s="2141"/>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71265</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71265</v>
      </c>
      <c r="M34" s="468"/>
      <c r="N34" s="480"/>
    </row>
    <row r="35" spans="1:14" ht="18" customHeight="1" thickTop="1" x14ac:dyDescent="0.2">
      <c r="A35" s="2142" t="s">
        <v>529</v>
      </c>
      <c r="B35" s="2143"/>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4130000</v>
      </c>
    </row>
    <row r="37" spans="1:14" ht="13.5" thickBot="1" x14ac:dyDescent="0.25">
      <c r="A37" s="1735" t="s">
        <v>653</v>
      </c>
      <c r="B37" s="1740"/>
      <c r="C37" s="477"/>
      <c r="D37" s="477"/>
      <c r="E37" s="477"/>
      <c r="F37" s="477"/>
      <c r="G37" s="477"/>
      <c r="H37" s="477"/>
      <c r="I37" s="477"/>
      <c r="J37" s="477"/>
      <c r="K37" s="477"/>
      <c r="L37" s="480"/>
      <c r="M37" s="468"/>
      <c r="N37" s="1687">
        <f>SUM(N36:N36)</f>
        <v>4130000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691123</v>
      </c>
      <c r="D39" s="466">
        <v>1217617</v>
      </c>
      <c r="E39" s="466">
        <v>372443</v>
      </c>
      <c r="F39" s="466">
        <v>251979</v>
      </c>
      <c r="G39" s="466">
        <v>150556</v>
      </c>
      <c r="H39" s="466"/>
      <c r="I39" s="466">
        <v>443656</v>
      </c>
      <c r="J39" s="467">
        <v>38712</v>
      </c>
      <c r="K39" s="466">
        <v>282015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10632942</v>
      </c>
      <c r="N40" s="497"/>
    </row>
    <row r="41" spans="1:14" ht="13.5" customHeight="1" thickBot="1" x14ac:dyDescent="0.25">
      <c r="A41" s="1735" t="s">
        <v>655</v>
      </c>
      <c r="B41" s="1705"/>
      <c r="C41" s="1687">
        <f>(SUM(C34,C37,C38,C39))</f>
        <v>691123</v>
      </c>
      <c r="D41" s="1687">
        <f t="shared" ref="D41:L41" si="2">SUM(D34,D37,D38:D39)</f>
        <v>1217617</v>
      </c>
      <c r="E41" s="1687">
        <f t="shared" si="2"/>
        <v>372443</v>
      </c>
      <c r="F41" s="1687">
        <f t="shared" si="2"/>
        <v>251979</v>
      </c>
      <c r="G41" s="1687">
        <f t="shared" si="2"/>
        <v>150556</v>
      </c>
      <c r="H41" s="1687">
        <f t="shared" si="2"/>
        <v>0</v>
      </c>
      <c r="I41" s="1687">
        <f t="shared" si="2"/>
        <v>443656</v>
      </c>
      <c r="J41" s="1687">
        <f t="shared" si="2"/>
        <v>38712</v>
      </c>
      <c r="K41" s="1687">
        <f t="shared" si="2"/>
        <v>282015</v>
      </c>
      <c r="L41" s="1687">
        <f t="shared" si="2"/>
        <v>71265</v>
      </c>
      <c r="M41" s="1687">
        <f>SUM(M40)</f>
        <v>10632942</v>
      </c>
      <c r="N41" s="1687">
        <f>SUM(N37)</f>
        <v>4130000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5" right="0.5" top="1.5" bottom="0.5" header="1" footer="0.25"/>
  <pageSetup scale="72" firstPageNumber="5" fitToHeight="2"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12" activePane="bottomLeft" state="frozen"/>
      <selection pane="bottomLeft" activeCell="A73" sqref="A7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4" t="s">
        <v>1175</v>
      </c>
      <c r="B3" s="2165"/>
      <c r="C3" s="1572"/>
      <c r="D3" s="1573"/>
      <c r="E3" s="1573"/>
      <c r="F3" s="1573"/>
      <c r="G3" s="1573"/>
      <c r="H3" s="1573"/>
      <c r="I3" s="1573"/>
      <c r="J3" s="1573"/>
      <c r="K3" s="1574"/>
      <c r="L3" s="506"/>
    </row>
    <row r="4" spans="1:13" ht="15.75" customHeight="1" x14ac:dyDescent="0.2">
      <c r="A4" s="1927" t="s">
        <v>1499</v>
      </c>
      <c r="B4" s="1928">
        <v>1000</v>
      </c>
      <c r="C4" s="1741">
        <f>'Revenues 9-14'!C109</f>
        <v>2673480</v>
      </c>
      <c r="D4" s="1741">
        <f>'Revenues 9-14'!D109</f>
        <v>427390</v>
      </c>
      <c r="E4" s="1741">
        <f>'Revenues 9-14'!E109</f>
        <v>620488</v>
      </c>
      <c r="F4" s="1741">
        <f>'Revenues 9-14'!F109</f>
        <v>208503</v>
      </c>
      <c r="G4" s="1741">
        <f>'Revenues 9-14'!G109</f>
        <v>130027</v>
      </c>
      <c r="H4" s="1741">
        <f>'Revenues 9-14'!H109</f>
        <v>0</v>
      </c>
      <c r="I4" s="1741">
        <f>'Revenues 9-14'!I109</f>
        <v>20942</v>
      </c>
      <c r="J4" s="1741">
        <f>'Revenues 9-14'!J109</f>
        <v>100672</v>
      </c>
      <c r="K4" s="1741">
        <f>'Revenues 9-14'!K109</f>
        <v>48831</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1145891</v>
      </c>
      <c r="D6" s="1742">
        <f>'Revenues 9-14'!D170</f>
        <v>212047</v>
      </c>
      <c r="E6" s="1742">
        <f>'Revenues 9-14'!E170</f>
        <v>0</v>
      </c>
      <c r="F6" s="1742">
        <f>'Revenues 9-14'!F170</f>
        <v>165939</v>
      </c>
      <c r="G6" s="1742">
        <f>'Revenues 9-14'!G170</f>
        <v>106023</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321206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4140577</v>
      </c>
      <c r="D8" s="1687">
        <f t="shared" ref="D8:K8" si="0">SUM(D4:D7)</f>
        <v>639437</v>
      </c>
      <c r="E8" s="1687">
        <f t="shared" si="0"/>
        <v>620488</v>
      </c>
      <c r="F8" s="1687">
        <f t="shared" si="0"/>
        <v>374442</v>
      </c>
      <c r="G8" s="1687">
        <f t="shared" si="0"/>
        <v>236050</v>
      </c>
      <c r="H8" s="1687">
        <f t="shared" si="0"/>
        <v>0</v>
      </c>
      <c r="I8" s="1687">
        <f t="shared" si="0"/>
        <v>20942</v>
      </c>
      <c r="J8" s="1687">
        <f t="shared" si="0"/>
        <v>100672</v>
      </c>
      <c r="K8" s="1687">
        <f t="shared" si="0"/>
        <v>48831</v>
      </c>
      <c r="L8" s="347"/>
    </row>
    <row r="9" spans="1:13" ht="15.75" thickTop="1" x14ac:dyDescent="0.2">
      <c r="A9" s="514" t="s">
        <v>1653</v>
      </c>
      <c r="B9" s="515">
        <v>3998</v>
      </c>
      <c r="C9" s="481">
        <v>419201</v>
      </c>
      <c r="D9" s="516"/>
      <c r="E9" s="481"/>
      <c r="F9" s="481"/>
      <c r="G9" s="517"/>
      <c r="H9" s="481"/>
      <c r="I9" s="509" t="s">
        <v>1169</v>
      </c>
      <c r="J9" s="478"/>
      <c r="K9" s="481"/>
      <c r="L9" s="347"/>
    </row>
    <row r="10" spans="1:13" s="519" customFormat="1" ht="13.5" thickBot="1" x14ac:dyDescent="0.25">
      <c r="A10" s="1735" t="s">
        <v>1173</v>
      </c>
      <c r="B10" s="1708"/>
      <c r="C10" s="1687">
        <f>SUM(C8:C9)</f>
        <v>4559778</v>
      </c>
      <c r="D10" s="1687">
        <f t="shared" ref="D10:K10" si="1">SUM(D8:D9)</f>
        <v>639437</v>
      </c>
      <c r="E10" s="1687">
        <f t="shared" si="1"/>
        <v>620488</v>
      </c>
      <c r="F10" s="1687">
        <f t="shared" si="1"/>
        <v>374442</v>
      </c>
      <c r="G10" s="1687">
        <f t="shared" si="1"/>
        <v>236050</v>
      </c>
      <c r="H10" s="1687">
        <f t="shared" si="1"/>
        <v>0</v>
      </c>
      <c r="I10" s="1687">
        <f t="shared" si="1"/>
        <v>20942</v>
      </c>
      <c r="J10" s="1687">
        <f t="shared" si="1"/>
        <v>100672</v>
      </c>
      <c r="K10" s="1687">
        <f t="shared" si="1"/>
        <v>48831</v>
      </c>
      <c r="L10" s="518"/>
    </row>
    <row r="11" spans="1:13" s="519" customFormat="1" ht="16.7" customHeight="1" thickTop="1" x14ac:dyDescent="0.2">
      <c r="A11" s="2138" t="s">
        <v>1176</v>
      </c>
      <c r="B11" s="2139"/>
      <c r="C11" s="1569"/>
      <c r="D11" s="1570"/>
      <c r="E11" s="1570"/>
      <c r="F11" s="1570"/>
      <c r="G11" s="1570"/>
      <c r="H11" s="1570"/>
      <c r="I11" s="1570"/>
      <c r="J11" s="1570"/>
      <c r="K11" s="1571"/>
      <c r="L11" s="518"/>
    </row>
    <row r="12" spans="1:13" ht="15.75" customHeight="1" x14ac:dyDescent="0.2">
      <c r="A12" s="1575" t="s">
        <v>456</v>
      </c>
      <c r="B12" s="1577">
        <v>1000</v>
      </c>
      <c r="C12" s="1741">
        <f>'Expenditures 15-22'!K33</f>
        <v>2929657</v>
      </c>
      <c r="D12" s="520" t="s">
        <v>1169</v>
      </c>
      <c r="E12" s="468" t="s">
        <v>1169</v>
      </c>
      <c r="F12" s="468" t="s">
        <v>1169</v>
      </c>
      <c r="G12" s="1741">
        <f>'Expenditures 15-22'!K229</f>
        <v>39259</v>
      </c>
      <c r="H12" s="521"/>
      <c r="I12" s="468" t="s">
        <v>1169</v>
      </c>
      <c r="J12" s="468" t="s">
        <v>1169</v>
      </c>
      <c r="K12" s="521" t="s">
        <v>1169</v>
      </c>
      <c r="L12" s="347"/>
    </row>
    <row r="13" spans="1:13" ht="15.75" customHeight="1" x14ac:dyDescent="0.2">
      <c r="A13" s="1575" t="s">
        <v>457</v>
      </c>
      <c r="B13" s="1577">
        <v>2000</v>
      </c>
      <c r="C13" s="1742">
        <f>'Expenditures 15-22'!K74</f>
        <v>1076947</v>
      </c>
      <c r="D13" s="1742">
        <f>'Expenditures 15-22'!K129</f>
        <v>490479</v>
      </c>
      <c r="E13" s="469" t="s">
        <v>1169</v>
      </c>
      <c r="F13" s="1742">
        <f>'Expenditures 15-22'!K184</f>
        <v>428724</v>
      </c>
      <c r="G13" s="1742">
        <f>'Expenditures 15-22'!K279</f>
        <v>158924</v>
      </c>
      <c r="H13" s="1742">
        <f>'Expenditures 15-22'!K303</f>
        <v>0</v>
      </c>
      <c r="I13" s="468" t="s">
        <v>1169</v>
      </c>
      <c r="J13" s="1742">
        <f>'Expenditures 15-22'!K330</f>
        <v>87590</v>
      </c>
      <c r="K13" s="1746">
        <f>'Expenditures 15-22'!K352</f>
        <v>6898</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292275</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620562</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4298879</v>
      </c>
      <c r="D17" s="1687">
        <f t="shared" si="2"/>
        <v>490479</v>
      </c>
      <c r="E17" s="1687">
        <f t="shared" si="2"/>
        <v>620562</v>
      </c>
      <c r="F17" s="1687">
        <f t="shared" si="2"/>
        <v>428724</v>
      </c>
      <c r="G17" s="1687">
        <f t="shared" si="2"/>
        <v>198183</v>
      </c>
      <c r="H17" s="1687">
        <f t="shared" si="2"/>
        <v>0</v>
      </c>
      <c r="I17" s="468"/>
      <c r="J17" s="1687">
        <f>SUM(J12:J16)</f>
        <v>87590</v>
      </c>
      <c r="K17" s="1687">
        <f>SUM(K12:K16)</f>
        <v>6898</v>
      </c>
      <c r="L17" s="347"/>
    </row>
    <row r="18" spans="1:12" ht="15" customHeight="1" thickTop="1" x14ac:dyDescent="0.2">
      <c r="A18" s="1743" t="s">
        <v>1654</v>
      </c>
      <c r="B18" s="1744">
        <v>4180</v>
      </c>
      <c r="C18" s="1741">
        <f t="shared" ref="C18:H18" si="3">C9</f>
        <v>419201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4718080</v>
      </c>
      <c r="D19" s="1687">
        <f t="shared" si="4"/>
        <v>490479</v>
      </c>
      <c r="E19" s="1687">
        <f t="shared" si="4"/>
        <v>620562</v>
      </c>
      <c r="F19" s="1687">
        <f t="shared" si="4"/>
        <v>428724</v>
      </c>
      <c r="G19" s="1687">
        <f t="shared" si="4"/>
        <v>198183</v>
      </c>
      <c r="H19" s="1687">
        <f t="shared" si="4"/>
        <v>0</v>
      </c>
      <c r="I19" s="468"/>
      <c r="J19" s="1687">
        <f>SUM(J17:J18)</f>
        <v>87590</v>
      </c>
      <c r="K19" s="1687">
        <f>SUM(K17:K18)</f>
        <v>6898</v>
      </c>
      <c r="L19" s="347"/>
    </row>
    <row r="20" spans="1:12" ht="16.5" thickTop="1" thickBot="1" x14ac:dyDescent="0.25">
      <c r="A20" s="2154" t="s">
        <v>1655</v>
      </c>
      <c r="B20" s="2155"/>
      <c r="C20" s="1745">
        <f>C8-C17</f>
        <v>-158302</v>
      </c>
      <c r="D20" s="1745">
        <f t="shared" ref="D20:K20" si="5">D8-D17</f>
        <v>148958</v>
      </c>
      <c r="E20" s="1745">
        <f t="shared" si="5"/>
        <v>-74</v>
      </c>
      <c r="F20" s="1745">
        <f t="shared" si="5"/>
        <v>-54282</v>
      </c>
      <c r="G20" s="1745">
        <f t="shared" si="5"/>
        <v>37867</v>
      </c>
      <c r="H20" s="1745">
        <f t="shared" si="5"/>
        <v>0</v>
      </c>
      <c r="I20" s="1745">
        <f t="shared" si="5"/>
        <v>20942</v>
      </c>
      <c r="J20" s="1745">
        <f t="shared" si="5"/>
        <v>13082</v>
      </c>
      <c r="K20" s="1745">
        <f t="shared" si="5"/>
        <v>41933</v>
      </c>
      <c r="L20" s="347"/>
    </row>
    <row r="21" spans="1:12" ht="16.7" customHeight="1" thickTop="1" x14ac:dyDescent="0.2">
      <c r="A21" s="2166" t="s">
        <v>595</v>
      </c>
      <c r="B21" s="2167"/>
      <c r="C21" s="1569"/>
      <c r="D21" s="1570"/>
      <c r="E21" s="1570"/>
      <c r="F21" s="1570"/>
      <c r="G21" s="1570"/>
      <c r="H21" s="1570"/>
      <c r="I21" s="1570"/>
      <c r="J21" s="1570"/>
      <c r="K21" s="1571"/>
      <c r="L21" s="524"/>
    </row>
    <row r="22" spans="1:12" ht="15.75" customHeight="1" collapsed="1" x14ac:dyDescent="0.2">
      <c r="A22" s="2162" t="s">
        <v>596</v>
      </c>
      <c r="B22" s="2163"/>
      <c r="C22" s="477"/>
      <c r="D22" s="477"/>
      <c r="E22" s="477"/>
      <c r="F22" s="477"/>
      <c r="G22" s="477"/>
      <c r="H22" s="477"/>
      <c r="I22" s="477"/>
      <c r="J22" s="477"/>
      <c r="K22" s="477"/>
      <c r="L22" s="347"/>
    </row>
    <row r="23" spans="1:12" s="485" customFormat="1" ht="15.75" customHeight="1" x14ac:dyDescent="0.2">
      <c r="A23" s="2158" t="s">
        <v>293</v>
      </c>
      <c r="B23" s="2159"/>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60" t="s">
        <v>981</v>
      </c>
      <c r="B32" s="2161"/>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v>2255</v>
      </c>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28000</v>
      </c>
      <c r="F43" s="467"/>
      <c r="G43" s="467"/>
      <c r="H43" s="467"/>
      <c r="I43" s="467"/>
      <c r="J43" s="467"/>
      <c r="K43" s="467"/>
      <c r="L43" s="524"/>
    </row>
    <row r="44" spans="1:12" s="485" customFormat="1" ht="13.5" customHeight="1" thickBot="1" x14ac:dyDescent="0.25">
      <c r="A44" s="2168" t="s">
        <v>374</v>
      </c>
      <c r="B44" s="2169"/>
      <c r="C44" s="1702">
        <f>SUM(C24:C43)</f>
        <v>0</v>
      </c>
      <c r="D44" s="1702">
        <f t="shared" ref="D44:K44" si="6">SUM(D24:D43)</f>
        <v>0</v>
      </c>
      <c r="E44" s="1702">
        <f t="shared" si="6"/>
        <v>28000</v>
      </c>
      <c r="F44" s="1702">
        <f t="shared" si="6"/>
        <v>2255</v>
      </c>
      <c r="G44" s="1702">
        <f t="shared" si="6"/>
        <v>0</v>
      </c>
      <c r="H44" s="1702">
        <f t="shared" si="6"/>
        <v>0</v>
      </c>
      <c r="I44" s="1702">
        <f t="shared" si="6"/>
        <v>0</v>
      </c>
      <c r="J44" s="1702">
        <f t="shared" si="6"/>
        <v>0</v>
      </c>
      <c r="K44" s="1702">
        <f t="shared" si="6"/>
        <v>0</v>
      </c>
      <c r="L44" s="524"/>
    </row>
    <row r="45" spans="1:12" ht="15.75" customHeight="1" thickTop="1" x14ac:dyDescent="0.2">
      <c r="A45" s="2162" t="s">
        <v>108</v>
      </c>
      <c r="B45" s="2163"/>
      <c r="C45" s="528"/>
      <c r="D45" s="528"/>
      <c r="E45" s="528"/>
      <c r="F45" s="528"/>
      <c r="G45" s="528"/>
      <c r="H45" s="528"/>
      <c r="I45" s="528"/>
      <c r="J45" s="528"/>
      <c r="K45" s="528"/>
      <c r="L45" s="347"/>
    </row>
    <row r="46" spans="1:12" s="485" customFormat="1" ht="15.75" customHeight="1" x14ac:dyDescent="0.2">
      <c r="A46" s="2170" t="s">
        <v>109</v>
      </c>
      <c r="B46" s="2171"/>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44" t="s">
        <v>440</v>
      </c>
      <c r="B76" s="2145"/>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46" t="s">
        <v>1177</v>
      </c>
      <c r="B77" s="2147"/>
      <c r="C77" s="1702">
        <f t="shared" ref="C77:K77" si="8">C44-C76</f>
        <v>0</v>
      </c>
      <c r="D77" s="1702">
        <f t="shared" si="8"/>
        <v>0</v>
      </c>
      <c r="E77" s="1702">
        <f t="shared" si="8"/>
        <v>28000</v>
      </c>
      <c r="F77" s="1702">
        <f t="shared" si="8"/>
        <v>2255</v>
      </c>
      <c r="G77" s="1702">
        <f t="shared" si="8"/>
        <v>0</v>
      </c>
      <c r="H77" s="1702">
        <f t="shared" si="8"/>
        <v>0</v>
      </c>
      <c r="I77" s="1702">
        <f t="shared" si="8"/>
        <v>0</v>
      </c>
      <c r="J77" s="1702">
        <f t="shared" si="8"/>
        <v>0</v>
      </c>
      <c r="K77" s="1702">
        <f t="shared" si="8"/>
        <v>0</v>
      </c>
      <c r="L77" s="347"/>
    </row>
    <row r="78" spans="1:12" ht="21.75" customHeight="1" thickTop="1" thickBot="1" x14ac:dyDescent="0.25">
      <c r="A78" s="2150" t="s">
        <v>597</v>
      </c>
      <c r="B78" s="2151"/>
      <c r="C78" s="1701">
        <f t="shared" ref="C78:K78" si="9">C20+C77</f>
        <v>-158302</v>
      </c>
      <c r="D78" s="1701">
        <f t="shared" si="9"/>
        <v>148958</v>
      </c>
      <c r="E78" s="1701">
        <f t="shared" si="9"/>
        <v>27926</v>
      </c>
      <c r="F78" s="1701">
        <f t="shared" si="9"/>
        <v>-52027</v>
      </c>
      <c r="G78" s="1701">
        <f t="shared" si="9"/>
        <v>37867</v>
      </c>
      <c r="H78" s="1701">
        <f t="shared" si="9"/>
        <v>0</v>
      </c>
      <c r="I78" s="1701">
        <f t="shared" si="9"/>
        <v>20942</v>
      </c>
      <c r="J78" s="1701">
        <f t="shared" si="9"/>
        <v>13082</v>
      </c>
      <c r="K78" s="1701">
        <f t="shared" si="9"/>
        <v>41933</v>
      </c>
      <c r="L78" s="533"/>
    </row>
    <row r="79" spans="1:12" ht="13.5" thickTop="1" x14ac:dyDescent="0.2">
      <c r="A79" s="1493" t="s">
        <v>1947</v>
      </c>
      <c r="B79" s="534"/>
      <c r="C79" s="478">
        <v>849425</v>
      </c>
      <c r="D79" s="535">
        <v>1068659</v>
      </c>
      <c r="E79" s="535">
        <v>344517</v>
      </c>
      <c r="F79" s="535">
        <v>304006</v>
      </c>
      <c r="G79" s="535">
        <v>112689</v>
      </c>
      <c r="H79" s="535"/>
      <c r="I79" s="535">
        <v>422714</v>
      </c>
      <c r="J79" s="535">
        <v>25630</v>
      </c>
      <c r="K79" s="535">
        <v>240082</v>
      </c>
      <c r="L79" s="347"/>
    </row>
    <row r="80" spans="1:12" x14ac:dyDescent="0.2">
      <c r="A80" s="2156" t="s">
        <v>1795</v>
      </c>
      <c r="B80" s="2157"/>
      <c r="C80" s="467"/>
      <c r="D80" s="467"/>
      <c r="E80" s="467"/>
      <c r="F80" s="467"/>
      <c r="G80" s="467"/>
      <c r="H80" s="467"/>
      <c r="I80" s="467"/>
      <c r="J80" s="467"/>
      <c r="K80" s="467"/>
      <c r="L80" s="347"/>
    </row>
    <row r="81" spans="1:12" ht="13.5" thickBot="1" x14ac:dyDescent="0.25">
      <c r="A81" s="2148" t="s">
        <v>1948</v>
      </c>
      <c r="B81" s="2149"/>
      <c r="C81" s="1687">
        <f>(SUM(C78:C80))</f>
        <v>691123</v>
      </c>
      <c r="D81" s="1687">
        <f>SUM(D78:D80)</f>
        <v>1217617</v>
      </c>
      <c r="E81" s="1687">
        <f t="shared" ref="E81:K81" si="10">SUM(E78:E80)</f>
        <v>372443</v>
      </c>
      <c r="F81" s="1687">
        <f t="shared" si="10"/>
        <v>251979</v>
      </c>
      <c r="G81" s="1687">
        <f t="shared" si="10"/>
        <v>150556</v>
      </c>
      <c r="H81" s="1687">
        <f t="shared" si="10"/>
        <v>0</v>
      </c>
      <c r="I81" s="1687">
        <f t="shared" si="10"/>
        <v>443656</v>
      </c>
      <c r="J81" s="1687">
        <f t="shared" si="10"/>
        <v>38712</v>
      </c>
      <c r="K81" s="1687">
        <f t="shared" si="10"/>
        <v>282015</v>
      </c>
      <c r="L81" s="347"/>
    </row>
    <row r="82" spans="1:12" ht="0.75" customHeight="1" thickTop="1" thickBot="1" x14ac:dyDescent="0.25">
      <c r="A82" s="536" t="s">
        <v>343</v>
      </c>
      <c r="B82" s="537"/>
      <c r="C82" s="538">
        <f>(C81-C79)</f>
        <v>-158302</v>
      </c>
      <c r="D82" s="538">
        <f t="shared" ref="D82:K82" si="11">(D81-D79)</f>
        <v>148958</v>
      </c>
      <c r="E82" s="538">
        <f t="shared" si="11"/>
        <v>27926</v>
      </c>
      <c r="F82" s="538">
        <f t="shared" si="11"/>
        <v>-52027</v>
      </c>
      <c r="G82" s="538">
        <f t="shared" si="11"/>
        <v>37867</v>
      </c>
      <c r="H82" s="538">
        <f t="shared" si="11"/>
        <v>0</v>
      </c>
      <c r="I82" s="538">
        <f t="shared" si="11"/>
        <v>20942</v>
      </c>
      <c r="J82" s="538">
        <f t="shared" si="11"/>
        <v>13082</v>
      </c>
      <c r="K82" s="538">
        <f t="shared" si="11"/>
        <v>41933</v>
      </c>
    </row>
    <row r="83" spans="1:12" ht="14.25" hidden="1" thickTop="1" thickBot="1" x14ac:dyDescent="0.25">
      <c r="A83" s="539" t="s">
        <v>344</v>
      </c>
      <c r="B83" s="464"/>
      <c r="C83" s="540">
        <f>C82/C81</f>
        <v>-0.22905040057992571</v>
      </c>
      <c r="D83" s="540">
        <f t="shared" ref="D83:K83" si="12">D82/D81</f>
        <v>0.12233567698217092</v>
      </c>
      <c r="E83" s="540">
        <f t="shared" si="12"/>
        <v>7.4980601058416987E-2</v>
      </c>
      <c r="F83" s="540">
        <f t="shared" si="12"/>
        <v>-0.20647355533596054</v>
      </c>
      <c r="G83" s="540">
        <f t="shared" si="12"/>
        <v>0.25151438667339726</v>
      </c>
      <c r="H83" s="540" t="e">
        <f t="shared" si="12"/>
        <v>#DIV/0!</v>
      </c>
      <c r="I83" s="540">
        <f t="shared" si="12"/>
        <v>4.7203238545179146E-2</v>
      </c>
      <c r="J83" s="540">
        <f t="shared" si="12"/>
        <v>0.33793139078321965</v>
      </c>
      <c r="K83" s="540">
        <f t="shared" si="12"/>
        <v>0.14869067248196019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5" right="0.5" top="1.5" bottom="0.5" header="1" footer="0.25"/>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2" t="s">
        <v>1802</v>
      </c>
      <c r="B1" s="452"/>
      <c r="C1" s="453" t="s">
        <v>425</v>
      </c>
      <c r="D1" s="453" t="s">
        <v>426</v>
      </c>
      <c r="E1" s="453" t="s">
        <v>427</v>
      </c>
      <c r="F1" s="453" t="s">
        <v>428</v>
      </c>
      <c r="G1" s="453" t="s">
        <v>429</v>
      </c>
      <c r="H1" s="453" t="s">
        <v>430</v>
      </c>
      <c r="I1" s="453" t="s">
        <v>431</v>
      </c>
      <c r="J1" s="453" t="s">
        <v>432</v>
      </c>
      <c r="K1" s="453" t="s">
        <v>756</v>
      </c>
    </row>
    <row r="2" spans="1:12" ht="36" x14ac:dyDescent="0.2">
      <c r="A2" s="215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f>1046293+1396447-19742</f>
        <v>2422998</v>
      </c>
      <c r="D5" s="481">
        <f>134644+177224</f>
        <v>311868</v>
      </c>
      <c r="E5" s="466">
        <f>272736+347333</f>
        <v>620069</v>
      </c>
      <c r="F5" s="548">
        <f>89775+118166</f>
        <v>207941</v>
      </c>
      <c r="G5" s="466">
        <v>63727</v>
      </c>
      <c r="H5" s="466"/>
      <c r="I5" s="466">
        <f>9003+11860</f>
        <v>20863</v>
      </c>
      <c r="J5" s="467">
        <f>43417+57171</f>
        <v>100588</v>
      </c>
      <c r="K5" s="466">
        <f>21019+27690</f>
        <v>48709</v>
      </c>
    </row>
    <row r="6" spans="1:12" ht="15" x14ac:dyDescent="0.2">
      <c r="A6" s="463" t="s">
        <v>1662</v>
      </c>
      <c r="B6" s="470">
        <v>1130</v>
      </c>
      <c r="C6" s="466"/>
      <c r="D6" s="466"/>
      <c r="E6" s="475"/>
      <c r="F6" s="475"/>
      <c r="G6" s="468"/>
      <c r="H6" s="468"/>
      <c r="I6" s="468"/>
      <c r="J6" s="468"/>
      <c r="K6" s="468"/>
    </row>
    <row r="7" spans="1:12" x14ac:dyDescent="0.2">
      <c r="A7" s="463" t="s">
        <v>110</v>
      </c>
      <c r="B7" s="549">
        <v>1140</v>
      </c>
      <c r="C7" s="466">
        <f>14993+19742</f>
        <v>34735</v>
      </c>
      <c r="D7" s="466"/>
      <c r="E7" s="468"/>
      <c r="F7" s="467"/>
      <c r="G7" s="467"/>
      <c r="H7" s="467"/>
      <c r="I7" s="468"/>
      <c r="J7" s="468"/>
      <c r="K7" s="468"/>
    </row>
    <row r="8" spans="1:12" x14ac:dyDescent="0.2">
      <c r="A8" s="463" t="s">
        <v>413</v>
      </c>
      <c r="B8" s="470">
        <v>1150</v>
      </c>
      <c r="C8" s="475"/>
      <c r="D8" s="475"/>
      <c r="E8" s="477"/>
      <c r="F8" s="477"/>
      <c r="G8" s="481">
        <v>63727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2457733</v>
      </c>
      <c r="D12" s="1706">
        <f t="shared" si="0"/>
        <v>311868</v>
      </c>
      <c r="E12" s="1706">
        <f t="shared" si="0"/>
        <v>620069</v>
      </c>
      <c r="F12" s="1706">
        <f t="shared" si="0"/>
        <v>207941</v>
      </c>
      <c r="G12" s="1706">
        <f t="shared" si="0"/>
        <v>127454</v>
      </c>
      <c r="H12" s="1706">
        <f t="shared" si="0"/>
        <v>0</v>
      </c>
      <c r="I12" s="1706">
        <f t="shared" si="0"/>
        <v>20863</v>
      </c>
      <c r="J12" s="1706">
        <f t="shared" si="0"/>
        <v>100588</v>
      </c>
      <c r="K12" s="1687">
        <f t="shared" si="0"/>
        <v>48709</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86216</v>
      </c>
      <c r="E16" s="466"/>
      <c r="F16" s="466"/>
      <c r="G16" s="466">
        <v>2447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86216</v>
      </c>
      <c r="E18" s="1709">
        <f t="shared" si="1"/>
        <v>0</v>
      </c>
      <c r="F18" s="1709">
        <f t="shared" si="1"/>
        <v>0</v>
      </c>
      <c r="G18" s="1709">
        <f t="shared" si="1"/>
        <v>2447</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10397+190</f>
        <v>10587</v>
      </c>
      <c r="D65" s="466">
        <f>353+24</f>
        <v>377</v>
      </c>
      <c r="E65" s="466">
        <f>372+47</f>
        <v>419</v>
      </c>
      <c r="F65" s="467">
        <f>546+16</f>
        <v>562</v>
      </c>
      <c r="G65" s="466">
        <f>116+10</f>
        <v>126</v>
      </c>
      <c r="H65" s="466"/>
      <c r="I65" s="466">
        <f>77+2</f>
        <v>79</v>
      </c>
      <c r="J65" s="467">
        <f>76+8</f>
        <v>84</v>
      </c>
      <c r="K65" s="466">
        <f>118+4</f>
        <v>122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10587</v>
      </c>
      <c r="D67" s="1687">
        <f t="shared" ref="D67:K67" si="2">SUM(D65:D66)</f>
        <v>377</v>
      </c>
      <c r="E67" s="1687">
        <f t="shared" si="2"/>
        <v>419</v>
      </c>
      <c r="F67" s="1687">
        <f t="shared" si="2"/>
        <v>562</v>
      </c>
      <c r="G67" s="1687">
        <f t="shared" si="2"/>
        <v>126</v>
      </c>
      <c r="H67" s="1687">
        <f t="shared" si="2"/>
        <v>0</v>
      </c>
      <c r="I67" s="1687">
        <f t="shared" si="2"/>
        <v>79</v>
      </c>
      <c r="J67" s="1687">
        <f t="shared" si="2"/>
        <v>84</v>
      </c>
      <c r="K67" s="1687">
        <f t="shared" si="2"/>
        <v>122</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57815</v>
      </c>
      <c r="D69" s="468"/>
      <c r="E69" s="468"/>
      <c r="F69" s="468"/>
      <c r="G69" s="468"/>
      <c r="H69" s="468"/>
      <c r="I69" s="468"/>
      <c r="J69" s="468"/>
      <c r="K69" s="468"/>
    </row>
    <row r="70" spans="1:11" ht="12.75" customHeight="1" x14ac:dyDescent="0.2">
      <c r="A70" s="463" t="s">
        <v>997</v>
      </c>
      <c r="B70" s="470">
        <v>1612</v>
      </c>
      <c r="C70" s="551">
        <v>8163</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2934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68912</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16758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52948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69706</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46580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46580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v>28929</v>
      </c>
      <c r="E100" s="489"/>
      <c r="F100" s="489"/>
      <c r="G100" s="489"/>
      <c r="H100" s="489"/>
      <c r="I100" s="467"/>
      <c r="J100" s="489"/>
      <c r="K100" s="467"/>
    </row>
    <row r="101" spans="1:12" ht="12.75" customHeight="1" x14ac:dyDescent="0.2">
      <c r="A101" s="463" t="s">
        <v>246</v>
      </c>
      <c r="B101" s="470">
        <v>1970</v>
      </c>
      <c r="C101" s="489">
        <v>2500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17458</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v>
      </c>
      <c r="D107" s="466"/>
      <c r="E107" s="466"/>
      <c r="F107" s="466"/>
      <c r="G107" s="466"/>
      <c r="H107" s="466"/>
      <c r="I107" s="466"/>
      <c r="J107" s="467"/>
      <c r="K107" s="466"/>
    </row>
    <row r="108" spans="1:12" ht="12.75" customHeight="1" thickBot="1" x14ac:dyDescent="0.25">
      <c r="A108" s="1707" t="s">
        <v>487</v>
      </c>
      <c r="B108" s="1711"/>
      <c r="C108" s="1706">
        <f>SUM(C95:C107)</f>
        <v>19962</v>
      </c>
      <c r="D108" s="1706">
        <f t="shared" ref="D108:K108" si="3">SUM(D95:D107)</f>
        <v>28929</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2673480</v>
      </c>
      <c r="D109" s="1714">
        <f t="shared" si="4"/>
        <v>427390</v>
      </c>
      <c r="E109" s="1714">
        <f t="shared" si="4"/>
        <v>620488</v>
      </c>
      <c r="F109" s="1714">
        <f t="shared" si="4"/>
        <v>208503</v>
      </c>
      <c r="G109" s="1714">
        <f t="shared" si="4"/>
        <v>130027</v>
      </c>
      <c r="H109" s="1714">
        <f t="shared" si="4"/>
        <v>0</v>
      </c>
      <c r="I109" s="1714">
        <f t="shared" si="4"/>
        <v>20942</v>
      </c>
      <c r="J109" s="1714">
        <f t="shared" si="4"/>
        <v>100672</v>
      </c>
      <c r="K109" s="1701">
        <f t="shared" si="4"/>
        <v>48831</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848186</v>
      </c>
      <c r="D117" s="481">
        <v>212047</v>
      </c>
      <c r="E117" s="466"/>
      <c r="F117" s="481"/>
      <c r="G117" s="481">
        <v>106023</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1934</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848186</v>
      </c>
      <c r="D122" s="1706">
        <f t="shared" si="5"/>
        <v>212047</v>
      </c>
      <c r="E122" s="1706">
        <f t="shared" si="5"/>
        <v>0</v>
      </c>
      <c r="F122" s="1706">
        <f t="shared" si="5"/>
        <v>0</v>
      </c>
      <c r="G122" s="1706">
        <f t="shared" si="5"/>
        <v>106023</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24598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24598</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f>10083+3618</f>
        <v>13701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13701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1667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7161</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123271</v>
      </c>
      <c r="G152" s="467"/>
      <c r="H152" s="468"/>
      <c r="I152" s="468"/>
      <c r="J152" s="468"/>
      <c r="K152" s="468"/>
    </row>
    <row r="153" spans="1:11" ht="12.75" customHeight="1" x14ac:dyDescent="0.2">
      <c r="A153" s="463" t="s">
        <v>1057</v>
      </c>
      <c r="B153" s="562">
        <v>3510</v>
      </c>
      <c r="C153" s="551"/>
      <c r="D153" s="466"/>
      <c r="E153" s="561"/>
      <c r="F153" s="466">
        <v>42668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165939</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231564</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f>1524+17490</f>
        <v>19014</v>
      </c>
      <c r="D168" s="580"/>
      <c r="E168" s="580"/>
      <c r="F168" s="580"/>
      <c r="G168" s="581"/>
      <c r="H168" s="582"/>
      <c r="I168" s="581"/>
      <c r="J168" s="581"/>
      <c r="K168" s="582"/>
    </row>
    <row r="169" spans="1:11" ht="12.75" customHeight="1" thickTop="1" thickBot="1" x14ac:dyDescent="0.25">
      <c r="A169" s="2172" t="s">
        <v>398</v>
      </c>
      <c r="B169" s="2173"/>
      <c r="C169" s="1721">
        <f t="shared" ref="C169:K169" si="6">SUM(C132,C141,C145,C146:C150,C155,C156:C167,C168)</f>
        <v>297705</v>
      </c>
      <c r="D169" s="1721">
        <f t="shared" si="6"/>
        <v>0</v>
      </c>
      <c r="E169" s="1721">
        <f t="shared" si="6"/>
        <v>0</v>
      </c>
      <c r="F169" s="1721">
        <f t="shared" si="6"/>
        <v>165939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1145891</v>
      </c>
      <c r="D170" s="1714">
        <f t="shared" si="7"/>
        <v>212047</v>
      </c>
      <c r="E170" s="1714">
        <f t="shared" si="7"/>
        <v>0</v>
      </c>
      <c r="F170" s="1714">
        <f t="shared" si="7"/>
        <v>165939</v>
      </c>
      <c r="G170" s="1714">
        <f t="shared" si="7"/>
        <v>106023</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74" t="s">
        <v>1492</v>
      </c>
      <c r="B172" s="217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8" t="s">
        <v>1665</v>
      </c>
      <c r="B175" s="217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82" t="s">
        <v>1664</v>
      </c>
      <c r="B176" s="218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0" t="s">
        <v>785</v>
      </c>
      <c r="B181" s="218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76" t="s">
        <v>1803</v>
      </c>
      <c r="B182" s="2177"/>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74920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21567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96487</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75964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65015</v>
      </c>
      <c r="D203" s="466"/>
      <c r="E203" s="468"/>
      <c r="F203" s="466"/>
      <c r="G203" s="466"/>
      <c r="H203" s="468"/>
      <c r="I203" s="468"/>
      <c r="J203" s="468"/>
      <c r="K203" s="468"/>
    </row>
    <row r="204" spans="1:11" ht="12.75" customHeight="1" thickBot="1" x14ac:dyDescent="0.25">
      <c r="A204" s="1707" t="s">
        <v>400</v>
      </c>
      <c r="B204" s="1708"/>
      <c r="C204" s="1706">
        <f>SUM(C200:C203)</f>
        <v>140979</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6421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52215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58636</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10982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1935</v>
      </c>
      <c r="B261" s="470">
        <v>4981</v>
      </c>
      <c r="C261" s="575"/>
      <c r="D261" s="576"/>
      <c r="E261" s="468"/>
      <c r="F261" s="576"/>
      <c r="G261" s="576"/>
      <c r="H261" s="468"/>
      <c r="I261" s="468"/>
      <c r="J261" s="468"/>
      <c r="K261" s="468"/>
    </row>
    <row r="262" spans="1:11" ht="12.75" customHeight="1" thickTop="1" thickBot="1" x14ac:dyDescent="0.25">
      <c r="A262" s="1930"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14122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321206</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321206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4140577</v>
      </c>
      <c r="D268" s="1714">
        <f t="shared" si="12"/>
        <v>639437</v>
      </c>
      <c r="E268" s="1714">
        <f t="shared" si="12"/>
        <v>620488</v>
      </c>
      <c r="F268" s="1714">
        <f t="shared" si="12"/>
        <v>374442</v>
      </c>
      <c r="G268" s="1714">
        <f t="shared" si="12"/>
        <v>236050</v>
      </c>
      <c r="H268" s="1714">
        <f t="shared" si="12"/>
        <v>0</v>
      </c>
      <c r="I268" s="1714">
        <f t="shared" si="12"/>
        <v>20942</v>
      </c>
      <c r="J268" s="1714">
        <f t="shared" si="12"/>
        <v>100672</v>
      </c>
      <c r="K268" s="1701">
        <f t="shared" si="12"/>
        <v>48831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5" right="0.5" top="1.35" bottom="0.5" header="1" footer="0.25"/>
  <pageSetup scale="68"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2" activePane="bottomLeft" state="frozen"/>
      <selection pane="bottomLeft" activeCell="A173" sqref="A1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0" t="s">
        <v>297</v>
      </c>
      <c r="B3" s="2191"/>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f>689844+23820+381378+27889+14377+608400</f>
        <v>1745708</v>
      </c>
      <c r="D5" s="466">
        <f>18146+84895+15201+8439+9852+46742+7522+11745+87360+13645</f>
        <v>303547</v>
      </c>
      <c r="E5" s="466">
        <f>32+22</f>
        <v>54</v>
      </c>
      <c r="F5" s="466">
        <f>9389+22055+386+5400+6420+13637+2013+4285+240-6</f>
        <v>63819</v>
      </c>
      <c r="G5" s="466"/>
      <c r="H5" s="466">
        <f>520+1175</f>
        <v>1695</v>
      </c>
      <c r="I5" s="467"/>
      <c r="J5" s="467"/>
      <c r="K5" s="1670">
        <f>SUM(C5:J5)</f>
        <v>2114823</v>
      </c>
      <c r="L5" s="466">
        <v>2161445</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f>83269+37296</f>
        <v>120565</v>
      </c>
      <c r="D7" s="467">
        <f>1943+635+1422</f>
        <v>4000</v>
      </c>
      <c r="E7" s="467">
        <f>2000+100+2164+538</f>
        <v>4802</v>
      </c>
      <c r="F7" s="467">
        <f>3004+2159+3183+12412+2157</f>
        <v>22915</v>
      </c>
      <c r="G7" s="467">
        <v>1343</v>
      </c>
      <c r="H7" s="467"/>
      <c r="I7" s="467"/>
      <c r="J7" s="467"/>
      <c r="K7" s="1670">
        <f t="shared" ref="K7:K32" si="0">SUM(C7:J7)</f>
        <v>153625</v>
      </c>
      <c r="L7" s="466">
        <v>183900</v>
      </c>
    </row>
    <row r="8" spans="1:14" x14ac:dyDescent="0.2">
      <c r="A8" s="1503" t="s">
        <v>164</v>
      </c>
      <c r="B8" s="614">
        <v>1200</v>
      </c>
      <c r="C8" s="466">
        <v>220830</v>
      </c>
      <c r="D8" s="466">
        <f>1096+15379+4036</f>
        <v>20511</v>
      </c>
      <c r="E8" s="466"/>
      <c r="F8" s="466"/>
      <c r="G8" s="466"/>
      <c r="H8" s="466"/>
      <c r="I8" s="467"/>
      <c r="J8" s="467"/>
      <c r="K8" s="1670">
        <f t="shared" si="0"/>
        <v>241341</v>
      </c>
      <c r="L8" s="466">
        <v>241650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f>95648+15926</f>
        <v>111574</v>
      </c>
      <c r="D10" s="466">
        <f>5421+654+10267+2387+436</f>
        <v>19165</v>
      </c>
      <c r="E10" s="466">
        <f>1589+209</f>
        <v>1798</v>
      </c>
      <c r="F10" s="466">
        <v>29764</v>
      </c>
      <c r="G10" s="466"/>
      <c r="H10" s="466"/>
      <c r="I10" s="467"/>
      <c r="J10" s="467"/>
      <c r="K10" s="1670">
        <f t="shared" si="0"/>
        <v>162301</v>
      </c>
      <c r="L10" s="466">
        <v>192560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9916</v>
      </c>
      <c r="D13" s="466">
        <v>169</v>
      </c>
      <c r="E13" s="466"/>
      <c r="F13" s="466">
        <f>525+3681+3278</f>
        <v>7484</v>
      </c>
      <c r="G13" s="466"/>
      <c r="H13" s="466"/>
      <c r="I13" s="467"/>
      <c r="J13" s="467"/>
      <c r="K13" s="1670">
        <f t="shared" si="0"/>
        <v>17569</v>
      </c>
      <c r="L13" s="466">
        <v>17000</v>
      </c>
    </row>
    <row r="14" spans="1:14" x14ac:dyDescent="0.2">
      <c r="A14" s="1503" t="s">
        <v>963</v>
      </c>
      <c r="B14" s="614">
        <v>1500</v>
      </c>
      <c r="C14" s="466">
        <v>77895</v>
      </c>
      <c r="D14" s="466">
        <f>92+1080</f>
        <v>1172</v>
      </c>
      <c r="E14" s="466">
        <f>24650+200</f>
        <v>24850</v>
      </c>
      <c r="F14" s="466">
        <f>22993+5400+500</f>
        <v>28893</v>
      </c>
      <c r="G14" s="466">
        <v>9410</v>
      </c>
      <c r="H14" s="466">
        <f>2790+1000</f>
        <v>3790</v>
      </c>
      <c r="I14" s="467"/>
      <c r="J14" s="467"/>
      <c r="K14" s="1670">
        <f t="shared" si="0"/>
        <v>146010</v>
      </c>
      <c r="L14" s="466">
        <v>159200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74978</v>
      </c>
      <c r="D17" s="467">
        <f>8021+9374+1590</f>
        <v>18985</v>
      </c>
      <c r="E17" s="467"/>
      <c r="F17" s="467"/>
      <c r="G17" s="467"/>
      <c r="H17" s="467">
        <v>25</v>
      </c>
      <c r="I17" s="467"/>
      <c r="J17" s="467"/>
      <c r="K17" s="1670">
        <f t="shared" si="0"/>
        <v>93988</v>
      </c>
      <c r="L17" s="466">
        <v>72220</v>
      </c>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2361466</v>
      </c>
      <c r="D33" s="1669">
        <f t="shared" ref="D33:L33" si="1">SUM(D5:D32)</f>
        <v>367549</v>
      </c>
      <c r="E33" s="1669">
        <f t="shared" si="1"/>
        <v>31504</v>
      </c>
      <c r="F33" s="1669">
        <f t="shared" si="1"/>
        <v>152875</v>
      </c>
      <c r="G33" s="1669">
        <f t="shared" si="1"/>
        <v>10753</v>
      </c>
      <c r="H33" s="1669">
        <f t="shared" si="1"/>
        <v>5510</v>
      </c>
      <c r="I33" s="1669">
        <f t="shared" si="1"/>
        <v>0</v>
      </c>
      <c r="J33" s="1669">
        <f t="shared" si="1"/>
        <v>0</v>
      </c>
      <c r="K33" s="1669">
        <f t="shared" si="1"/>
        <v>2929657</v>
      </c>
      <c r="L33" s="1669">
        <f t="shared" si="1"/>
        <v>3027975</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v>39517</v>
      </c>
      <c r="D37" s="466">
        <f>219+7810+793</f>
        <v>8822</v>
      </c>
      <c r="E37" s="466"/>
      <c r="F37" s="466">
        <v>61</v>
      </c>
      <c r="G37" s="466"/>
      <c r="H37" s="466">
        <v>50</v>
      </c>
      <c r="I37" s="467"/>
      <c r="J37" s="467"/>
      <c r="K37" s="1670">
        <f t="shared" si="2"/>
        <v>48450</v>
      </c>
      <c r="L37" s="466">
        <v>48250</v>
      </c>
    </row>
    <row r="38" spans="1:14" x14ac:dyDescent="0.2">
      <c r="A38" s="1503" t="s">
        <v>198</v>
      </c>
      <c r="B38" s="614">
        <v>2130</v>
      </c>
      <c r="C38" s="466">
        <v>55007</v>
      </c>
      <c r="D38" s="466">
        <v>8703</v>
      </c>
      <c r="E38" s="466"/>
      <c r="F38" s="466">
        <v>876</v>
      </c>
      <c r="G38" s="466"/>
      <c r="H38" s="466"/>
      <c r="I38" s="467"/>
      <c r="J38" s="467"/>
      <c r="K38" s="1670">
        <f t="shared" si="2"/>
        <v>64586</v>
      </c>
      <c r="L38" s="466">
        <v>65250</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c r="D40" s="466"/>
      <c r="E40" s="466"/>
      <c r="F40" s="466"/>
      <c r="G40" s="466"/>
      <c r="H40" s="466"/>
      <c r="I40" s="467"/>
      <c r="J40" s="467"/>
      <c r="K40" s="1670">
        <f t="shared" si="2"/>
        <v>0</v>
      </c>
      <c r="L40" s="466"/>
    </row>
    <row r="41" spans="1:14" x14ac:dyDescent="0.2">
      <c r="A41" s="1503" t="s">
        <v>1669</v>
      </c>
      <c r="B41" s="614">
        <v>2190</v>
      </c>
      <c r="C41" s="466">
        <f>184394+3815</f>
        <v>188209</v>
      </c>
      <c r="D41" s="466">
        <v>34793</v>
      </c>
      <c r="E41" s="466"/>
      <c r="F41" s="466"/>
      <c r="G41" s="466"/>
      <c r="H41" s="466"/>
      <c r="I41" s="467"/>
      <c r="J41" s="467"/>
      <c r="K41" s="1670">
        <f t="shared" si="2"/>
        <v>223002</v>
      </c>
      <c r="L41" s="466">
        <v>236300</v>
      </c>
    </row>
    <row r="42" spans="1:14" ht="12.75" customHeight="1" thickBot="1" x14ac:dyDescent="0.25">
      <c r="A42" s="1667" t="s">
        <v>560</v>
      </c>
      <c r="B42" s="1668" t="s">
        <v>716</v>
      </c>
      <c r="C42" s="1669">
        <f>SUM(C36:C41)</f>
        <v>282733</v>
      </c>
      <c r="D42" s="1669">
        <f t="shared" ref="D42:L42" si="3">SUM(D36:D41)</f>
        <v>52318</v>
      </c>
      <c r="E42" s="1669">
        <f t="shared" si="3"/>
        <v>0</v>
      </c>
      <c r="F42" s="1669">
        <f t="shared" si="3"/>
        <v>937</v>
      </c>
      <c r="G42" s="1669">
        <f t="shared" si="3"/>
        <v>0</v>
      </c>
      <c r="H42" s="1669">
        <f t="shared" si="3"/>
        <v>50</v>
      </c>
      <c r="I42" s="1669">
        <f t="shared" si="3"/>
        <v>0</v>
      </c>
      <c r="J42" s="1669">
        <f t="shared" si="3"/>
        <v>0</v>
      </c>
      <c r="K42" s="1669">
        <f t="shared" si="3"/>
        <v>336038</v>
      </c>
      <c r="L42" s="1669">
        <f t="shared" si="3"/>
        <v>349800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7537</v>
      </c>
      <c r="D44" s="481">
        <f>7+134</f>
        <v>141</v>
      </c>
      <c r="E44" s="481">
        <v>12520</v>
      </c>
      <c r="F44" s="481">
        <f>1316+32684</f>
        <v>34000</v>
      </c>
      <c r="G44" s="481"/>
      <c r="H44" s="481"/>
      <c r="I44" s="467"/>
      <c r="J44" s="467"/>
      <c r="K44" s="1671">
        <f>SUM(C44:J44)</f>
        <v>54198</v>
      </c>
      <c r="L44" s="481">
        <v>73745</v>
      </c>
    </row>
    <row r="45" spans="1:14" x14ac:dyDescent="0.2">
      <c r="A45" s="1503" t="s">
        <v>815</v>
      </c>
      <c r="B45" s="614">
        <v>2220</v>
      </c>
      <c r="C45" s="466"/>
      <c r="D45" s="466"/>
      <c r="E45" s="466">
        <v>500</v>
      </c>
      <c r="F45" s="466">
        <f>494+1101+153+375</f>
        <v>2123</v>
      </c>
      <c r="G45" s="466"/>
      <c r="H45" s="466"/>
      <c r="I45" s="467"/>
      <c r="J45" s="467"/>
      <c r="K45" s="1671">
        <f>SUM(C45:J45)</f>
        <v>2623</v>
      </c>
      <c r="L45" s="466">
        <v>2710</v>
      </c>
    </row>
    <row r="46" spans="1:14" x14ac:dyDescent="0.2">
      <c r="A46" s="1503"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7537</v>
      </c>
      <c r="D47" s="1669">
        <f t="shared" ref="D47:K47" si="4">SUM(D44:D46)</f>
        <v>141</v>
      </c>
      <c r="E47" s="1669">
        <f t="shared" si="4"/>
        <v>13020</v>
      </c>
      <c r="F47" s="1669">
        <f t="shared" si="4"/>
        <v>36123</v>
      </c>
      <c r="G47" s="1669">
        <f t="shared" si="4"/>
        <v>0</v>
      </c>
      <c r="H47" s="1669">
        <f t="shared" si="4"/>
        <v>0</v>
      </c>
      <c r="I47" s="1669">
        <f t="shared" si="4"/>
        <v>0</v>
      </c>
      <c r="J47" s="1669">
        <f t="shared" si="4"/>
        <v>0</v>
      </c>
      <c r="K47" s="1669">
        <f t="shared" si="4"/>
        <v>56821</v>
      </c>
      <c r="L47" s="1669">
        <f>SUM(L44:L46)</f>
        <v>76455</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f>7065+663+675+579+2447</f>
        <v>11429</v>
      </c>
      <c r="F49" s="481">
        <f>238+17401</f>
        <v>17639</v>
      </c>
      <c r="G49" s="481"/>
      <c r="H49" s="481">
        <v>19387</v>
      </c>
      <c r="I49" s="467"/>
      <c r="J49" s="467"/>
      <c r="K49" s="1671">
        <f>SUM(C49:J49)</f>
        <v>48455</v>
      </c>
      <c r="L49" s="481">
        <v>73800</v>
      </c>
    </row>
    <row r="50" spans="1:14" x14ac:dyDescent="0.2">
      <c r="A50" s="1503" t="s">
        <v>818</v>
      </c>
      <c r="B50" s="614">
        <v>2320</v>
      </c>
      <c r="C50" s="466">
        <v>159779</v>
      </c>
      <c r="D50" s="466">
        <f>3+33+3968</f>
        <v>4004</v>
      </c>
      <c r="E50" s="466">
        <v>794</v>
      </c>
      <c r="F50" s="466">
        <v>3</v>
      </c>
      <c r="G50" s="466"/>
      <c r="H50" s="466">
        <v>3150</v>
      </c>
      <c r="I50" s="467"/>
      <c r="J50" s="467"/>
      <c r="K50" s="1671">
        <f>SUM(C50:J50)</f>
        <v>167730</v>
      </c>
      <c r="L50" s="466">
        <v>140000</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159779</v>
      </c>
      <c r="D53" s="1669">
        <f t="shared" ref="D53:L53" si="5">SUM(D49:D52)</f>
        <v>4004</v>
      </c>
      <c r="E53" s="1669">
        <f t="shared" si="5"/>
        <v>12223</v>
      </c>
      <c r="F53" s="1669">
        <f t="shared" si="5"/>
        <v>17642</v>
      </c>
      <c r="G53" s="1669">
        <f t="shared" si="5"/>
        <v>0</v>
      </c>
      <c r="H53" s="1669">
        <f t="shared" si="5"/>
        <v>22537</v>
      </c>
      <c r="I53" s="1669">
        <f t="shared" si="5"/>
        <v>0</v>
      </c>
      <c r="J53" s="1669">
        <f t="shared" si="5"/>
        <v>0</v>
      </c>
      <c r="K53" s="1669">
        <f t="shared" si="5"/>
        <v>216185</v>
      </c>
      <c r="L53" s="1669">
        <f t="shared" si="5"/>
        <v>213800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f>176729+63064</f>
        <v>239793</v>
      </c>
      <c r="D55" s="481">
        <f>4+33+4296+9048</f>
        <v>13381</v>
      </c>
      <c r="E55" s="481">
        <v>214</v>
      </c>
      <c r="F55" s="481">
        <v>58</v>
      </c>
      <c r="G55" s="481"/>
      <c r="H55" s="481">
        <v>1277</v>
      </c>
      <c r="I55" s="467"/>
      <c r="J55" s="467"/>
      <c r="K55" s="1671">
        <f>SUM(C55:J55)</f>
        <v>254723</v>
      </c>
      <c r="L55" s="481">
        <v>258105</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239793</v>
      </c>
      <c r="D57" s="1673">
        <f t="shared" ref="D57:K57" si="6">SUM(D55:D56)</f>
        <v>13381</v>
      </c>
      <c r="E57" s="1673">
        <f t="shared" si="6"/>
        <v>214</v>
      </c>
      <c r="F57" s="1673">
        <f t="shared" si="6"/>
        <v>58</v>
      </c>
      <c r="G57" s="1673">
        <f t="shared" si="6"/>
        <v>0</v>
      </c>
      <c r="H57" s="1673">
        <f t="shared" si="6"/>
        <v>1277</v>
      </c>
      <c r="I57" s="1673">
        <f t="shared" si="6"/>
        <v>0</v>
      </c>
      <c r="J57" s="1673">
        <f t="shared" si="6"/>
        <v>0</v>
      </c>
      <c r="K57" s="1673">
        <f t="shared" si="6"/>
        <v>254723</v>
      </c>
      <c r="L57" s="1669">
        <f>SUM(L55:L56)</f>
        <v>258105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54802</v>
      </c>
      <c r="D60" s="466">
        <v>8385</v>
      </c>
      <c r="E60" s="466">
        <v>303</v>
      </c>
      <c r="F60" s="466">
        <v>53</v>
      </c>
      <c r="G60" s="466"/>
      <c r="H60" s="466"/>
      <c r="I60" s="467"/>
      <c r="J60" s="467"/>
      <c r="K60" s="1671">
        <f t="shared" si="7"/>
        <v>63543</v>
      </c>
      <c r="L60" s="466">
        <v>67600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48134</v>
      </c>
      <c r="D63" s="466">
        <v>8926</v>
      </c>
      <c r="E63" s="466">
        <v>90638</v>
      </c>
      <c r="F63" s="466">
        <v>1939</v>
      </c>
      <c r="G63" s="466"/>
      <c r="H63" s="466"/>
      <c r="I63" s="467"/>
      <c r="J63" s="467"/>
      <c r="K63" s="1671">
        <f t="shared" si="7"/>
        <v>149637</v>
      </c>
      <c r="L63" s="466">
        <v>165850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102936</v>
      </c>
      <c r="D65" s="1669">
        <f t="shared" ref="D65:L65" si="8">SUM(D59:D64)</f>
        <v>17311</v>
      </c>
      <c r="E65" s="1669">
        <f t="shared" si="8"/>
        <v>90941</v>
      </c>
      <c r="F65" s="1669">
        <f t="shared" si="8"/>
        <v>1992</v>
      </c>
      <c r="G65" s="1669">
        <f t="shared" si="8"/>
        <v>0</v>
      </c>
      <c r="H65" s="1669">
        <f t="shared" si="8"/>
        <v>0</v>
      </c>
      <c r="I65" s="1669">
        <f t="shared" si="8"/>
        <v>0</v>
      </c>
      <c r="J65" s="1669">
        <f t="shared" si="8"/>
        <v>0</v>
      </c>
      <c r="K65" s="1669">
        <f t="shared" si="8"/>
        <v>213180</v>
      </c>
      <c r="L65" s="1669">
        <f t="shared" si="8"/>
        <v>233450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792778</v>
      </c>
      <c r="D74" s="1676">
        <f t="shared" ref="D74:K74" si="10">SUM(D42,D47,D53,D57,D65,D72,D73)</f>
        <v>87155</v>
      </c>
      <c r="E74" s="1676">
        <f t="shared" si="10"/>
        <v>116398</v>
      </c>
      <c r="F74" s="1676">
        <f t="shared" si="10"/>
        <v>56752</v>
      </c>
      <c r="G74" s="1676">
        <f t="shared" si="10"/>
        <v>0</v>
      </c>
      <c r="H74" s="1676">
        <f t="shared" si="10"/>
        <v>23864</v>
      </c>
      <c r="I74" s="1676">
        <f t="shared" si="10"/>
        <v>0</v>
      </c>
      <c r="J74" s="1676">
        <f t="shared" si="10"/>
        <v>0</v>
      </c>
      <c r="K74" s="1676">
        <f t="shared" si="10"/>
        <v>1076947</v>
      </c>
      <c r="L74" s="1676">
        <f>SUM(L42,L47,L53,L57,L65,L72,L73)</f>
        <v>1131610</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v>269775</v>
      </c>
      <c r="I79" s="477"/>
      <c r="J79" s="477"/>
      <c r="K79" s="1670">
        <f t="shared" si="11"/>
        <v>269775</v>
      </c>
      <c r="L79" s="466">
        <v>550000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v>22500</v>
      </c>
      <c r="I81" s="477"/>
      <c r="J81" s="477"/>
      <c r="K81" s="1670">
        <f t="shared" si="11"/>
        <v>22500</v>
      </c>
      <c r="L81" s="466">
        <v>46000</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292275</v>
      </c>
      <c r="I84" s="477"/>
      <c r="J84" s="477"/>
      <c r="K84" s="1669">
        <f>SUM(K78:K83)</f>
        <v>292275</v>
      </c>
      <c r="L84" s="1669">
        <f>SUM(L78:L83)</f>
        <v>596000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292275</v>
      </c>
      <c r="I102" s="477"/>
      <c r="J102" s="477"/>
      <c r="K102" s="1676">
        <f>SUM(K84,K92,K100,K101)</f>
        <v>292275</v>
      </c>
      <c r="L102" s="1676">
        <f>SUM(L84,L92,L100,L101)</f>
        <v>596000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3154244</v>
      </c>
      <c r="D114" s="1669">
        <f t="shared" ref="D114:K114" si="13">SUM(D33,D74,D75,D102,D112,D113)</f>
        <v>454704</v>
      </c>
      <c r="E114" s="1669">
        <f t="shared" si="13"/>
        <v>147902</v>
      </c>
      <c r="F114" s="1669">
        <f t="shared" si="13"/>
        <v>209627</v>
      </c>
      <c r="G114" s="1669">
        <f t="shared" si="13"/>
        <v>10753</v>
      </c>
      <c r="H114" s="1669">
        <f>SUM(H33,H74,H75,H102,H112,H113)</f>
        <v>321649</v>
      </c>
      <c r="I114" s="1669">
        <f t="shared" si="13"/>
        <v>0</v>
      </c>
      <c r="J114" s="1669">
        <f t="shared" si="13"/>
        <v>0</v>
      </c>
      <c r="K114" s="1669">
        <f t="shared" si="13"/>
        <v>4298879</v>
      </c>
      <c r="L114" s="1669">
        <f>SUM(L33,L74,L75,L102,L112,L113)</f>
        <v>4755585</v>
      </c>
    </row>
    <row r="115" spans="1:14" ht="13.5" thickTop="1" x14ac:dyDescent="0.2">
      <c r="A115" s="2209" t="s">
        <v>996</v>
      </c>
      <c r="B115" s="2210"/>
      <c r="C115" s="618"/>
      <c r="D115" s="618"/>
      <c r="E115" s="618"/>
      <c r="F115" s="618"/>
      <c r="G115" s="618"/>
      <c r="H115" s="618"/>
      <c r="I115" s="618"/>
      <c r="J115" s="618"/>
      <c r="K115" s="1683">
        <f>'Revenues 9-14'!C268-'Expenditures 15-22'!K114</f>
        <v>-158302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7" t="s">
        <v>296</v>
      </c>
      <c r="B117" s="2188"/>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f>183035+14377+1950</f>
        <v>199362</v>
      </c>
      <c r="D124" s="466">
        <v>32020</v>
      </c>
      <c r="E124" s="466">
        <f>51360+15416+13284</f>
        <v>80060</v>
      </c>
      <c r="F124" s="466">
        <f>16025+17036+22236+85479</f>
        <v>140776</v>
      </c>
      <c r="G124" s="466">
        <f>9011+29250</f>
        <v>38261</v>
      </c>
      <c r="H124" s="466"/>
      <c r="I124" s="467"/>
      <c r="J124" s="467"/>
      <c r="K124" s="1669">
        <f>SUM(C124:J124)</f>
        <v>490479</v>
      </c>
      <c r="L124" s="466">
        <v>503700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199362</v>
      </c>
      <c r="D127" s="1669">
        <f t="shared" ref="D127:L127" si="14">SUM(D122:D126)</f>
        <v>32020</v>
      </c>
      <c r="E127" s="1669">
        <f t="shared" si="14"/>
        <v>80060</v>
      </c>
      <c r="F127" s="1669">
        <f t="shared" si="14"/>
        <v>140776</v>
      </c>
      <c r="G127" s="1669">
        <f t="shared" si="14"/>
        <v>38261</v>
      </c>
      <c r="H127" s="1669">
        <f t="shared" si="14"/>
        <v>0</v>
      </c>
      <c r="I127" s="1669">
        <f t="shared" si="14"/>
        <v>0</v>
      </c>
      <c r="J127" s="1669">
        <f t="shared" si="14"/>
        <v>0</v>
      </c>
      <c r="K127" s="1669">
        <f t="shared" si="14"/>
        <v>490479</v>
      </c>
      <c r="L127" s="1669">
        <f t="shared" si="14"/>
        <v>503700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199362</v>
      </c>
      <c r="D129" s="1676">
        <f t="shared" ref="D129:L129" si="15">SUM(D120,D127,D128)</f>
        <v>32020</v>
      </c>
      <c r="E129" s="1676">
        <f t="shared" si="15"/>
        <v>80060</v>
      </c>
      <c r="F129" s="1676">
        <f t="shared" si="15"/>
        <v>140776</v>
      </c>
      <c r="G129" s="1676">
        <f t="shared" si="15"/>
        <v>38261</v>
      </c>
      <c r="H129" s="1676">
        <f t="shared" si="15"/>
        <v>0</v>
      </c>
      <c r="I129" s="1676">
        <f t="shared" si="15"/>
        <v>0</v>
      </c>
      <c r="J129" s="1676">
        <f t="shared" si="15"/>
        <v>0</v>
      </c>
      <c r="K129" s="1676">
        <f t="shared" si="15"/>
        <v>490479</v>
      </c>
      <c r="L129" s="1676">
        <f t="shared" si="15"/>
        <v>503700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1844</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450000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450000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99" t="s">
        <v>620</v>
      </c>
      <c r="B151" s="2181"/>
      <c r="C151" s="1669">
        <f>SUM(C129,C130,C139,C149,C150)</f>
        <v>199362</v>
      </c>
      <c r="D151" s="1669">
        <f t="shared" ref="D151:K151" si="16">SUM(D129,D130,D139,D149,D150)</f>
        <v>32020</v>
      </c>
      <c r="E151" s="1669">
        <f t="shared" si="16"/>
        <v>80060</v>
      </c>
      <c r="F151" s="1669">
        <f t="shared" si="16"/>
        <v>140776</v>
      </c>
      <c r="G151" s="1669">
        <f t="shared" si="16"/>
        <v>38261</v>
      </c>
      <c r="H151" s="1669">
        <f t="shared" si="16"/>
        <v>0</v>
      </c>
      <c r="I151" s="1669">
        <f t="shared" si="16"/>
        <v>0</v>
      </c>
      <c r="J151" s="1669">
        <f t="shared" si="16"/>
        <v>0</v>
      </c>
      <c r="K151" s="1669">
        <f t="shared" si="16"/>
        <v>490479</v>
      </c>
      <c r="L151" s="1669">
        <f>SUM(L129,L130,L139,L149,L150)</f>
        <v>953700</v>
      </c>
    </row>
    <row r="152" spans="1:14" ht="12.75" customHeight="1" thickTop="1" x14ac:dyDescent="0.2">
      <c r="A152" s="2202" t="s">
        <v>1178</v>
      </c>
      <c r="B152" s="2203"/>
      <c r="C152" s="618"/>
      <c r="D152" s="618"/>
      <c r="E152" s="618"/>
      <c r="F152" s="618"/>
      <c r="G152" s="618"/>
      <c r="H152" s="618"/>
      <c r="I152" s="618"/>
      <c r="J152" s="616"/>
      <c r="K152" s="1683">
        <f>'Revenues 9-14'!D268-'Expenditures 15-22'!K151</f>
        <v>148958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7" t="s">
        <v>621</v>
      </c>
      <c r="B154" s="218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1845</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169760</v>
      </c>
      <c r="I169" s="616"/>
      <c r="J169" s="616"/>
      <c r="K169" s="1670">
        <f>SUM(C169:H169)</f>
        <v>169760</v>
      </c>
      <c r="L169" s="656">
        <v>188000</v>
      </c>
    </row>
    <row r="170" spans="1:14" ht="33.75" customHeight="1" x14ac:dyDescent="0.2">
      <c r="A170" s="669" t="s">
        <v>1670</v>
      </c>
      <c r="B170" s="671" t="s">
        <v>31</v>
      </c>
      <c r="C170" s="616"/>
      <c r="D170" s="616"/>
      <c r="E170" s="616"/>
      <c r="F170" s="616"/>
      <c r="G170" s="616"/>
      <c r="H170" s="569">
        <v>450000</v>
      </c>
      <c r="I170" s="616"/>
      <c r="J170" s="616"/>
      <c r="K170" s="1670">
        <f>SUM(C170:J170)</f>
        <v>450000</v>
      </c>
      <c r="L170" s="569">
        <v>430000</v>
      </c>
    </row>
    <row r="171" spans="1:14" ht="15.75" customHeight="1" x14ac:dyDescent="0.2">
      <c r="A171" s="621" t="s">
        <v>766</v>
      </c>
      <c r="B171" s="672" t="s">
        <v>84</v>
      </c>
      <c r="C171" s="616"/>
      <c r="D171" s="616"/>
      <c r="E171" s="466"/>
      <c r="F171" s="616"/>
      <c r="G171" s="616"/>
      <c r="H171" s="569">
        <v>802</v>
      </c>
      <c r="I171" s="477"/>
      <c r="J171" s="616"/>
      <c r="K171" s="1670">
        <f>SUM(C171:J171)</f>
        <v>802</v>
      </c>
      <c r="L171" s="569">
        <v>1000</v>
      </c>
    </row>
    <row r="172" spans="1:14" ht="12.75" customHeight="1" thickBot="1" x14ac:dyDescent="0.25">
      <c r="A172" s="1667" t="s">
        <v>638</v>
      </c>
      <c r="B172" s="1668" t="s">
        <v>492</v>
      </c>
      <c r="C172" s="616"/>
      <c r="D172" s="616"/>
      <c r="E172" s="1676">
        <f>SUM(E168,E169,E170,E171)</f>
        <v>0</v>
      </c>
      <c r="F172" s="616"/>
      <c r="G172" s="616"/>
      <c r="H172" s="1676">
        <f>SUM(H168,H169,H170,H171)</f>
        <v>620562</v>
      </c>
      <c r="I172" s="638"/>
      <c r="J172" s="616"/>
      <c r="K172" s="1676">
        <f>SUM(K168,K169,K170,K171)</f>
        <v>620562</v>
      </c>
      <c r="L172" s="1676">
        <f>SUM(L168,L169,L170,L171)</f>
        <v>619000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620562</v>
      </c>
      <c r="I174" s="638"/>
      <c r="J174" s="616"/>
      <c r="K174" s="1676">
        <f>SUM(K160,K172,K173)</f>
        <v>620562</v>
      </c>
      <c r="L174" s="1676">
        <f>SUM(L160,L172,L173)</f>
        <v>619000</v>
      </c>
    </row>
    <row r="175" spans="1:14" ht="13.5" thickTop="1" x14ac:dyDescent="0.2">
      <c r="A175" s="2209" t="s">
        <v>996</v>
      </c>
      <c r="B175" s="2210"/>
      <c r="C175" s="616"/>
      <c r="D175" s="616"/>
      <c r="E175" s="616"/>
      <c r="F175" s="616"/>
      <c r="G175" s="616"/>
      <c r="H175" s="618"/>
      <c r="I175" s="616"/>
      <c r="J175" s="616"/>
      <c r="K175" s="1683">
        <f>'Revenues 9-14'!E268-'Expenditures 15-22'!K174</f>
        <v>-74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f>167799+13251+21817</f>
        <v>202867</v>
      </c>
      <c r="D182" s="466">
        <f>9436+26</f>
        <v>9462</v>
      </c>
      <c r="E182" s="466">
        <f>147133+3241</f>
        <v>150374</v>
      </c>
      <c r="F182" s="466">
        <f>45865+1</f>
        <v>45866</v>
      </c>
      <c r="G182" s="466">
        <v>20155</v>
      </c>
      <c r="H182" s="466"/>
      <c r="I182" s="467"/>
      <c r="J182" s="467"/>
      <c r="K182" s="1670">
        <f>SUM(C182:J182)</f>
        <v>428724</v>
      </c>
      <c r="L182" s="466">
        <v>413400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202867</v>
      </c>
      <c r="D184" s="1676">
        <f t="shared" ref="D184:J184" si="17">SUM(D180,D182,D183)</f>
        <v>9462</v>
      </c>
      <c r="E184" s="1676">
        <f t="shared" si="17"/>
        <v>150374</v>
      </c>
      <c r="F184" s="1676">
        <f t="shared" si="17"/>
        <v>45866</v>
      </c>
      <c r="G184" s="1676">
        <f t="shared" si="17"/>
        <v>20155</v>
      </c>
      <c r="H184" s="1676">
        <f t="shared" si="17"/>
        <v>0</v>
      </c>
      <c r="I184" s="1676">
        <f t="shared" si="17"/>
        <v>0</v>
      </c>
      <c r="J184" s="1676">
        <f t="shared" si="17"/>
        <v>0</v>
      </c>
      <c r="K184" s="1676">
        <f>SUM(K180,K182,K183)</f>
        <v>428724</v>
      </c>
      <c r="L184" s="1676">
        <f>SUM(L180, L182:L183)</f>
        <v>413400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202867</v>
      </c>
      <c r="D210" s="1669">
        <f>SUM(D184,D185)</f>
        <v>9462</v>
      </c>
      <c r="E210" s="1669">
        <f>SUM(E184,E185,E196)</f>
        <v>150374</v>
      </c>
      <c r="F210" s="1669">
        <f>SUM(F184,F185)</f>
        <v>45866</v>
      </c>
      <c r="G210" s="1669">
        <f>SUM(G184,G185)</f>
        <v>20155</v>
      </c>
      <c r="H210" s="1669">
        <f>SUM(H184,H185,H196,H208,H209)</f>
        <v>0</v>
      </c>
      <c r="I210" s="1669">
        <f>SUM(I184,I185)</f>
        <v>0</v>
      </c>
      <c r="J210" s="1669">
        <f>SUM(J184,J185)</f>
        <v>0</v>
      </c>
      <c r="K210" s="1670">
        <f>SUM(K184,K185,K196,K208,K209)</f>
        <v>428724</v>
      </c>
      <c r="L210" s="1669">
        <f>SUM(L184,L185,L196,L208,L209)</f>
        <v>413400</v>
      </c>
    </row>
    <row r="211" spans="1:14" ht="13.5" thickTop="1" x14ac:dyDescent="0.2">
      <c r="A211" s="2209" t="s">
        <v>996</v>
      </c>
      <c r="B211" s="2210"/>
      <c r="C211" s="618"/>
      <c r="D211" s="618"/>
      <c r="E211" s="618"/>
      <c r="F211" s="618"/>
      <c r="G211" s="618"/>
      <c r="H211" s="618"/>
      <c r="I211" s="616"/>
      <c r="J211" s="616"/>
      <c r="K211" s="1683">
        <f>'Revenues 9-14'!F268-'Expenditures 15-22'!K210</f>
        <v>-54282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4" t="s">
        <v>965</v>
      </c>
      <c r="B213" s="2205"/>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f>16+9609+5681+25+8400</f>
        <v>23731</v>
      </c>
      <c r="E215" s="616"/>
      <c r="F215" s="616"/>
      <c r="G215" s="616"/>
      <c r="H215" s="616"/>
      <c r="I215" s="616"/>
      <c r="J215" s="616"/>
      <c r="K215" s="1670">
        <f>D215</f>
        <v>23731</v>
      </c>
      <c r="L215" s="466">
        <v>18100</v>
      </c>
    </row>
    <row r="216" spans="1:14" x14ac:dyDescent="0.2">
      <c r="A216" s="1503" t="s">
        <v>163</v>
      </c>
      <c r="B216" s="614" t="s">
        <v>967</v>
      </c>
      <c r="C216" s="616"/>
      <c r="D216" s="467">
        <f>4235+2418+1553</f>
        <v>8206</v>
      </c>
      <c r="E216" s="616"/>
      <c r="F216" s="616"/>
      <c r="G216" s="616"/>
      <c r="H216" s="616"/>
      <c r="I216" s="616"/>
      <c r="J216" s="616"/>
      <c r="K216" s="1670">
        <f t="shared" ref="K216:K228" si="19">D216</f>
        <v>8206</v>
      </c>
      <c r="L216" s="466">
        <v>15880</v>
      </c>
    </row>
    <row r="217" spans="1:14" x14ac:dyDescent="0.2">
      <c r="A217" s="1503" t="s">
        <v>164</v>
      </c>
      <c r="B217" s="614">
        <v>1200</v>
      </c>
      <c r="C217" s="616"/>
      <c r="D217" s="466">
        <v>2804</v>
      </c>
      <c r="E217" s="616"/>
      <c r="F217" s="616"/>
      <c r="G217" s="616"/>
      <c r="H217" s="616"/>
      <c r="I217" s="616"/>
      <c r="J217" s="616"/>
      <c r="K217" s="1670">
        <f t="shared" si="19"/>
        <v>2804</v>
      </c>
      <c r="L217" s="466">
        <v>2900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1314</v>
      </c>
      <c r="E219" s="616"/>
      <c r="F219" s="616"/>
      <c r="G219" s="616"/>
      <c r="H219" s="616"/>
      <c r="I219" s="616"/>
      <c r="J219" s="616"/>
      <c r="K219" s="1670">
        <f t="shared" si="19"/>
        <v>1314</v>
      </c>
      <c r="L219" s="466">
        <v>1200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140</v>
      </c>
      <c r="E222" s="616"/>
      <c r="F222" s="616"/>
      <c r="G222" s="616"/>
      <c r="H222" s="616"/>
      <c r="I222" s="616"/>
      <c r="J222" s="616"/>
      <c r="K222" s="1670">
        <f t="shared" si="19"/>
        <v>140</v>
      </c>
      <c r="L222" s="466">
        <v>200</v>
      </c>
    </row>
    <row r="223" spans="1:14" x14ac:dyDescent="0.2">
      <c r="A223" s="1503" t="s">
        <v>963</v>
      </c>
      <c r="B223" s="614">
        <v>1500</v>
      </c>
      <c r="C223" s="616"/>
      <c r="D223" s="466">
        <f>354+1657+1053</f>
        <v>3064</v>
      </c>
      <c r="E223" s="616"/>
      <c r="F223" s="616"/>
      <c r="G223" s="616"/>
      <c r="H223" s="616"/>
      <c r="I223" s="616"/>
      <c r="J223" s="616"/>
      <c r="K223" s="1670">
        <f t="shared" si="19"/>
        <v>3064</v>
      </c>
      <c r="L223" s="466">
        <v>3800</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39259</v>
      </c>
      <c r="E229" s="616"/>
      <c r="F229" s="616"/>
      <c r="G229" s="616"/>
      <c r="H229" s="616"/>
      <c r="I229" s="616"/>
      <c r="J229" s="616"/>
      <c r="K229" s="1669">
        <f>SUM(K215:K228)</f>
        <v>39259</v>
      </c>
      <c r="L229" s="1669">
        <f>SUM(L215:L228)</f>
        <v>42080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v>538</v>
      </c>
      <c r="E233" s="616"/>
      <c r="F233" s="616"/>
      <c r="G233" s="616"/>
      <c r="H233" s="616"/>
      <c r="I233" s="616"/>
      <c r="J233" s="616"/>
      <c r="K233" s="1670">
        <f t="shared" si="20"/>
        <v>538</v>
      </c>
      <c r="L233" s="466">
        <v>700</v>
      </c>
    </row>
    <row r="234" spans="1:12" x14ac:dyDescent="0.2">
      <c r="A234" s="1503" t="s">
        <v>198</v>
      </c>
      <c r="B234" s="614">
        <v>2130</v>
      </c>
      <c r="C234" s="616"/>
      <c r="D234" s="466">
        <f>6369+2978+653</f>
        <v>10000</v>
      </c>
      <c r="E234" s="616"/>
      <c r="F234" s="616"/>
      <c r="G234" s="616"/>
      <c r="H234" s="616"/>
      <c r="I234" s="616"/>
      <c r="J234" s="616"/>
      <c r="K234" s="1670">
        <f t="shared" si="20"/>
        <v>10000</v>
      </c>
      <c r="L234" s="466">
        <v>8800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f>33457+10655+2492</f>
        <v>46604</v>
      </c>
      <c r="E237" s="616"/>
      <c r="F237" s="616"/>
      <c r="G237" s="616"/>
      <c r="H237" s="616"/>
      <c r="I237" s="616"/>
      <c r="J237" s="616"/>
      <c r="K237" s="1670">
        <f t="shared" si="20"/>
        <v>46604</v>
      </c>
      <c r="L237" s="466">
        <v>44500</v>
      </c>
    </row>
    <row r="238" spans="1:12" ht="12.75" customHeight="1" thickBot="1" x14ac:dyDescent="0.25">
      <c r="A238" s="1667" t="s">
        <v>560</v>
      </c>
      <c r="B238" s="1674" t="s">
        <v>716</v>
      </c>
      <c r="C238" s="616"/>
      <c r="D238" s="1669">
        <f>SUM(D232:D237)</f>
        <v>57142</v>
      </c>
      <c r="E238" s="616"/>
      <c r="F238" s="616"/>
      <c r="G238" s="616"/>
      <c r="H238" s="616"/>
      <c r="I238" s="616"/>
      <c r="J238" s="616"/>
      <c r="K238" s="1669">
        <f>SUM(K232:K237)</f>
        <v>57142</v>
      </c>
      <c r="L238" s="1669">
        <f>SUM(L232:L237)</f>
        <v>54000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109</v>
      </c>
      <c r="E240" s="616"/>
      <c r="F240" s="616"/>
      <c r="G240" s="616"/>
      <c r="H240" s="616"/>
      <c r="I240" s="616"/>
      <c r="J240" s="616"/>
      <c r="K240" s="1671">
        <f>D240</f>
        <v>109</v>
      </c>
      <c r="L240" s="481">
        <v>40</v>
      </c>
    </row>
    <row r="241" spans="1:12" x14ac:dyDescent="0.2">
      <c r="A241" s="1503" t="s">
        <v>815</v>
      </c>
      <c r="B241" s="614">
        <v>2220</v>
      </c>
      <c r="C241" s="616"/>
      <c r="D241" s="466"/>
      <c r="E241" s="616"/>
      <c r="F241" s="616"/>
      <c r="G241" s="616"/>
      <c r="H241" s="616"/>
      <c r="I241" s="616"/>
      <c r="J241" s="616"/>
      <c r="K241" s="1671">
        <f>D241</f>
        <v>0</v>
      </c>
      <c r="L241" s="466"/>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109</v>
      </c>
      <c r="E243" s="616"/>
      <c r="F243" s="616"/>
      <c r="G243" s="616"/>
      <c r="H243" s="616"/>
      <c r="I243" s="616"/>
      <c r="J243" s="616"/>
      <c r="K243" s="1669">
        <f>SUM(K240:K242)</f>
        <v>109</v>
      </c>
      <c r="L243" s="1669">
        <f>SUM(L240:L242)</f>
        <v>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231</v>
      </c>
      <c r="E245" s="616"/>
      <c r="F245" s="616"/>
      <c r="G245" s="616"/>
      <c r="H245" s="616"/>
      <c r="I245" s="616"/>
      <c r="J245" s="616"/>
      <c r="K245" s="1671">
        <f>D245</f>
        <v>231</v>
      </c>
      <c r="L245" s="481">
        <v>25</v>
      </c>
    </row>
    <row r="246" spans="1:12" x14ac:dyDescent="0.2">
      <c r="A246" s="1503" t="s">
        <v>818</v>
      </c>
      <c r="B246" s="614">
        <v>2320</v>
      </c>
      <c r="C246" s="616"/>
      <c r="D246" s="466">
        <v>2317</v>
      </c>
      <c r="E246" s="616"/>
      <c r="F246" s="616"/>
      <c r="G246" s="616"/>
      <c r="H246" s="616"/>
      <c r="I246" s="616"/>
      <c r="J246" s="616"/>
      <c r="K246" s="1671">
        <f t="shared" ref="K246:K256" si="21">D246</f>
        <v>2317</v>
      </c>
      <c r="L246" s="466">
        <v>1900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2548</v>
      </c>
      <c r="E257" s="616"/>
      <c r="F257" s="616"/>
      <c r="G257" s="616"/>
      <c r="H257" s="616"/>
      <c r="I257" s="616"/>
      <c r="J257" s="616"/>
      <c r="K257" s="1669">
        <f>SUM(K245:K256)</f>
        <v>2548</v>
      </c>
      <c r="L257" s="1669">
        <f>SUM(L245:L256)</f>
        <v>1925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f>2562+8146+3723+871</f>
        <v>15302</v>
      </c>
      <c r="E259" s="616"/>
      <c r="F259" s="616"/>
      <c r="G259" s="616"/>
      <c r="H259" s="616"/>
      <c r="I259" s="616"/>
      <c r="J259" s="616"/>
      <c r="K259" s="1671">
        <f>D259</f>
        <v>15302</v>
      </c>
      <c r="L259" s="481">
        <v>14520</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15302</v>
      </c>
      <c r="E261" s="616"/>
      <c r="F261" s="616"/>
      <c r="G261" s="616"/>
      <c r="H261" s="616"/>
      <c r="I261" s="616"/>
      <c r="J261" s="616"/>
      <c r="K261" s="1669">
        <f>SUM(K259:K260)</f>
        <v>15302</v>
      </c>
      <c r="L261" s="1669">
        <f>SUM(L259:L260)</f>
        <v>14520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f>6991+3194+791</f>
        <v>10976</v>
      </c>
      <c r="E264" s="616"/>
      <c r="F264" s="616"/>
      <c r="G264" s="616"/>
      <c r="H264" s="616"/>
      <c r="I264" s="616"/>
      <c r="J264" s="616"/>
      <c r="K264" s="1671">
        <f t="shared" ref="K264:K269" si="22">D264</f>
        <v>10976</v>
      </c>
      <c r="L264" s="466">
        <v>11350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f>22507+11542+2699</f>
        <v>36748</v>
      </c>
      <c r="E266" s="616"/>
      <c r="F266" s="616"/>
      <c r="G266" s="616"/>
      <c r="H266" s="616"/>
      <c r="I266" s="616"/>
      <c r="J266" s="616"/>
      <c r="K266" s="1671">
        <f t="shared" si="22"/>
        <v>36748</v>
      </c>
      <c r="L266" s="466">
        <v>36500</v>
      </c>
    </row>
    <row r="267" spans="1:14" x14ac:dyDescent="0.2">
      <c r="A267" s="1503" t="s">
        <v>953</v>
      </c>
      <c r="B267" s="614">
        <v>2550</v>
      </c>
      <c r="C267" s="616"/>
      <c r="D267" s="466">
        <f>11184+12859+2995</f>
        <v>27038</v>
      </c>
      <c r="E267" s="616"/>
      <c r="F267" s="616"/>
      <c r="G267" s="616"/>
      <c r="H267" s="616"/>
      <c r="I267" s="616"/>
      <c r="J267" s="616"/>
      <c r="K267" s="1671">
        <f t="shared" si="22"/>
        <v>27038</v>
      </c>
      <c r="L267" s="466">
        <v>25800</v>
      </c>
    </row>
    <row r="268" spans="1:14" x14ac:dyDescent="0.2">
      <c r="A268" s="1503" t="s">
        <v>100</v>
      </c>
      <c r="B268" s="614">
        <v>2560</v>
      </c>
      <c r="C268" s="616"/>
      <c r="D268" s="466">
        <f>5496+2889+676</f>
        <v>9061</v>
      </c>
      <c r="E268" s="616"/>
      <c r="F268" s="616"/>
      <c r="G268" s="616"/>
      <c r="H268" s="616"/>
      <c r="I268" s="616"/>
      <c r="J268" s="616"/>
      <c r="K268" s="1671">
        <f t="shared" si="22"/>
        <v>9061</v>
      </c>
      <c r="L268" s="466">
        <v>9000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83823</v>
      </c>
      <c r="E270" s="616"/>
      <c r="F270" s="616"/>
      <c r="G270" s="616"/>
      <c r="H270" s="616"/>
      <c r="I270" s="616"/>
      <c r="J270" s="616"/>
      <c r="K270" s="1669">
        <f>SUM(K263:K269)</f>
        <v>83823</v>
      </c>
      <c r="L270" s="1669">
        <f>SUM(L263:L269)</f>
        <v>82650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158924</v>
      </c>
      <c r="E279" s="616"/>
      <c r="F279" s="616"/>
      <c r="G279" s="616"/>
      <c r="H279" s="616"/>
      <c r="I279" s="616"/>
      <c r="J279" s="616"/>
      <c r="K279" s="1676">
        <f>SUM(K238,K243,K257,K261,K270,K277,K278)</f>
        <v>158924</v>
      </c>
      <c r="L279" s="1676">
        <f>SUM(L238,L243,L257,L261,L270,L277,L278)</f>
        <v>153135</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200" t="s">
        <v>505</v>
      </c>
      <c r="B295" s="2201"/>
      <c r="C295" s="616"/>
      <c r="D295" s="1669">
        <f>SUM(D229,D279,D280,D285)</f>
        <v>198183</v>
      </c>
      <c r="E295" s="616"/>
      <c r="F295" s="616"/>
      <c r="G295" s="616"/>
      <c r="H295" s="1669">
        <f>H293</f>
        <v>0</v>
      </c>
      <c r="I295" s="616"/>
      <c r="J295" s="616"/>
      <c r="K295" s="1669">
        <f>SUM(K229,K279,K280,K285,K293,K294)</f>
        <v>198183</v>
      </c>
      <c r="L295" s="1669">
        <f>SUM(L229,L279,L280,L285,L293,L294)</f>
        <v>195215</v>
      </c>
    </row>
    <row r="296" spans="1:14" ht="13.5" thickTop="1" x14ac:dyDescent="0.2">
      <c r="A296" s="2209" t="s">
        <v>996</v>
      </c>
      <c r="B296" s="2210"/>
      <c r="C296" s="616"/>
      <c r="D296" s="618"/>
      <c r="E296" s="616"/>
      <c r="F296" s="616"/>
      <c r="G296" s="616"/>
      <c r="H296" s="687"/>
      <c r="I296" s="616"/>
      <c r="J296" s="616"/>
      <c r="K296" s="1683">
        <f>'Revenues 9-14'!G268-'Expenditures 15-22'!K295</f>
        <v>37867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2" t="s">
        <v>143</v>
      </c>
      <c r="B298" s="2186"/>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1849</v>
      </c>
      <c r="B306" s="690" t="s">
        <v>1844</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97" t="s">
        <v>277</v>
      </c>
      <c r="B312" s="219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93" t="s">
        <v>996</v>
      </c>
      <c r="B313" s="219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6" t="s">
        <v>149</v>
      </c>
      <c r="B315" s="220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8" t="s">
        <v>898</v>
      </c>
      <c r="B317" s="2207"/>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f>1340+28604</f>
        <v>29944</v>
      </c>
      <c r="F320" s="467"/>
      <c r="G320" s="467"/>
      <c r="H320" s="467"/>
      <c r="I320" s="467"/>
      <c r="J320" s="467"/>
      <c r="K320" s="1670">
        <f t="shared" ref="K320:K327" si="24">SUM(C320:J320)</f>
        <v>29944</v>
      </c>
      <c r="L320" s="467">
        <v>55000</v>
      </c>
      <c r="M320" s="665"/>
      <c r="N320" s="665"/>
    </row>
    <row r="321" spans="1:14" s="674" customFormat="1" x14ac:dyDescent="0.2">
      <c r="A321" s="1518" t="s">
        <v>300</v>
      </c>
      <c r="B321" s="697" t="s">
        <v>283</v>
      </c>
      <c r="C321" s="467"/>
      <c r="D321" s="467"/>
      <c r="E321" s="467">
        <v>145</v>
      </c>
      <c r="F321" s="467"/>
      <c r="G321" s="467"/>
      <c r="H321" s="467"/>
      <c r="I321" s="467"/>
      <c r="J321" s="467"/>
      <c r="K321" s="1670">
        <f t="shared" si="24"/>
        <v>145</v>
      </c>
      <c r="L321" s="467">
        <v>28700</v>
      </c>
      <c r="M321" s="665"/>
      <c r="N321" s="665"/>
    </row>
    <row r="322" spans="1:14" s="674" customFormat="1" x14ac:dyDescent="0.2">
      <c r="A322" s="1518" t="s">
        <v>238</v>
      </c>
      <c r="B322" s="697" t="s">
        <v>284</v>
      </c>
      <c r="C322" s="467"/>
      <c r="D322" s="467"/>
      <c r="E322" s="467">
        <f>42411+1</f>
        <v>42412</v>
      </c>
      <c r="F322" s="467"/>
      <c r="G322" s="467"/>
      <c r="H322" s="467"/>
      <c r="I322" s="467"/>
      <c r="J322" s="467"/>
      <c r="K322" s="1670">
        <f t="shared" si="24"/>
        <v>42412</v>
      </c>
      <c r="L322" s="467">
        <v>42420</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v>15089</v>
      </c>
      <c r="F327" s="467"/>
      <c r="G327" s="467"/>
      <c r="H327" s="467"/>
      <c r="I327" s="467"/>
      <c r="J327" s="467"/>
      <c r="K327" s="1670">
        <f t="shared" si="24"/>
        <v>15089</v>
      </c>
      <c r="L327" s="467">
        <v>23700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87590</v>
      </c>
      <c r="F330" s="1669">
        <f t="shared" si="25"/>
        <v>0</v>
      </c>
      <c r="G330" s="1669">
        <f t="shared" si="25"/>
        <v>0</v>
      </c>
      <c r="H330" s="1669">
        <f t="shared" si="25"/>
        <v>0</v>
      </c>
      <c r="I330" s="1669">
        <f t="shared" si="25"/>
        <v>0</v>
      </c>
      <c r="J330" s="1669">
        <f t="shared" si="25"/>
        <v>0</v>
      </c>
      <c r="K330" s="1669">
        <f>SUM(K319:K329)</f>
        <v>87590</v>
      </c>
      <c r="L330" s="1669">
        <f>SUM(L319:L329)</f>
        <v>149820</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87590</v>
      </c>
      <c r="F342" s="1669">
        <f>SUM(F330)</f>
        <v>0</v>
      </c>
      <c r="G342" s="1669">
        <f>SUM(G330)</f>
        <v>0</v>
      </c>
      <c r="H342" s="1669">
        <f>SUM(H330,H334,H340)</f>
        <v>0</v>
      </c>
      <c r="I342" s="1669">
        <f>SUM(I330)</f>
        <v>0</v>
      </c>
      <c r="J342" s="1669">
        <f>SUM(J330)</f>
        <v>0</v>
      </c>
      <c r="K342" s="1669">
        <f>SUM(K330,K334,K340)</f>
        <v>87590</v>
      </c>
      <c r="L342" s="1676">
        <f>SUM(L330,L340,L341)</f>
        <v>149820</v>
      </c>
    </row>
    <row r="343" spans="1:14" ht="12.75" customHeight="1" thickTop="1" x14ac:dyDescent="0.2">
      <c r="A343" s="2195" t="s">
        <v>996</v>
      </c>
      <c r="B343" s="2196"/>
      <c r="C343" s="616"/>
      <c r="D343" s="616"/>
      <c r="E343" s="616"/>
      <c r="F343" s="616"/>
      <c r="G343" s="616"/>
      <c r="H343" s="616"/>
      <c r="I343" s="616"/>
      <c r="J343" s="616"/>
      <c r="K343" s="1683">
        <f>'Revenues 9-14'!J268-'Expenditures 15-22'!K342</f>
        <v>13082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5" t="s">
        <v>966</v>
      </c>
      <c r="B345" s="2186"/>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70</v>
      </c>
      <c r="F348" s="466"/>
      <c r="G348" s="466">
        <v>6828</v>
      </c>
      <c r="H348" s="466"/>
      <c r="I348" s="467"/>
      <c r="J348" s="467"/>
      <c r="K348" s="1670">
        <f>SUM(C348:J348)</f>
        <v>6898</v>
      </c>
      <c r="L348" s="466">
        <v>450</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70</v>
      </c>
      <c r="F350" s="1669">
        <f t="shared" si="26"/>
        <v>0</v>
      </c>
      <c r="G350" s="1669">
        <f t="shared" si="26"/>
        <v>6828</v>
      </c>
      <c r="H350" s="1669">
        <f t="shared" si="26"/>
        <v>0</v>
      </c>
      <c r="I350" s="1669">
        <f t="shared" si="26"/>
        <v>0</v>
      </c>
      <c r="J350" s="1669">
        <f t="shared" si="26"/>
        <v>0</v>
      </c>
      <c r="K350" s="1669">
        <f t="shared" si="26"/>
        <v>6898</v>
      </c>
      <c r="L350" s="1669">
        <f t="shared" si="26"/>
        <v>450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70</v>
      </c>
      <c r="F352" s="1669">
        <f t="shared" si="27"/>
        <v>0</v>
      </c>
      <c r="G352" s="1669">
        <f t="shared" si="27"/>
        <v>6828</v>
      </c>
      <c r="H352" s="1669">
        <f t="shared" si="27"/>
        <v>0</v>
      </c>
      <c r="I352" s="1669">
        <f t="shared" si="27"/>
        <v>0</v>
      </c>
      <c r="J352" s="1669">
        <f t="shared" si="27"/>
        <v>0</v>
      </c>
      <c r="K352" s="1669">
        <f t="shared" si="27"/>
        <v>6898</v>
      </c>
      <c r="L352" s="1669">
        <f t="shared" si="27"/>
        <v>450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2"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70</v>
      </c>
      <c r="F367" s="1669">
        <f t="shared" si="28"/>
        <v>0</v>
      </c>
      <c r="G367" s="1669">
        <f t="shared" si="28"/>
        <v>6828</v>
      </c>
      <c r="H367" s="1669">
        <f t="shared" si="28"/>
        <v>0</v>
      </c>
      <c r="I367" s="1669">
        <f t="shared" si="28"/>
        <v>0</v>
      </c>
      <c r="J367" s="1669">
        <f t="shared" si="28"/>
        <v>0</v>
      </c>
      <c r="K367" s="1669">
        <f t="shared" si="28"/>
        <v>6898</v>
      </c>
      <c r="L367" s="1669">
        <f t="shared" si="28"/>
        <v>450</v>
      </c>
    </row>
    <row r="368" spans="1:14" ht="13.5" thickTop="1" x14ac:dyDescent="0.2">
      <c r="A368" s="2209" t="s">
        <v>996</v>
      </c>
      <c r="B368" s="2210"/>
      <c r="C368" s="654"/>
      <c r="D368" s="654"/>
      <c r="E368" s="626"/>
      <c r="F368" s="626"/>
      <c r="G368" s="626"/>
      <c r="H368" s="626"/>
      <c r="I368" s="626"/>
      <c r="J368" s="623"/>
      <c r="K368" s="1670">
        <f>'Revenues 9-14'!K268-'Expenditures 15-22'!K367</f>
        <v>41933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5" right="0.5" top="1.35" bottom="0.5" header="1" footer="0.2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terms/"/>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d21dc803-237d-4c68-8692-8d731fd29118"/>
    <ds:schemaRef ds:uri="http://schemas.openxmlformats.org/package/2006/metadata/core-propertie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GAS Rept &amp; Notes - PDF</vt:lpstr>
      <vt:lpstr>Activity Funds - Excel</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2019-09-25T17:51:46Z</cp:lastPrinted>
  <dcterms:created xsi:type="dcterms:W3CDTF">2003-10-29T19:06:34Z</dcterms:created>
  <dcterms:modified xsi:type="dcterms:W3CDTF">2019-11-22T17:27:47Z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