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3324E41-9B6B-4357-B7C7-1E573717D18D}" xr6:coauthVersionLast="36" xr6:coauthVersionMax="36" xr10:uidLastSave="{00000000-0000-0000-0000-000000000000}"/>
  <bookViews>
    <workbookView xWindow="3885" yWindow="1635" windowWidth="22080" windowHeight="127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B2805" i="106" s="1"/>
  <c r="D2805" i="106" s="1"/>
  <c r="K185" i="29"/>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B2977" i="106" s="1"/>
  <c r="D2977" i="106" s="1"/>
  <c r="K83" i="29"/>
  <c r="B2978" i="106" s="1"/>
  <c r="D2978" i="106" s="1"/>
  <c r="K93" i="29"/>
  <c r="K94" i="29"/>
  <c r="K95" i="29"/>
  <c r="K96" i="29"/>
  <c r="K97" i="29"/>
  <c r="K98" i="29"/>
  <c r="K99" i="29"/>
  <c r="B7010" i="106" s="1"/>
  <c r="D7010" i="106" s="1"/>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K251" i="29"/>
  <c r="B7088" i="106" s="1"/>
  <c r="D7088" i="106" s="1"/>
  <c r="K252" i="29"/>
  <c r="K253" i="29"/>
  <c r="B7092" i="106" s="1"/>
  <c r="D7092" i="106" s="1"/>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J77" i="4" s="1"/>
  <c r="B6262" i="106" s="1"/>
  <c r="D6262" i="106" s="1"/>
  <c r="B6264" i="106"/>
  <c r="D6264" i="106" s="1"/>
  <c r="B6265" i="106"/>
  <c r="D6265" i="106" s="1"/>
  <c r="B6285" i="106"/>
  <c r="D628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7" i="106"/>
  <c r="D7077" i="106" s="1"/>
  <c r="B7079" i="106"/>
  <c r="D7079" i="106" s="1"/>
  <c r="B7080" i="106"/>
  <c r="D7080" i="106" s="1"/>
  <c r="B7081" i="106"/>
  <c r="D7081" i="106" s="1"/>
  <c r="B7082" i="106"/>
  <c r="D7082" i="106" s="1"/>
  <c r="B7083" i="106"/>
  <c r="D7083" i="106" s="1"/>
  <c r="B7085" i="106"/>
  <c r="D7085" i="106" s="1"/>
  <c r="B7086" i="106"/>
  <c r="D7086" i="106" s="1"/>
  <c r="B7087" i="106"/>
  <c r="D7087" i="106" s="1"/>
  <c r="B7089" i="106"/>
  <c r="D7089" i="106" s="1"/>
  <c r="B7090" i="106"/>
  <c r="D7090" i="106" s="1"/>
  <c r="B7091" i="106"/>
  <c r="D7091"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5" i="127"/>
  <c r="B66" i="127"/>
  <c r="D26" i="108"/>
  <c r="E26" i="108"/>
  <c r="F26" i="108"/>
  <c r="G26" i="108"/>
  <c r="E27" i="108"/>
  <c r="G27" i="108"/>
  <c r="E28" i="108"/>
  <c r="F28" i="108"/>
  <c r="F36" i="108"/>
  <c r="F37" i="108"/>
  <c r="G28" i="108"/>
  <c r="E29" i="108"/>
  <c r="E30" i="108"/>
  <c r="G30" i="108"/>
  <c r="D36" i="108"/>
  <c r="D37" i="108"/>
  <c r="E31" i="108"/>
  <c r="G31" i="108"/>
  <c r="E33" i="108"/>
  <c r="G33" i="108"/>
  <c r="E34" i="108"/>
  <c r="G34" i="108"/>
  <c r="G35"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F14" i="4"/>
  <c r="B2597" i="106" s="1"/>
  <c r="D2597" i="106" s="1"/>
  <c r="B2633" i="106"/>
  <c r="D2633" i="106" s="1"/>
  <c r="N22" i="3"/>
  <c r="B283" i="106" s="1"/>
  <c r="D283" i="106" s="1"/>
  <c r="D7" i="118"/>
  <c r="D8" i="118"/>
  <c r="D9" i="118"/>
  <c r="H14" i="118"/>
  <c r="H19" i="118"/>
  <c r="H24" i="118"/>
  <c r="H33" i="118"/>
  <c r="J22" i="37"/>
  <c r="L22" i="37"/>
  <c r="D24" i="37"/>
  <c r="B4270" i="106" s="1"/>
  <c r="D4270" i="106" s="1"/>
  <c r="D9" i="7"/>
  <c r="B1767" i="106" s="1"/>
  <c r="D1767" i="106" s="1"/>
  <c r="D17" i="7"/>
  <c r="B4104" i="106" s="1"/>
  <c r="D4104" i="106" s="1"/>
  <c r="D22" i="37" l="1"/>
  <c r="H28" i="118"/>
  <c r="K28" i="118" s="1"/>
  <c r="O27" i="118" s="1"/>
  <c r="O29" i="118" s="1"/>
  <c r="D14" i="4"/>
  <c r="B2570" i="106" s="1"/>
  <c r="D2570" i="106" s="1"/>
  <c r="G14" i="4"/>
  <c r="B2609" i="106" s="1"/>
  <c r="D2609" i="106" s="1"/>
  <c r="F19" i="7"/>
  <c r="B1807" i="106" s="1"/>
  <c r="D1807" i="106" s="1"/>
  <c r="F68" i="34"/>
  <c r="F49" i="34"/>
  <c r="F44" i="34"/>
  <c r="G39" i="108"/>
  <c r="E38" i="108"/>
  <c r="E35" i="108"/>
  <c r="D69" i="36"/>
  <c r="B6261" i="106"/>
  <c r="D6261" i="106" s="1"/>
  <c r="H76" i="4"/>
  <c r="B3298" i="106" s="1"/>
  <c r="D3298" i="106" s="1"/>
  <c r="I24" i="12"/>
  <c r="B1274" i="106"/>
  <c r="D1274" i="106" s="1"/>
  <c r="B1124" i="106"/>
  <c r="D1124" i="106" s="1"/>
  <c r="G15" i="145"/>
  <c r="J352" i="29"/>
  <c r="J367" i="29" s="1"/>
  <c r="B7245" i="106" s="1"/>
  <c r="B3647" i="106"/>
  <c r="D3647" i="106" s="1"/>
  <c r="F36" i="34"/>
  <c r="K76" i="4"/>
  <c r="B3586" i="106" s="1"/>
  <c r="D3586" i="106" s="1"/>
  <c r="C342" i="29"/>
  <c r="B7216" i="106" s="1"/>
  <c r="D7216" i="106" s="1"/>
  <c r="D6103" i="106"/>
  <c r="H365" i="29"/>
  <c r="B7242" i="106" s="1"/>
  <c r="D7242" i="106" s="1"/>
  <c r="F77" i="4"/>
  <c r="B3255" i="106" s="1"/>
  <c r="D3255" i="106" s="1"/>
  <c r="B1126" i="106"/>
  <c r="D1126" i="106" s="1"/>
  <c r="B3552" i="106"/>
  <c r="D3552" i="106" s="1"/>
  <c r="H29" i="118"/>
  <c r="D11" i="37"/>
  <c r="D31" i="36"/>
  <c r="L13" i="11"/>
  <c r="B2060" i="106" s="1"/>
  <c r="D2060" i="106" s="1"/>
  <c r="L5" i="11"/>
  <c r="B2056" i="106" s="1"/>
  <c r="D2056" i="106" s="1"/>
  <c r="G29" i="108"/>
  <c r="D31" i="108"/>
  <c r="D27" i="108"/>
  <c r="B1996" i="106"/>
  <c r="D1996" i="106" s="1"/>
  <c r="I26" i="12"/>
  <c r="B7741" i="106" s="1"/>
  <c r="D7741" i="106" s="1"/>
  <c r="J41" i="3"/>
  <c r="K184" i="29"/>
  <c r="F13" i="4" s="1"/>
  <c r="B2596" i="106" s="1"/>
  <c r="D2596" i="106" s="1"/>
  <c r="G210" i="29"/>
  <c r="K41" i="3"/>
  <c r="L15" i="11"/>
  <c r="B3459" i="106" s="1"/>
  <c r="D3459" i="106" s="1"/>
  <c r="B1990" i="106"/>
  <c r="D1990" i="106" s="1"/>
  <c r="C129" i="29"/>
  <c r="C151" i="29" s="1"/>
  <c r="B1226" i="106" s="1"/>
  <c r="D1226" i="106" s="1"/>
  <c r="L367" i="29"/>
  <c r="D7245" i="106"/>
  <c r="C352" i="29"/>
  <c r="C367" i="29" s="1"/>
  <c r="B3622" i="106" s="1"/>
  <c r="D3622" i="106" s="1"/>
  <c r="B1308" i="106"/>
  <c r="D1308" i="106" s="1"/>
  <c r="E174" i="29"/>
  <c r="B1309" i="106" s="1"/>
  <c r="D1309" i="106" s="1"/>
  <c r="L342" i="29"/>
  <c r="B3254" i="106"/>
  <c r="D3254" i="106" s="1"/>
  <c r="B3649" i="106"/>
  <c r="D3649" i="106" s="1"/>
  <c r="G367" i="29"/>
  <c r="D5" i="4"/>
  <c r="B3406" i="106" s="1"/>
  <c r="D3406" i="106" s="1"/>
  <c r="L312" i="29"/>
  <c r="I342" i="29"/>
  <c r="B7222" i="106" s="1"/>
  <c r="D7222" i="106" s="1"/>
  <c r="K350" i="29"/>
  <c r="F21" i="8"/>
  <c r="K24" i="12"/>
  <c r="B3621" i="106"/>
  <c r="D3621"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5" i="106" l="1"/>
  <c r="D7250" i="106"/>
  <c r="B7235" i="106"/>
  <c r="D7235" i="106" s="1"/>
  <c r="D41" i="108"/>
  <c r="E43" i="108" s="1"/>
  <c r="L114" i="29"/>
  <c r="L16" i="11"/>
  <c r="B2061" i="106" s="1"/>
  <c r="D2061" i="106" s="1"/>
  <c r="B2031" i="106"/>
  <c r="D2031" i="106" s="1"/>
  <c r="B1381" i="106"/>
  <c r="D1381" i="106" s="1"/>
  <c r="B1225" i="106"/>
  <c r="D1225" i="106" s="1"/>
  <c r="C114" i="29"/>
  <c r="B757" i="106" s="1"/>
  <c r="D757" i="106" s="1"/>
  <c r="F174" i="34"/>
  <c r="B5527" i="106"/>
  <c r="D5527" i="106" s="1"/>
  <c r="D44" i="36"/>
  <c r="D7253" i="106"/>
  <c r="K342" i="29"/>
  <c r="F13" i="34" s="1"/>
  <c r="B3568" i="106"/>
  <c r="D3568" i="106" s="1"/>
  <c r="D52" i="36"/>
  <c r="B1365" i="106"/>
  <c r="D1365" i="106" s="1"/>
  <c r="F65"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1145" i="106"/>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C12" i="146" l="1"/>
  <c r="K20" i="118"/>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<sst xmlns="http://schemas.openxmlformats.org/spreadsheetml/2006/main" count="5065" uniqueCount="2094">
  <si>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</si>
  <si>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</si>
  <si>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</si>
  <si>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</si>
  <si>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</si>
  <si>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</si>
  <si>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</si>
  <si>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</si>
  <si>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</si>
  <si>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</si>
  <si>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</si>
  <si>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</si>
  <si>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</si>
  <si>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</si>
  <si>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</si>
  <si>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</si>
  <si>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</si>
  <si>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</si>
  <si>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</si>
  <si>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</si>
  <si>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</si>
  <si>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</si>
  <si>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</si>
  <si>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</si>
  <si>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</si>
  <si>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</si>
  <si>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</si>
  <si>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</si>
  <si>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</si>
  <si>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</si>
  <si>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</si>
  <si>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</si>
  <si>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</si>
  <si>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</si>
  <si>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</si>
  <si>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</si>
  <si>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</si>
  <si>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</si>
  <si>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</si>
  <si>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</si>
  <si>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</si>
  <si>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</si>
  <si>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</si>
  <si>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</si>
  <si>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</si>
  <si>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</si>
  <si>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</si>
  <si>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</si>
  <si>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</si>
  <si>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</si>
  <si>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</si>
  <si>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</si>
  <si>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</si>
  <si>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</si>
  <si>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</si>
  <si>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</si>
  <si>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</si>
  <si>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</si>
  <si>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</si>
  <si>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</si>
  <si>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</si>
  <si>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</si>
  <si>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</si>
  <si>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</si>
  <si>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</si>
  <si>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</si>
  <si>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</si>
  <si>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</si>
  <si>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</si>
  <si>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</si>
  <si>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</si>
  <si>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</si>
  <si>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</si>
  <si>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</si>
  <si>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</si>
  <si>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</si>
  <si>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</si>
  <si>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</si>
  <si>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</si>
  <si>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</si>
  <si>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</si>
  <si>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</si>
  <si>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</si>
  <si>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</si>
  <si>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</si>
  <si>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</si>
  <si>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</si>
  <si>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</si>
  <si>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</si>
  <si>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</si>
  <si>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</si>
  <si>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</si>
  <si>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</si>
  <si>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</si>
  <si>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</si>
  <si>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</si>
  <si>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</si>
  <si>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</si>
  <si>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</si>
  <si>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</si>
  <si>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</si>
  <si>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</si>
  <si>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</si>
  <si>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</si>
  <si>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</si>
  <si>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</si>
  <si>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</si>
  <si>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</si>
  <si>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</si>
  <si>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</si>
  <si>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</si>
  <si>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</si>
  <si>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</si>
  <si>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</si>
  <si>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</si>
  <si>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</si>
  <si>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</si>
  <si>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</si>
  <si>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</si>
  <si>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</si>
  <si>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</si>
  <si>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</si>
  <si>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</si>
  <si>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</si>
  <si>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</si>
  <si>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</si>
  <si>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</si>
  <si>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</si>
  <si>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</si>
  <si>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</si>
  <si>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</si>
  <si>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</si>
  <si>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</si>
  <si>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</si>
  <si>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</si>
  <si>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</si>
  <si>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</si>
  <si>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</si>
  <si>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</si>
  <si>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</si>
  <si>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</si>
  <si>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</si>
  <si>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</si>
  <si>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</si>
  <si>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</si>
  <si>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</si>
  <si>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</si>
  <si>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</si>
  <si>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</si>
  <si>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</si>
  <si>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</si>
  <si>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</si>
  <si>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</si>
  <si>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</si>
  <si>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</si>
  <si>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</si>
  <si>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</si>
  <si>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</si>
  <si>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</si>
  <si>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</si>
  <si>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</si>
  <si>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</si>
  <si>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</si>
  <si>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</si>
  <si>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</si>
  <si>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</si>
  <si>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</si>
  <si>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</si>
  <si>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</si>
  <si>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</si>
  <si>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</si>
  <si>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</si>
  <si>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</si>
  <si>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</si>
  <si>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</si>
  <si>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</si>
  <si>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</si>
  <si>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</si>
  <si>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</si>
  <si>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</si>
  <si>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</si>
  <si>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</si>
  <si>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</si>
  <si>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</si>
  <si>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</si>
  <si>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</si>
  <si>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</si>
  <si>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</si>
  <si>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</si>
  <si>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</si>
  <si>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</si>
  <si>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</si>
  <si>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</si>
  <si>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</si>
  <si>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</si>
  <si>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</si>
  <si>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</si>
  <si>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</si>
  <si>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</si>
  <si>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</si>
  <si>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</si>
  <si>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</si>
  <si>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</si>
  <si>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</si>
  <si>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</si>
  <si>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</si>
  <si>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</si>
  <si>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</si>
  <si>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</si>
  <si>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</si>
  <si>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</si>
  <si>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</si>
  <si>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</si>
  <si>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</si>
  <si>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</si>
  <si>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</si>
  <si>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</si>
  <si>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</si>
  <si>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</si>
  <si>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</si>
  <si>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</si>
  <si>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</si>
  <si>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</si>
  <si>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</si>
  <si>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</si>
  <si>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</si>
  <si>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</si>
  <si>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</si>
  <si>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</si>
  <si>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</si>
  <si>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</si>
  <si>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</si>
  <si>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</si>
  <si>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</si>
  <si>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</si>
  <si>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</si>
  <si>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</si>
  <si>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</si>
  <si>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</si>
  <si>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</si>
  <si>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</si>
  <si>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</si>
  <si>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</si>
  <si>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</si>
  <si>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</si>
  <si>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</si>
  <si>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</si>
  <si>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</si>
  <si>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</si>
  <si>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</si>
  <si>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</si>
  <si>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</si>
  <si>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</si>
  <si>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</si>
  <si>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</si>
  <si>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</si>
  <si>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</si>
  <si>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</si>
  <si>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</si>
  <si>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</si>
  <si>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</si>
  <si>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</si>
  <si>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</si>
  <si>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</si>
  <si>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</si>
  <si>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</si>
  <si>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</si>
  <si>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</si>
  <si>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</si>
  <si>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</si>
  <si>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</si>
  <si>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</si>
  <si>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</si>
  <si>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</si>
  <si>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</si>
  <si>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</si>
  <si>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</si>
  <si>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</si>
  <si>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</si>
  <si>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</si>
  <si>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</si>
  <si>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</si>
  <si>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</si>
  <si>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</si>
  <si>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</si>
  <si>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</si>
  <si>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</si>
  <si>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</si>
  <si>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</si>
  <si>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</si>
  <si>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</si>
  <si>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</si>
  <si>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</si>
  <si>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</si>
  <si>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</si>
  <si>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</si>
  <si>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</si>
  <si>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</si>
  <si>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</si>
  <si>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</si>
  <si>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</si>
  <si>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</si>
  <si>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</si>
  <si>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</si>
  <si>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</si>
  <si>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</si>
  <si>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</si>
  <si>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</si>
  <si>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</si>
  <si>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</si>
  <si>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</si>
  <si>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</si>
  <si>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</si>
  <si>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</si>
  <si>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</si>
  <si>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</si>
  <si>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</si>
  <si>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</si>
  <si>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</si>
  <si>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</si>
  <si>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</si>
  <si>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</si>
  <si>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</si>
  <si>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</si>
  <si>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</si>
  <si>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</si>
  <si>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</si>
  <si>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</si>
  <si>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</si>
  <si>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</si>
  <si>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</si>
  <si>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</si>
  <si>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</si>
  <si>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</si>
  <si>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</si>
  <si>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</si>
  <si>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</si>
  <si>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</si>
  <si>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</si>
  <si>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</si>
  <si>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</si>
  <si>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</si>
  <si>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</si>
  <si>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</si>
  <si>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</si>
  <si>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</si>
  <si>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</si>
  <si>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</si>
  <si>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</si>
  <si>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</si>
  <si>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</si>
  <si>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</si>
  <si>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</si>
  <si>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</si>
  <si>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</si>
  <si>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</si>
  <si>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</si>
  <si>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</si>
  <si>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</si>
  <si>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</si>
  <si>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</si>
  <si>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</si>
  <si>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</si>
  <si>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</si>
  <si>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</si>
  <si>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</si>
  <si>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</si>
  <si>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</si>
  <si>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</si>
  <si>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</si>
  <si>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</si>
  <si>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</si>
  <si>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</si>
  <si>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</si>
  <si>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</si>
  <si>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</si>
  <si>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</si>
  <si>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</si>
  <si>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</si>
  <si>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</si>
  <si>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</si>
  <si>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</si>
  <si>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</si>
  <si>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</si>
  <si>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</si>
  <si>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</si>
  <si>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</si>
  <si>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</si>
  <si>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</si>
  <si>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</si>
  <si>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</si>
  <si>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</si>
  <si>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</si>
  <si>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</si>
  <si>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</si>
  <si>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</si>
  <si>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</si>
  <si>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</si>
  <si>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</si>
  <si>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</si>
  <si>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</si>
  <si>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</si>
  <si>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</si>
  <si>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</si>
  <si>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</si>
  <si>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</si>
  <si>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</si>
  <si>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</si>
  <si>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</si>
  <si>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</si>
  <si>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</si>
  <si>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</si>
  <si>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</si>
  <si>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</si>
  <si>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</si>
  <si>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</si>
  <si>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</si>
  <si>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</si>
  <si>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</si>
  <si>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</si>
  <si>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</si>
  <si>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</si>
  <si>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</si>
  <si>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</si>
  <si>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</si>
  <si>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</si>
  <si>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</si>
  <si>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</si>
  <si>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</si>
  <si>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</si>
  <si>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</si>
  <si>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</si>
  <si>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</si>
  <si>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</si>
  <si>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</si>
  <si>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</si>
  <si>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</si>
  <si>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</si>
  <si>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</si>
  <si>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</si>
  <si>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</si>
  <si>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</si>
  <si>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</si>
  <si>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</si>
  <si>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</si>
  <si>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</si>
  <si>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</si>
  <si>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</si>
  <si>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</si>
  <si>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</si>
  <si>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</si>
  <si>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</si>
  <si>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</si>
  <si>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</si>
  <si>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</si>
  <si>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</si>
  <si>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</si>
  <si>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</si>
  <si>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</si>
  <si>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</si>
  <si>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</si>
  <si>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</si>
  <si>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</si>
  <si>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</si>
  <si>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</si>
  <si>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</si>
  <si>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</si>
  <si>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</si>
  <si>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</si>
  <si>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</si>
  <si>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</si>
  <si>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</si>
  <si>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</si>
  <si>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</si>
  <si>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</si>
  <si>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</si>
  <si>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</si>
  <si>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</si>
  <si>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</si>
  <si>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</si>
  <si>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</si>
  <si>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</si>
  <si>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</si>
  <si>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</si>
  <si>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</si>
  <si>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</si>
  <si>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</si>
  <si>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</si>
  <si>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</si>
  <si>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</si>
  <si>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</si>
  <si>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</si>
  <si>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</si>
  <si>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</si>
  <si>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</si>
  <si>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</si>
  <si>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</si>
  <si>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</si>
  <si>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</si>
  <si>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</si>
  <si>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</si>
  <si>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</si>
  <si>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</si>
  <si>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</si>
  <si>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</si>
  <si>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</si>
  <si>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</si>
  <si>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</si>
  <si>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</si>
  <si>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</si>
  <si>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</si>
  <si>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</si>
  <si>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</si>
  <si>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</si>
  <si>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</si>
  <si>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</si>
  <si>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</si>
  <si>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</si>
  <si>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</si>
  <si>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</si>
  <si>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</si>
  <si>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</si>
  <si>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</si>
  <si>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</si>
  <si>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</si>
  <si>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</si>
  <si>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</si>
  <si>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</si>
  <si>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</si>
  <si>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</si>
  <si>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</si>
  <si>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</si>
  <si>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</si>
  <si>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</si>
  <si>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</si>
  <si>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</si>
  <si>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</si>
  <si>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</si>
  <si>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</si>
  <si>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</si>
  <si>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</si>
  <si>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</si>
  <si>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</si>
  <si>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</si>
  <si>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</si>
  <si>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</si>
  <si>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</si>
  <si>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</si>
  <si>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</si>
  <si>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</si>
  <si>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</si>
  <si>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</si>
  <si>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</si>
  <si>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</si>
  <si>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</si>
  <si>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</si>
  <si>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</si>
  <si>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</si>
  <si>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</si>
  <si>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</si>
  <si>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</si>
  <si>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</si>
  <si>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</si>
  <si>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</si>
  <si>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</si>
  <si>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</si>
  <si>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</si>
  <si>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</si>
  <si>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</si>
  <si>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</si>
  <si>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</si>
  <si>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</si>
  <si>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</si>
  <si>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</si>
  <si>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</si>
  <si>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</si>
  <si>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</si>
  <si>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</si>
  <si>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</si>
  <si>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</si>
  <si>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</si>
  <si>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</si>
  <si>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</si>
  <si>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</si>
  <si>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</si>
  <si>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</si>
  <si>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</si>
  <si>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</si>
  <si>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</si>
  <si>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</si>
  <si>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</si>
  <si>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</si>
  <si>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</si>
  <si>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</si>
  <si>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</si>
  <si>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</si>
  <si>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</si>
  <si>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</si>
  <si>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</si>
  <si>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</si>
  <si>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</si>
  <si>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</si>
  <si>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</si>
  <si>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</si>
  <si>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</si>
  <si>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</si>
  <si>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</si>
  <si>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</si>
  <si>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</si>
  <si>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</si>
  <si>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</si>
  <si>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</si>
  <si>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</si>
  <si>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</si>
  <si>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</si>
  <si>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</si>
  <si>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</si>
  <si>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</si>
  <si>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</si>
  <si>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</si>
  <si>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</si>
  <si>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</si>
  <si>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</si>
  <si>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</si>
  <si>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</si>
  <si>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</si>
  <si>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</si>
  <si>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</si>
  <si>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</si>
  <si>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</si>
  <si>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</si>
  <si>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</si>
  <si>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</si>
  <si>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</si>
  <si>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</si>
  <si>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</si>
  <si>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</si>
  <si>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</si>
  <si>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</si>
  <si>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</si>
  <si>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</si>
  <si>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</si>
  <si>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</si>
  <si>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</si>
  <si>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</si>
  <si>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</si>
  <si>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</si>
  <si>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</si>
  <si>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</si>
  <si>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</si>
  <si>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</si>
  <si>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</si>
  <si>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</si>
  <si>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</si>
  <si>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</si>
  <si>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</si>
  <si>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</si>
  <si>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</si>
  <si>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</si>
  <si>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</si>
  <si>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</si>
  <si>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</si>
  <si>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</si>
  <si>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</si>
  <si>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</si>
  <si>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</si>
  <si>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</si>
  <si>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</si>
  <si>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</si>
  <si>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</si>
  <si>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</si>
  <si>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</si>
  <si>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</si>
  <si>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</si>
  <si>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</si>
  <si>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</si>
  <si>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</si>
  <si>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</si>
  <si>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</si>
  <si>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</si>
  <si>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</si>
  <si>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</si>
  <si>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</si>
  <si>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</si>
  <si>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</si>
  <si>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</si>
  <si>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</si>
  <si>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</si>
  <si>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</si>
  <si>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</si>
  <si>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</si>
  <si>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</si>
  <si>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</si>
  <si>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</si>
  <si>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</si>
  <si>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</si>
  <si>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</si>
  <si>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</si>
  <si>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</si>
  <si>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</si>
  <si>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</si>
  <si>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</si>
  <si>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</si>
  <si>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</si>
  <si>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</si>
  <si>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</si>
  <si>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</si>
  <si>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</si>
  <si>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</si>
  <si>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</si>
  <si>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</si>
  <si>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</si>
  <si>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</si>
  <si>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</si>
  <si>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</si>
  <si>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</si>
  <si>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</si>
  <si>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</si>
  <si>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</si>
  <si>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</si>
  <si>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</si>
  <si>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</si>
  <si>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</si>
  <si>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</si>
  <si>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</si>
  <si>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</si>
  <si>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</si>
  <si>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</si>
  <si>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</si>
  <si>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</si>
  <si>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</si>
  <si>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</si>
  <si>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</si>
  <si>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</si>
  <si>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</si>
  <si>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</si>
  <si>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</si>
  <si>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</si>
  <si>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</si>
  <si>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</si>
  <si>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</si>
  <si>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</si>
  <si>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</si>
  <si>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</si>
  <si>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</si>
  <si>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</si>
  <si>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</si>
  <si>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</si>
  <si>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</si>
  <si>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</si>
  <si>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</si>
  <si>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</si>
  <si>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</si>
  <si>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</si>
  <si>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</si>
  <si>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</si>
  <si>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</si>
  <si>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</si>
  <si>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</si>
  <si>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</si>
  <si>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</si>
  <si>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</si>
  <si>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</si>
  <si>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</si>
  <si>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</si>
  <si>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</si>
  <si>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</si>
  <si>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</si>
  <si>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</si>
  <si>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</si>
  <si>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</si>
  <si>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</si>
  <si>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</si>
  <si>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</si>
  <si>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</si>
  <si>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</si>
  <si>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</si>
  <si>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</si>
  <si>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</si>
  <si>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</si>
  <si>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</si>
  <si>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</si>
  <si>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</si>
  <si>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</si>
  <si>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</si>
  <si>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</si>
  <si>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</si>
  <si>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</si>
  <si>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</si>
  <si>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</si>
  <si>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</si>
  <si>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</si>
  <si>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</si>
  <si>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</si>
  <si>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</si>
  <si>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</si>
  <si>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</si>
  <si>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</si>
  <si>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</si>
  <si>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</si>
  <si>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</si>
  <si>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</si>
  <si>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</si>
  <si>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</si>
  <si>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</si>
  <si>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</si>
  <si>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</si>
  <si>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</si>
  <si>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</si>
  <si>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</si>
  <si>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</si>
  <si>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</si>
  <si>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</si>
  <si>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</si>
  <si>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</si>
  <si>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</si>
  <si>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</si>
  <si>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</si>
  <si>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</si>
  <si>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</si>
  <si>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</si>
  <si>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</si>
  <si>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</si>
  <si>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</si>
  <si>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</si>
  <si>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</si>
  <si>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</si>
  <si>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</si>
  <si>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</si>
  <si>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</si>
  <si>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</si>
  <si>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</si>
  <si>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</si>
  <si>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</si>
  <si>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</si>
  <si>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</si>
  <si>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</si>
  <si>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</si>
  <si>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</si>
  <si>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</si>
  <si>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</si>
  <si>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</si>
  <si>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</si>
  <si>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</si>
  <si>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</si>
  <si>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</si>
  <si>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</si>
  <si>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</si>
  <si>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</si>
  <si>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</si>
  <si>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</si>
  <si>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</si>
  <si>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</si>
  <si>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</si>
  <si>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</si>
  <si>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</si>
  <si>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</si>
  <si>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</si>
  <si>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</si>
  <si>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</si>
  <si>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</si>
  <si>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</si>
  <si>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</si>
  <si>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</si>
  <si>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</si>
  <si>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</si>
  <si>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</si>
  <si>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</si>
  <si>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</si>
  <si>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</si>
  <si>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</si>
  <si>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</si>
  <si>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</si>
  <si>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</si>
  <si>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</si>
  <si>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</si>
  <si>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</si>
  <si>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</si>
  <si>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</si>
  <si>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</si>
  <si>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</si>
  <si>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</si>
  <si>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</si>
  <si>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</si>
  <si>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</si>
  <si>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</si>
  <si>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</si>
  <si>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</si>
  <si>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</si>
  <si>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</si>
  <si>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</si>
  <si>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</si>
  <si>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</si>
  <si>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</si>
  <si>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</si>
  <si>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</si>
  <si>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</si>
  <si>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</si>
  <si>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</si>
  <si>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</si>
  <si>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</si>
  <si>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</si>
  <si>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</si>
  <si>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</si>
  <si>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</si>
  <si>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</si>
  <si>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</si>
  <si>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</si>
  <si>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</si>
  <si>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</si>
  <si>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</si>
  <si>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</si>
  <si>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</si>
  <si>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</si>
  <si>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</si>
  <si>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</si>
  <si>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</si>
  <si>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</si>
  <si>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</si>
  <si>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</si>
  <si>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</si>
  <si>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</si>
  <si>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</si>
  <si>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</si>
  <si>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</si>
  <si>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</si>
  <si>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</si>
  <si>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</si>
  <si>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</si>
  <si>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</si>
  <si>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</si>
  <si>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</si>
  <si>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</si>
  <si>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</si>
  <si>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</si>
  <si>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</si>
  <si>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</si>
  <si>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</si>
  <si>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</si>
  <si>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</si>
  <si>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</si>
  <si>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</si>
  <si>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</si>
  <si>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</si>
  <si>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</si>
  <si>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</si>
  <si>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</si>
  <si>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</si>
  <si>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</si>
  <si>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</si>
  <si>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</si>
  <si>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</si>
  <si>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</si>
  <si>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</si>
  <si>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</si>
  <si>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</si>
  <si>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</si>
  <si>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</si>
  <si>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</si>
  <si>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</si>
  <si>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</si>
  <si>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</si>
  <si>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</si>
  <si>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</si>
  <si>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</si>
  <si>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</si>
  <si>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</si>
  <si>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</si>
  <si>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</si>
  <si>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</si>
  <si>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</si>
  <si>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</si>
  <si>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</si>
  <si>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</si>
  <si>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</si>
  <si>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</si>
  <si>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</si>
  <si>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</si>
  <si>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</si>
  <si>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</si>
  <si>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</si>
  <si>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</si>
  <si>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</si>
  <si>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</si>
  <si>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</si>
  <si>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</si>
  <si>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</si>
  <si>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</si>
  <si>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</si>
  <si>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</si>
  <si>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</si>
  <si>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</si>
  <si>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</si>
  <si>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</si>
  <si>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</si>
  <si>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</si>
  <si>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</si>
  <si>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</si>
  <si>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</si>
  <si>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</si>
  <si>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</si>
  <si>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</si>
  <si>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</si>
  <si>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</si>
  <si>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</si>
  <si>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</si>
  <si>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</si>
  <si>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</si>
  <si>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</si>
  <si>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</si>
  <si>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</si>
  <si>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</si>
  <si>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</si>
  <si>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</si>
  <si>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</si>
  <si>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</si>
  <si>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</si>
  <si>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</si>
  <si>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</si>
  <si>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</si>
  <si>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</si>
  <si>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</si>
  <si>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</si>
  <si>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</si>
  <si>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</si>
  <si>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</si>
  <si>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</si>
  <si>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</si>
  <si>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</si>
  <si>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</si>
  <si>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</si>
  <si>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</si>
  <si>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</si>
  <si>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</si>
  <si>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</si>
  <si>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</si>
  <si>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</si>
  <si>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</si>
  <si>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</si>
  <si>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</si>
  <si>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</si>
  <si>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</si>
  <si>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</si>
  <si>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</si>
  <si>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</si>
  <si>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</si>
  <si>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</si>
  <si>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</si>
  <si>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</si>
  <si>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</si>
  <si>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</si>
  <si>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</si>
  <si>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</si>
  <si>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</si>
  <si>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</si>
  <si>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</si>
  <si>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</si>
  <si>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</si>
  <si>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</si>
  <si>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</si>
  <si>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</si>
  <si>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</si>
  <si>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</si>
  <si>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</si>
  <si>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</si>
  <si>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</si>
  <si>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</si>
  <si>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</si>
  <si>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</si>
  <si>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</si>
  <si>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</si>
  <si>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</si>
  <si>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</si>
  <si>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</si>
  <si>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</si>
  <si>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</si>
  <si>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</si>
  <si>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</si>
  <si>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</si>
  <si>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</si>
  <si>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</si>
  <si>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</si>
  <si>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</si>
  <si>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</si>
  <si>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</si>
  <si>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</si>
  <si>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</si>
  <si>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</si>
  <si>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</si>
  <si>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</si>
  <si>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</si>
  <si>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</si>
  <si>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</si>
  <si>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</si>
  <si>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</si>
  <si>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</si>
  <si>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</si>
  <si>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</si>
  <si>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</si>
  <si>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</si>
  <si>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</si>
  <si>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</si>
  <si>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</si>
  <si>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</si>
  <si>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</si>
  <si>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</si>
  <si>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</si>
  <si>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</si>
  <si>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</si>
  <si>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</si>
  <si>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</si>
  <si>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</si>
  <si>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</si>
  <si>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</si>
  <si>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</si>
  <si>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</si>
  <si>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</si>
  <si>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</si>
  <si>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</si>
  <si>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</si>
  <si>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</si>
  <si>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</si>
  <si>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</si>
  <si>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</si>
  <si>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</si>
  <si>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</si>
  <si>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</si>
  <si>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</si>
  <si>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</si>
  <si>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</si>
  <si>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</si>
  <si>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</si>
  <si>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</si>
  <si>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</si>
  <si>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</si>
  <si>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</si>
  <si>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</si>
  <si>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</si>
  <si>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</si>
  <si>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</si>
  <si>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</si>
  <si>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</si>
  <si>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</si>
  <si>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</si>
  <si>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</si>
  <si>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</si>
  <si>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</si>
  <si>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</si>
  <si>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</si>
  <si>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</si>
  <si>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</si>
  <si>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</si>
  <si>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</si>
  <si>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</si>
  <si>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</si>
  <si>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</si>
  <si>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</si>
  <si>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</si>
  <si>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</si>
  <si>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</si>
  <si>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</si>
  <si>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</si>
  <si>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</si>
  <si>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</si>
  <si>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</si>
  <si>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</si>
  <si>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</si>
  <si>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</si>
  <si>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</si>
  <si>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</si>
  <si>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</si>
  <si>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</si>
  <si>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</si>
  <si>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</si>
  <si>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</si>
  <si>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</si>
  <si>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</si>
  <si>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</si>
  <si>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</si>
  <si>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</si>
  <si>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</si>
  <si>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</si>
  <si>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</si>
  <si>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</si>
  <si>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</si>
  <si>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</si>
  <si>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</si>
  <si>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</si>
  <si>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</si>
  <si>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</si>
  <si>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</si>
  <si>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</si>
  <si>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</si>
  <si>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</si>
  <si>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</si>
  <si>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</si>
  <si>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</si>
  <si>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</si>
  <si>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</si>
  <si>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</si>
  <si>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</si>
  <si>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</si>
  <si>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</si>
  <si>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</si>
  <si>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</si>
  <si>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</si>
  <si>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</si>
  <si>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</si>
  <si>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</si>
  <si>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</si>
  <si>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</si>
  <si>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</si>
  <si>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</si>
  <si>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</si>
  <si>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</si>
  <si>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</si>
  <si>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</si>
  <si>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</si>
  <si>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</si>
  <si>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</si>
  <si>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</si>
  <si>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</si>
  <si>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</si>
  <si>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</si>
  <si>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</si>
  <si>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</si>
  <si>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</si>
  <si>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</si>
  <si>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</si>
  <si>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</si>
  <si>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</si>
  <si>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</si>
  <si>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</si>
  <si>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</si>
  <si>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</si>
  <si>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</si>
  <si>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</si>
  <si>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</si>
  <si>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</si>
  <si>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</si>
  <si>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</si>
  <si>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</si>
  <si>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</si>
  <si>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</si>
  <si>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</si>
  <si>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</si>
  <si>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</si>
  <si>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</si>
  <si>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</si>
  <si>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</si>
  <si>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</si>
  <si>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</si>
  <si>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</si>
  <si>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</si>
  <si>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</si>
  <si>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</si>
  <si>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</si>
  <si>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</si>
  <si>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</si>
  <si>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</si>
  <si>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</si>
  <si>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</si>
  <si>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</si>
  <si>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</si>
  <si>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</si>
  <si>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</si>
  <si>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</si>
  <si>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</si>
  <si>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</si>
  <si>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</si>
  <si>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</si>
  <si>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</si>
  <si>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</si>
  <si>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</si>
  <si>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</si>
  <si>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</si>
  <si>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</si>
  <si>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</si>
  <si>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</si>
  <si>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</si>
  <si>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</si>
  <si>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</si>
  <si>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</si>
  <si>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</si>
  <si>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</si>
  <si>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</si>
  <si>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</si>
  <si>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</si>
  <si>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</si>
  <si>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</si>
  <si>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</si>
  <si>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</si>
  <si>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</si>
  <si>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</si>
  <si>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</si>
  <si>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</si>
  <si>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</si>
  <si>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</si>
  <si>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</si>
  <si>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</si>
  <si>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</si>
  <si>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</si>
  <si>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</si>
  <si>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</si>
  <si>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</si>
  <si>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</si>
  <si>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</si>
  <si>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</si>
  <si>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</si>
  <si>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</si>
  <si>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</si>
  <si>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</si>
  <si>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</si>
  <si>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</si>
  <si>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</si>
  <si>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</si>
  <si>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</si>
  <si>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</si>
  <si>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</si>
  <si>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</si>
  <si>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</si>
  <si>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</si>
  <si>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</si>
  <si>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</si>
  <si>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</si>
  <si>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</si>
  <si>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</si>
  <si>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</si>
  <si>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</si>
  <si>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</si>
  <si>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</si>
  <si>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</si>
  <si>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</si>
  <si>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</si>
  <si>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</si>
  <si>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</si>
  <si>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</si>
  <si>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</si>
  <si>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</si>
  <si>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</si>
  <si>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</si>
  <si>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</si>
  <si>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</si>
  <si>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</si>
  <si>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</si>
  <si>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</si>
  <si>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</si>
  <si>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</si>
  <si>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</si>
  <si>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</si>
  <si>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</si>
  <si>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</si>
  <si>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</si>
  <si>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</si>
  <si>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</si>
  <si>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</si>
  <si>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</si>
  <si>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</si>
  <si>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</si>
  <si>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</si>
  <si>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</si>
  <si>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</si>
  <si>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</si>
  <si>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</si>
  <si>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</si>
  <si>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</si>
  <si>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</si>
  <si>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</si>
  <si>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</si>
  <si>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</si>
  <si>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</si>
  <si>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</si>
  <si>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</si>
  <si>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</si>
  <si>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</si>
  <si>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</si>
  <si>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</si>
  <si>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</si>
  <si>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</si>
  <si>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</si>
  <si>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</si>
  <si>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</si>
  <si>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</si>
  <si>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</si>
  <si>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</si>
  <si>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</si>
  <si>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</si>
  <si>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</si>
  <si>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</si>
  <si>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</si>
  <si>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</si>
  <si>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</si>
  <si>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</si>
  <si>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</si>
  <si>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</si>
  <si>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</si>
  <si>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</si>
  <si>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</si>
  <si>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</si>
  <si>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</si>
  <si>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</si>
  <si>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</si>
  <si>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</si>
  <si>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</si>
  <si>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</si>
  <si>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</si>
  <si>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</si>
  <si>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</si>
  <si>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</si>
  <si>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</si>
  <si>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</si>
  <si>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</si>
  <si>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</si>
  <si>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</si>
  <si>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</si>
  <si>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</si>
  <si>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</si>
  <si>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</si>
  <si>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</si>
  <si>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</si>
  <si>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</si>
  <si>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</si>
  <si>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</si>
  <si>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</si>
  <si>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</si>
  <si>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</si>
  <si>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</si>
  <si>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</si>
  <si>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</si>
  <si>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</si>
  <si>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</si>
  <si>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</si>
  <si>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</si>
  <si>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</si>
  <si>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</si>
  <si>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</si>
  <si>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</si>
  <si>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</si>
  <si>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</si>
  <si>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</si>
  <si>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</si>
  <si>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</si>
  <si>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</si>
  <si>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</si>
  <si>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</si>
  <si>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</si>
  <si>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</si>
  <si>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</si>
  <si>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</si>
  <si>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</si>
  <si>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</si>
  <si>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</si>
  <si>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</si>
  <si>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</si>
  <si>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</si>
  <si>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</si>
  <si>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</si>
  <si>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</si>
  <si>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</si>
  <si>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</si>
  <si>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</si>
  <si>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</si>
  <si>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</si>
  <si>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</si>
  <si>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</si>
  <si>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</si>
  <si>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</si>
  <si>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</si>
  <si>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</si>
  <si>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</si>
  <si>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</si>
  <si>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</si>
  <si>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</si>
  <si>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</si>
  <si>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</si>
  <si>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</si>
  <si>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</si>
  <si>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</si>
  <si>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</si>
  <si>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</si>
  <si>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</si>
  <si>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</si>
  <si>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</si>
  <si>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</si>
  <si>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</si>
  <si>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</si>
  <si>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</si>
  <si>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</si>
  <si>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</si>
  <si>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</si>
  <si>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</si>
  <si>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</si>
  <si>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</si>
  <si>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</si>
  <si>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</si>
  <si>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</si>
  <si>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</si>
  <si>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</si>
  <si>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</si>
  <si>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</si>
  <si>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</si>
  <si>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</si>
  <si>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</si>
  <si>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</si>
  <si>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</si>
  <si>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</si>
  <si>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</si>
  <si>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</si>
  <si>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</si>
  <si>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</si>
  <si>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</si>
  <si>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</si>
  <si>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</si>
  <si>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</si>
  <si>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</si>
  <si>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</si>
  <si>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</si>
  <si>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</si>
  <si>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</si>
  <si>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</si>
  <si>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</si>
  <si>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</si>
  <si>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</si>
  <si>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</si>
  <si>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</si>
  <si>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</si>
  <si>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</si>
  <si>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</si>
  <si>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</si>
  <si>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</si>
  <si>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</si>
  <si>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</si>
  <si>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</si>
  <si>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</si>
  <si>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</si>
  <si>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</si>
  <si>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</si>
  <si>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</si>
  <si>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</si>
  <si>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</si>
  <si>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</si>
  <si>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</si>
  <si>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</si>
  <si>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</si>
  <si>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</si>
  <si>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</si>
  <si>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</si>
  <si>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</si>
  <si>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</si>
  <si>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</si>
  <si>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</si>
  <si>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</si>
  <si>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</si>
  <si>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</si>
  <si>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</si>
  <si>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</si>
  <si>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</si>
  <si>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</si>
  <si>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</si>
  <si>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</si>
  <si>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</si>
  <si>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</si>
  <si>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</si>
  <si>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</si>
  <si>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</si>
  <si>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</si>
  <si>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</si>
  <si>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</si>
  <si>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</si>
  <si>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</si>
  <si>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</si>
  <si>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</si>
  <si>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</si>
  <si>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</si>
  <si>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</si>
  <si>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</si>
  <si>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</si>
  <si>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</si>
  <si>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</si>
  <si>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</si>
  <si>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</si>
  <si>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</si>
  <si>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</si>
  <si>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</si>
  <si>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</si>
  <si>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</si>
  <si>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</si>
  <si>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</si>
  <si>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</si>
  <si>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</si>
  <si>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</si>
  <si>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</si>
  <si>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</si>
  <si>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</si>
  <si>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</si>
  <si>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</si>
  <si>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</si>
  <si>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</si>
  <si>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</si>
  <si>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</si>
  <si>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</si>
  <si>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</si>
  <si>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</si>
  <si>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</si>
  <si>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</si>
  <si>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</si>
  <si>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</si>
  <si>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</si>
  <si>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</si>
  <si>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</si>
  <si>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</si>
  <si>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</si>
  <si>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</si>
  <si>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</si>
  <si>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</si>
  <si>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</si>
  <si>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</si>
  <si>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</si>
  <si>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</si>
  <si>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</si>
  <si>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</si>
  <si>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</si>
  <si>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</si>
  <si>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</si>
  <si>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</si>
  <si>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</si>
  <si>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</si>
  <si>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</si>
  <si>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</si>
  <si>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</si>
  <si>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</si>
  <si>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</si>
  <si>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</si>
  <si>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</si>
  <si>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</si>
  <si>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</si>
  <si>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</si>
  <si>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</si>
  <si>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</si>
  <si>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</si>
  <si>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</si>
  <si>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</si>
  <si>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</si>
  <si>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</si>
  <si>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</si>
  <si>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</si>
  <si>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</si>
  <si>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</si>
  <si>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</si>
  <si>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</si>
  <si>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</si>
  <si>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</si>
  <si>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</si>
  <si>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</si>
  <si>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</si>
  <si>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</si>
  <si>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</si>
  <si>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</si>
  <si>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</si>
  <si>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</si>
  <si>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</si>
  <si>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</si>
  <si>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</si>
  <si>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</si>
  <si>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</si>
  <si>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</si>
  <si>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</si>
  <si>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</si>
  <si>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</si>
  <si>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</si>
  <si>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</si>
  <si>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</si>
  <si>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</si>
  <si>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</si>
  <si>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</si>
  <si>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</si>
  <si>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</si>
  <si>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</si>
  <si>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</si>
  <si>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</si>
  <si>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</si>
  <si>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</si>
  <si>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</si>
  <si>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</si>
  <si>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</si>
  <si>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</si>
  <si>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</si>
  <si>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</si>
  <si>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</si>
  <si>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</si>
  <si>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</si>
  <si>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</si>
  <si>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</si>
  <si>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</si>
  <si>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</si>
  <si>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</si>
  <si>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</si>
  <si>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</si>
  <si>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</si>
  <si>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</si>
  <si>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</si>
  <si>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</si>
  <si>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</si>
  <si>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</si>
  <si>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</si>
  <si>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</si>
  <si>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</si>
  <si>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</si>
  <si>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</si>
  <si>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</si>
  <si>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</si>
  <si>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</si>
  <si>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</si>
  <si>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</si>
  <si>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</si>
  <si>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</si>
  <si>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</si>
  <si>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</si>
  <si>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</si>
  <si>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</si>
  <si>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</si>
  <si>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</si>
  <si>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</si>
  <si>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</si>
  <si>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</si>
  <si>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</si>
  <si>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</si>
  <si>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</si>
  <si>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</si>
  <si>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</si>
  <si>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</si>
  <si>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</si>
  <si>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</si>
  <si>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</si>
  <si>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</si>
  <si>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</si>
  <si>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</si>
  <si>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</si>
  <si>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</si>
  <si>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</si>
  <si>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</si>
  <si>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</si>
  <si>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</si>
  <si>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</si>
  <si>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</si>
  <si>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</si>
  <si>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</si>
  <si>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</si>
  <si>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</si>
  <si>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</si>
  <si>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</si>
  <si>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</si>
  <si>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</si>
  <si>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</si>
  <si>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</si>
  <si>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</si>
  <si>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</si>
  <si>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</si>
  <si>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</si>
  <si>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</si>
  <si>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</si>
  <si>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</si>
  <si>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</si>
  <si>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</si>
  <si>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</si>
  <si>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</si>
  <si>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</si>
  <si>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</si>
  <si>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</si>
  <si>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</si>
  <si>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</si>
  <si>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</si>
  <si>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</si>
  <si>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</si>
  <si>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</si>
  <si>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</si>
  <si>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</si>
  <si>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</si>
  <si>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</si>
  <si>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</si>
  <si>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</si>
  <si>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</si>
  <si>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</si>
  <si>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</si>
  <si>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</si>
  <si>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</si>
  <si>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</si>
  <si>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</si>
  <si>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</si>
  <si>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</si>
  <si>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</si>
  <si>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</si>
  <si>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</si>
  <si>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</si>
  <si>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</si>
  <si>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</si>
  <si>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</si>
  <si>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</si>
  <si>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</si>
  <si>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</si>
  <si>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</si>
  <si>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</si>
  <si>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</si>
  <si>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</si>
  <si>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</si>
  <si>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</si>
  <si>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</si>
  <si>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</si>
  <si>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</si>
  <si>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</si>
  <si>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</si>
  <si>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</si>
  <si>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</si>
  <si>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</si>
  <si>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</si>
  <si>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</si>
  <si>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</si>
  <si>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</si>
  <si>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</si>
  <si>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</si>
  <si>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</si>
  <si>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</si>
  <si>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</si>
  <si>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</si>
  <si>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</si>
  <si>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</si>
  <si>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</si>
  <si>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</si>
  <si>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</si>
  <si>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</si>
  <si>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</si>
  <si>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</si>
  <si>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</si>
  <si>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</si>
  <si>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</si>
  <si>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</si>
  <si>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</si>
  <si>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</si>
  <si>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</si>
  <si>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</si>
  <si>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</si>
  <si>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</si>
  <si>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</si>
  <si>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</si>
  <si>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</si>
  <si>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</si>
  <si>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</si>
  <si>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</si>
  <si>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</si>
  <si>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</si>
  <si>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</si>
  <si>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</si>
  <si>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</si>
  <si>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</si>
  <si>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</si>
  <si>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</si>
  <si>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</si>
  <si>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</si>
  <si>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</si>
  <si>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</si>
  <si>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</si>
  <si>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</si>
  <si>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</si>
  <si>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</si>
  <si>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</si>
  <si>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</si>
  <si>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</si>
  <si>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</si>
  <si>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</si>
  <si>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</si>
  <si>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</si>
  <si>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</si>
  <si>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</si>
  <si>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</si>
  <si>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</si>
  <si>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</si>
  <si>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</si>
  <si>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</si>
  <si>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</si>
  <si>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</si>
  <si>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</si>
  <si>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</si>
  <si>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</si>
  <si>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</si>
  <si>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</si>
  <si>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</si>
  <si>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</si>
  <si>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</si>
  <si>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</si>
  <si>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</si>
  <si>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</si>
  <si>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</si>
  <si>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</si>
  <si>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</si>
  <si>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</si>
  <si>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</si>
  <si>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</si>
  <si>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</si>
  <si>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</si>
  <si>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</si>
  <si>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</si>
  <si>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</si>
  <si>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</si>
  <si>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</si>
  <si>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</si>
  <si>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</si>
  <si>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</si>
  <si>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</si>
  <si>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</si>
  <si>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</si>
  <si>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</si>
  <si>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</si>
  <si>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</si>
  <si>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</si>
  <si>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</si>
  <si>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</si>
  <si>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</si>
  <si>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</si>
  <si>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</si>
  <si>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</si>
  <si>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</si>
  <si>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</si>
  <si>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</si>
  <si>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</si>
  <si>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</si>
  <si>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</si>
  <si>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</si>
  <si>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</si>
  <si>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</si>
  <si>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</si>
  <si>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</si>
  <si>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</si>
  <si>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</si>
  <si>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</si>
  <si>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</si>
  <si>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</si>
  <si>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</si>
  <si>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</si>
  <si>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</si>
  <si>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</si>
  <si>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</si>
  <si>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</si>
  <si>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</si>
  <si>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</si>
  <si>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</si>
  <si>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</si>
  <si>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</si>
  <si>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</si>
  <si>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</si>
  <si>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</si>
  <si>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</si>
  <si>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</si>
  <si>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</si>
  <si>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</si>
  <si>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</si>
  <si>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</si>
  <si>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</si>
  <si>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</si>
  <si>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</si>
  <si>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</si>
  <si>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</si>
  <si>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</si>
  <si>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</si>
  <si>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</si>
  <si>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</si>
  <si>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</si>
  <si>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</si>
  <si>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</si>
  <si>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</si>
  <si>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</si>
  <si>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</si>
  <si>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</si>
  <si>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</si>
  <si>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</si>
  <si>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</si>
  <si>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</si>
  <si>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</si>
  <si>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</si>
  <si>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</si>
  <si>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</si>
  <si>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</si>
  <si>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</si>
  <si>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</si>
  <si>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</si>
  <si>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</si>
  <si>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</si>
  <si>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</si>
  <si>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</si>
  <si>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</si>
  <si>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</si>
  <si>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</si>
  <si>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</si>
  <si>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</si>
  <si>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</si>
  <si>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</si>
  <si>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</si>
  <si>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</si>
  <si>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</si>
  <si>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</si>
  <si>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</si>
  <si>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</si>
  <si>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</si>
  <si>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</si>
  <si>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</si>
  <si>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</si>
  <si>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</si>
  <si>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</si>
  <si>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</si>
  <si>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</si>
  <si>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</si>
  <si>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</si>
  <si>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</si>
  <si>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</si>
  <si>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</si>
  <si>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</si>
  <si>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</si>
  <si>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</si>
  <si>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</si>
  <si>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</si>
  <si>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</si>
  <si>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</si>
  <si>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</si>
  <si>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</si>
  <si>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</si>
  <si>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</si>
  <si>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</si>
  <si>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</si>
  <si>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</si>
  <si>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</si>
  <si>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</si>
  <si>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</si>
  <si>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</si>
  <si>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</si>
  <si>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</si>
  <si>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</si>
  <si>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</si>
  <si>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</si>
  <si>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</si>
  <si>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</si>
  <si>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</si>
  <si>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</si>
  <si>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</si>
  <si>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</si>
  <si>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</si>
  <si>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</si>
  <si>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</si>
  <si>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</si>
  <si>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</si>
  <si>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</si>
  <si>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</si>
  <si>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</si>
  <si>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</si>
  <si>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</si>
  <si>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</si>
  <si>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</si>
  <si>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</si>
  <si>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</si>
  <si>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</si>
  <si>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</si>
  <si>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</si>
  <si>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</si>
  <si>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</si>
  <si>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</si>
  <si>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</si>
  <si>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Pehlman and Dold, P.C.</t>
  </si>
  <si>
    <t>100 North Amos Avenue</t>
  </si>
  <si>
    <t>Springfield</t>
  </si>
  <si>
    <t>IL</t>
  </si>
  <si>
    <t>(217) 787-0563</t>
  </si>
  <si>
    <t>(217) 787-9266</t>
  </si>
  <si>
    <t>060-004845</t>
  </si>
  <si>
    <t>X</t>
  </si>
  <si>
    <t>147 Palmer Street</t>
  </si>
  <si>
    <t>Greenview</t>
  </si>
  <si>
    <t>Ryan Heavner, Superintendent</t>
  </si>
  <si>
    <t>rheavner@greenviewschools.org</t>
  </si>
  <si>
    <t>(217) 968-2296</t>
  </si>
  <si>
    <t>(217) 968-2297</t>
  </si>
  <si>
    <t>dfitzgerald@p-dcpas.com</t>
  </si>
  <si>
    <t>Part C, Box 23 - Other than cash basis, the Auditor Report is qualified due to the District not maintaining a formal record system to track fixed assets accounted for in the General Fixed Asset Account Group.</t>
  </si>
  <si>
    <t>No contracts over $25,000 noted by client</t>
  </si>
  <si>
    <t>Prairie State Insurance Cooperative</t>
  </si>
  <si>
    <t>Sangamon Area Special Education District</t>
  </si>
  <si>
    <t>Lincoln Land Technical Education Center</t>
  </si>
  <si>
    <t>Education Fund - Acct 1690 - Lunch card replacement fees</t>
  </si>
  <si>
    <t>Education Fund - Acct 1999 - Box Tops $259, Misc Refunds &amp; Reimbursements $1,832</t>
  </si>
  <si>
    <t>Operations &amp; Maintenance Fund - Acct 1999 - Misc Refunds &amp; Reimbursements</t>
  </si>
  <si>
    <t>Education Fund - Acct 4190, Object 300 - Lincoln Prairie BHC Tutoring $700, Tuition to Salt Creek Academy $4,000</t>
  </si>
  <si>
    <t>Error #13 - The client noted no contracts over $25,000.</t>
  </si>
  <si>
    <t xml:space="preserve">Education Fund - Acct 4090 - Rural Education Achievement Program </t>
  </si>
  <si>
    <t xml:space="preserve">Menard                       </t>
  </si>
  <si>
    <t>Dorinda L Fitzgerald</t>
  </si>
  <si>
    <t>PDF in Opinion Page with Signature</t>
  </si>
  <si>
    <t>Greenview CUSD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</si>
</sst>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229465</xdr:colOff>
          <xdr:row>2</xdr:row>
          <xdr:rowOff>103910</xdr:rowOff>
        </xdr:from>
        <xdr:to>
          <xdr:col>1</xdr:col>
          <xdr:colOff>1143865</xdr:colOff>
          <xdr:row>6</xdr:row>
          <xdr:rowOff>142010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3" t="s">
        <v>405</v>
      </c>
      <c r="J1" s="2014"/>
      <c r="K1" s="2014"/>
      <c r="L1" s="2014"/>
      <c r="M1" s="2014"/>
      <c r="N1" s="2014"/>
      <c r="O1" s="2014"/>
      <c r="P1" s="2014"/>
      <c r="Q1" s="2014"/>
      <c r="R1" s="2014"/>
      <c r="S1" s="2014"/>
    </row>
    <row r="2" spans="1:28" ht="12" customHeight="1" x14ac:dyDescent="0.2">
      <c r="A2" s="47" t="s">
        <v>1993</v>
      </c>
      <c r="D2" s="48"/>
      <c r="I2" s="2015" t="s">
        <v>979</v>
      </c>
      <c r="J2" s="2014"/>
      <c r="K2" s="2014"/>
      <c r="L2" s="2014"/>
      <c r="M2" s="2014"/>
      <c r="N2" s="2014"/>
      <c r="O2" s="2014"/>
      <c r="P2" s="2014"/>
      <c r="Q2" s="2014"/>
      <c r="R2" s="2014"/>
      <c r="S2" s="2014"/>
    </row>
    <row r="3" spans="1:28" ht="12" customHeight="1" x14ac:dyDescent="0.2">
      <c r="A3" s="155" t="s">
        <v>1945</v>
      </c>
      <c r="B3" s="156"/>
      <c r="C3" s="156"/>
      <c r="D3" s="157"/>
      <c r="I3" s="2015" t="s">
        <v>52</v>
      </c>
      <c r="J3" s="2014"/>
      <c r="K3" s="2014"/>
      <c r="L3" s="2014"/>
      <c r="M3" s="2014"/>
      <c r="N3" s="2014"/>
      <c r="O3" s="2014"/>
      <c r="P3" s="2014"/>
      <c r="Q3" s="2014"/>
      <c r="R3" s="2014"/>
      <c r="S3" s="2014"/>
    </row>
    <row r="4" spans="1:28" ht="12" customHeight="1" x14ac:dyDescent="0.2">
      <c r="A4" s="37"/>
      <c r="I4" s="2015" t="s">
        <v>524</v>
      </c>
      <c r="J4" s="2014"/>
      <c r="K4" s="2014"/>
      <c r="L4" s="2014"/>
      <c r="M4" s="2014"/>
      <c r="N4" s="2014"/>
      <c r="O4" s="2014"/>
      <c r="P4" s="2014"/>
      <c r="Q4" s="2014"/>
      <c r="R4" s="2014"/>
      <c r="S4" s="2014"/>
    </row>
    <row r="5" spans="1:28" ht="14.1" customHeight="1" x14ac:dyDescent="0.2">
      <c r="B5" s="104" t="s">
        <v>2071</v>
      </c>
      <c r="C5" s="26" t="s">
        <v>910</v>
      </c>
      <c r="D5" s="84"/>
      <c r="E5" s="84"/>
      <c r="H5" s="38"/>
      <c r="I5" s="2022" t="s">
        <v>680</v>
      </c>
      <c r="J5" s="1967"/>
      <c r="K5" s="1967"/>
      <c r="L5" s="1967"/>
      <c r="M5" s="1967"/>
      <c r="N5" s="1967"/>
      <c r="O5" s="1967"/>
      <c r="P5" s="1967"/>
      <c r="Q5" s="1967"/>
      <c r="R5" s="1967"/>
      <c r="S5" s="1967"/>
    </row>
    <row r="6" spans="1:28" ht="14.1" customHeight="1" x14ac:dyDescent="0.2">
      <c r="B6" s="104"/>
      <c r="C6" s="26" t="s">
        <v>911</v>
      </c>
      <c r="D6" s="84"/>
      <c r="E6" s="84"/>
      <c r="I6" s="2021" t="s">
        <v>883</v>
      </c>
      <c r="J6" s="1967"/>
      <c r="K6" s="1967"/>
      <c r="L6" s="1967"/>
      <c r="M6" s="1967"/>
      <c r="N6" s="1967"/>
      <c r="O6" s="1967"/>
      <c r="P6" s="1967"/>
      <c r="Q6" s="1967"/>
      <c r="R6" s="1967"/>
      <c r="S6" s="1967"/>
    </row>
    <row r="7" spans="1:28" ht="12.2" customHeight="1" x14ac:dyDescent="0.2">
      <c r="I7" s="2016">
        <v>43646</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674</v>
      </c>
      <c r="J9" s="2019"/>
      <c r="K9" s="2019"/>
      <c r="L9" s="2019"/>
      <c r="M9" s="2019"/>
      <c r="N9" s="2019"/>
      <c r="O9" s="2019"/>
      <c r="P9" s="2019"/>
      <c r="Q9" s="2019"/>
      <c r="R9" s="2019"/>
      <c r="S9" s="2020"/>
      <c r="T9" s="1963" t="s">
        <v>533</v>
      </c>
      <c r="U9" s="1964"/>
      <c r="V9" s="1964"/>
      <c r="W9" s="1964"/>
      <c r="X9" s="1964"/>
      <c r="Y9" s="1964"/>
      <c r="Z9" s="1964"/>
      <c r="AA9" s="1965"/>
    </row>
    <row r="10" spans="1:28" ht="13.5" customHeight="1" x14ac:dyDescent="0.2">
      <c r="A10" s="1972" t="s">
        <v>675</v>
      </c>
      <c r="B10" s="1973"/>
      <c r="C10" s="1973"/>
      <c r="D10" s="1973"/>
      <c r="E10" s="1973"/>
      <c r="F10" s="1973"/>
      <c r="G10" s="1973"/>
      <c r="H10" s="1974"/>
      <c r="I10" s="29"/>
      <c r="J10" s="30"/>
      <c r="K10" s="28"/>
      <c r="R10" s="30"/>
      <c r="S10" s="30"/>
      <c r="T10" s="1966"/>
      <c r="U10" s="1967"/>
      <c r="V10" s="1967"/>
      <c r="W10" s="1967"/>
      <c r="X10" s="1967"/>
      <c r="Y10" s="1967"/>
      <c r="Z10" s="1967"/>
      <c r="AA10" s="1968"/>
    </row>
    <row r="11" spans="1:28" ht="14.25" customHeight="1" x14ac:dyDescent="0.2">
      <c r="A11" s="1975" t="s">
        <v>955</v>
      </c>
      <c r="B11" s="1976"/>
      <c r="C11" s="1976"/>
      <c r="D11" s="1976"/>
      <c r="E11" s="1976"/>
      <c r="F11" s="1976"/>
      <c r="G11" s="1976"/>
      <c r="H11" s="1977"/>
      <c r="I11" s="27"/>
      <c r="J11" s="74"/>
      <c r="K11" s="27"/>
      <c r="O11" s="148" t="s">
        <v>2071</v>
      </c>
      <c r="P11" s="100" t="s">
        <v>201</v>
      </c>
      <c r="Q11" s="30"/>
      <c r="R11" s="28"/>
      <c r="S11" s="27"/>
      <c r="T11" s="1969"/>
      <c r="U11" s="1970"/>
      <c r="V11" s="1970"/>
      <c r="W11" s="1970"/>
      <c r="X11" s="1970"/>
      <c r="Y11" s="1970"/>
      <c r="Z11" s="1970"/>
      <c r="AA11" s="197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3">
        <v>51065200026</v>
      </c>
      <c r="B13" s="1984"/>
      <c r="C13" s="1984"/>
      <c r="D13" s="1984"/>
      <c r="E13" s="1984"/>
      <c r="F13" s="1984"/>
      <c r="G13" s="1984"/>
      <c r="H13" s="1985"/>
      <c r="I13" s="31"/>
      <c r="J13" s="30"/>
      <c r="K13" s="28"/>
      <c r="L13" s="30"/>
      <c r="M13" s="30"/>
      <c r="N13" s="30"/>
      <c r="O13" s="30"/>
      <c r="P13" s="30"/>
      <c r="Q13" s="30"/>
      <c r="R13" s="30"/>
      <c r="S13" s="30"/>
      <c r="T13" s="1988" t="s">
        <v>2064</v>
      </c>
      <c r="U13" s="1989"/>
      <c r="V13" s="1989"/>
      <c r="W13" s="1989"/>
      <c r="X13" s="1989"/>
      <c r="Y13" s="1990"/>
      <c r="Z13" s="1990"/>
      <c r="AA13" s="199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1" t="s">
        <v>2090</v>
      </c>
      <c r="B15" s="1986"/>
      <c r="C15" s="1986"/>
      <c r="D15" s="1986"/>
      <c r="E15" s="1986"/>
      <c r="F15" s="1986"/>
      <c r="G15" s="1986"/>
      <c r="H15" s="1987"/>
      <c r="T15" s="1949" t="s">
        <v>2091</v>
      </c>
      <c r="U15" s="1950"/>
      <c r="V15" s="1950"/>
      <c r="W15" s="1950"/>
      <c r="X15" s="1950"/>
      <c r="Y15" s="1992"/>
      <c r="Z15" s="1992"/>
      <c r="AA15" s="199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1" t="s">
        <v>2093</v>
      </c>
      <c r="B17" s="2011"/>
      <c r="C17" s="2011"/>
      <c r="D17" s="2011"/>
      <c r="E17" s="2011"/>
      <c r="F17" s="2011"/>
      <c r="G17" s="2011"/>
      <c r="H17" s="2012"/>
      <c r="T17" s="1998" t="s">
        <v>2065</v>
      </c>
      <c r="U17" s="1999"/>
      <c r="V17" s="1999"/>
      <c r="W17" s="1999"/>
      <c r="X17" s="1999"/>
      <c r="Y17" s="1999"/>
      <c r="Z17" s="1999"/>
      <c r="AA17" s="2000"/>
    </row>
    <row r="18" spans="1:27" ht="13.5" customHeight="1" x14ac:dyDescent="0.2">
      <c r="A18" s="85" t="s">
        <v>530</v>
      </c>
      <c r="B18" s="76"/>
      <c r="C18" s="72"/>
      <c r="D18" s="76"/>
      <c r="E18" s="76"/>
      <c r="F18" s="76"/>
      <c r="G18" s="76"/>
      <c r="H18" s="56"/>
      <c r="I18" s="2008" t="s">
        <v>676</v>
      </c>
      <c r="J18" s="2009"/>
      <c r="K18" s="2009"/>
      <c r="L18" s="2009"/>
      <c r="M18" s="2009"/>
      <c r="N18" s="2009"/>
      <c r="O18" s="2009"/>
      <c r="P18" s="2009"/>
      <c r="Q18" s="2009"/>
      <c r="R18" s="2009"/>
      <c r="S18" s="2010"/>
      <c r="T18" s="85" t="s">
        <v>711</v>
      </c>
      <c r="U18" s="51"/>
      <c r="V18" s="72"/>
      <c r="W18" s="50"/>
      <c r="X18" s="85" t="s">
        <v>266</v>
      </c>
      <c r="Y18" s="81"/>
      <c r="Z18" s="159" t="s">
        <v>677</v>
      </c>
      <c r="AA18" s="46"/>
    </row>
    <row r="19" spans="1:27" ht="13.5" customHeight="1" x14ac:dyDescent="0.2">
      <c r="A19" s="1981" t="s">
        <v>2072</v>
      </c>
      <c r="B19" s="1982"/>
      <c r="C19" s="1982"/>
      <c r="D19" s="1982"/>
      <c r="E19" s="1982"/>
      <c r="F19" s="1982"/>
      <c r="G19" s="1982"/>
      <c r="H19" s="1980"/>
      <c r="I19" s="30"/>
      <c r="J19" s="99"/>
      <c r="K19" s="40"/>
      <c r="L19" s="38"/>
      <c r="M19" s="112" t="s">
        <v>315</v>
      </c>
      <c r="P19" s="27"/>
      <c r="Q19" s="27"/>
      <c r="R19" s="27"/>
      <c r="S19" s="31"/>
      <c r="T19" s="1981" t="s">
        <v>2066</v>
      </c>
      <c r="U19" s="1979"/>
      <c r="V19" s="1979"/>
      <c r="W19" s="1980"/>
      <c r="X19" s="1996" t="s">
        <v>2067</v>
      </c>
      <c r="Y19" s="1997"/>
      <c r="Z19" s="1994">
        <v>62702</v>
      </c>
      <c r="AA19" s="199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8" t="s">
        <v>2073</v>
      </c>
      <c r="B21" s="1979"/>
      <c r="C21" s="1979"/>
      <c r="D21" s="1979"/>
      <c r="E21" s="1979"/>
      <c r="F21" s="1979"/>
      <c r="G21" s="1979"/>
      <c r="H21" s="1980"/>
      <c r="I21" s="2004" t="s">
        <v>678</v>
      </c>
      <c r="J21" s="1967"/>
      <c r="K21" s="1967"/>
      <c r="L21" s="1967"/>
      <c r="M21" s="1967"/>
      <c r="N21" s="1967"/>
      <c r="O21" s="1967"/>
      <c r="P21" s="1967"/>
      <c r="Q21" s="1967"/>
      <c r="R21" s="1967"/>
      <c r="S21" s="1968"/>
      <c r="T21" s="1946" t="s">
        <v>2068</v>
      </c>
      <c r="U21" s="1947"/>
      <c r="V21" s="1947"/>
      <c r="W21" s="1947"/>
      <c r="X21" s="1960" t="s">
        <v>2069</v>
      </c>
      <c r="Y21" s="1961"/>
      <c r="Z21" s="1961"/>
      <c r="AA21" s="1962"/>
    </row>
    <row r="22" spans="1:27" ht="13.5" customHeight="1" x14ac:dyDescent="0.2">
      <c r="A22" s="87" t="s">
        <v>531</v>
      </c>
      <c r="B22" s="59"/>
      <c r="C22" s="59"/>
      <c r="D22" s="59"/>
      <c r="E22" s="59"/>
      <c r="F22" s="59"/>
      <c r="G22" s="59"/>
      <c r="H22" s="60"/>
      <c r="I22" s="2005" t="s">
        <v>1429</v>
      </c>
      <c r="J22" s="2006"/>
      <c r="K22" s="2006"/>
      <c r="L22" s="2006"/>
      <c r="M22" s="2006"/>
      <c r="N22" s="2006"/>
      <c r="O22" s="2006"/>
      <c r="P22" s="2006"/>
      <c r="Q22" s="2006"/>
      <c r="R22" s="2006"/>
      <c r="S22" s="2007"/>
      <c r="T22" s="85" t="s">
        <v>1516</v>
      </c>
      <c r="U22" s="51"/>
      <c r="V22" s="72"/>
      <c r="W22" s="51"/>
      <c r="X22" s="160" t="s">
        <v>1318</v>
      </c>
      <c r="Z22" s="45"/>
      <c r="AA22" s="46"/>
    </row>
    <row r="23" spans="1:27" ht="13.5" customHeight="1" x14ac:dyDescent="0.2">
      <c r="A23" s="2001"/>
      <c r="B23" s="2002"/>
      <c r="C23" s="2002"/>
      <c r="D23" s="2002"/>
      <c r="E23" s="2002"/>
      <c r="F23" s="2002"/>
      <c r="G23" s="2002"/>
      <c r="H23" s="2003"/>
      <c r="T23" s="1941" t="s">
        <v>2070</v>
      </c>
      <c r="U23" s="1942"/>
      <c r="V23" s="1942"/>
      <c r="W23" s="1942"/>
      <c r="X23" s="1957">
        <v>43831</v>
      </c>
      <c r="Y23" s="1958"/>
      <c r="Z23" s="1958"/>
      <c r="AA23" s="1959"/>
    </row>
    <row r="24" spans="1:27" ht="14.1" customHeight="1" x14ac:dyDescent="0.2">
      <c r="A24" s="88" t="s">
        <v>677</v>
      </c>
      <c r="B24" s="49"/>
      <c r="C24" s="49"/>
      <c r="D24" s="49"/>
      <c r="E24" s="49"/>
      <c r="F24" s="49"/>
      <c r="G24" s="49"/>
      <c r="H24" s="61"/>
      <c r="J24" s="2043">
        <f>IF(B5="x",IF(AUDITCHECK!D29="AFR form Incomplete.","",IF(AUDITCHECK!D29="Deficit reduction plan is required.","School District must complete a deficit reduction plan in the 2019-2020 Budget",)),"")</f>
        <v>0</v>
      </c>
      <c r="K24" s="2043"/>
      <c r="L24" s="2043"/>
      <c r="M24" s="2043"/>
      <c r="N24" s="2043"/>
      <c r="O24" s="2043"/>
      <c r="P24" s="2043"/>
      <c r="Q24" s="2043"/>
      <c r="R24" s="2043"/>
      <c r="S24" s="2044"/>
      <c r="T24" s="105" t="s">
        <v>531</v>
      </c>
      <c r="U24" s="106"/>
      <c r="V24" s="106"/>
      <c r="W24" s="106"/>
      <c r="X24" s="107"/>
      <c r="Y24" s="107"/>
      <c r="Z24" s="107"/>
      <c r="AA24" s="108"/>
    </row>
    <row r="25" spans="1:27" ht="14.1" customHeight="1" x14ac:dyDescent="0.2">
      <c r="A25" s="1978">
        <v>62642</v>
      </c>
      <c r="B25" s="1979"/>
      <c r="C25" s="1979"/>
      <c r="D25" s="1979"/>
      <c r="E25" s="1979"/>
      <c r="F25" s="1979"/>
      <c r="G25" s="1979"/>
      <c r="H25" s="1980"/>
      <c r="I25" s="113"/>
      <c r="J25" s="2045"/>
      <c r="K25" s="2045"/>
      <c r="L25" s="2045"/>
      <c r="M25" s="2045"/>
      <c r="N25" s="2045"/>
      <c r="O25" s="2045"/>
      <c r="P25" s="2045"/>
      <c r="Q25" s="2045"/>
      <c r="R25" s="2045"/>
      <c r="S25" s="2046"/>
      <c r="T25" s="1938" t="s">
        <v>2078</v>
      </c>
      <c r="U25" s="1939"/>
      <c r="V25" s="1939"/>
      <c r="W25" s="1939"/>
      <c r="X25" s="1939"/>
      <c r="Y25" s="1939"/>
      <c r="Z25" s="1939"/>
      <c r="AA25" s="19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6" t="s">
        <v>1511</v>
      </c>
      <c r="J27" s="2009"/>
      <c r="K27" s="2009"/>
      <c r="L27" s="2009"/>
      <c r="M27" s="2009"/>
      <c r="N27" s="2009"/>
      <c r="O27" s="2009"/>
      <c r="P27" s="2009"/>
      <c r="Q27" s="2009"/>
      <c r="R27" s="2009"/>
      <c r="S27" s="201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2071</v>
      </c>
      <c r="C29" s="124" t="s">
        <v>820</v>
      </c>
      <c r="D29" s="114"/>
      <c r="E29" s="136"/>
      <c r="F29" s="141" t="s">
        <v>1316</v>
      </c>
      <c r="G29" s="114"/>
      <c r="I29" s="54"/>
      <c r="J29" s="102"/>
      <c r="K29" s="28" t="s">
        <v>576</v>
      </c>
      <c r="L29" s="148" t="s">
        <v>2071</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2"/>
      <c r="Q35" s="1979"/>
      <c r="R35" s="197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1" t="s">
        <v>2074</v>
      </c>
      <c r="B38" s="2011"/>
      <c r="C38" s="2011"/>
      <c r="D38" s="2011"/>
      <c r="E38" s="2011"/>
      <c r="F38" s="1979"/>
      <c r="G38" s="1979"/>
      <c r="H38" s="1980"/>
      <c r="I38" s="2030"/>
      <c r="J38" s="1950"/>
      <c r="K38" s="1950"/>
      <c r="L38" s="1950"/>
      <c r="M38" s="1950"/>
      <c r="N38" s="1950"/>
      <c r="O38" s="1950"/>
      <c r="P38" s="1951"/>
      <c r="Q38" s="1951"/>
      <c r="R38" s="1951"/>
      <c r="S38" s="1952"/>
      <c r="T38" s="1949"/>
      <c r="U38" s="1950"/>
      <c r="V38" s="1950"/>
      <c r="W38" s="1950"/>
      <c r="X38" s="1951"/>
      <c r="Y38" s="1951"/>
      <c r="Z38" s="1951"/>
      <c r="AA38" s="1952"/>
    </row>
    <row r="39" spans="1:27" ht="12" customHeight="1" x14ac:dyDescent="0.2">
      <c r="A39" s="2034" t="s">
        <v>531</v>
      </c>
      <c r="B39" s="2035"/>
      <c r="C39" s="72"/>
      <c r="D39" s="69"/>
      <c r="E39" s="69"/>
      <c r="F39" s="79"/>
      <c r="G39" s="69"/>
      <c r="H39" s="56"/>
      <c r="I39" s="2034" t="s">
        <v>531</v>
      </c>
      <c r="J39" s="2035"/>
      <c r="K39" s="2035"/>
      <c r="L39" s="2035"/>
      <c r="M39" s="2035"/>
      <c r="N39" s="67"/>
      <c r="O39" s="72"/>
      <c r="P39" s="72"/>
      <c r="Q39" s="78"/>
      <c r="R39" s="72"/>
      <c r="S39" s="56"/>
      <c r="T39" s="72" t="s">
        <v>531</v>
      </c>
      <c r="U39" s="51"/>
      <c r="V39" s="72"/>
      <c r="W39" s="50"/>
      <c r="X39" s="78"/>
      <c r="Y39" s="45"/>
      <c r="Z39" s="45"/>
      <c r="AA39" s="46"/>
    </row>
    <row r="40" spans="1:27" ht="13.5" customHeight="1" x14ac:dyDescent="0.2">
      <c r="A40" s="2037" t="s">
        <v>2075</v>
      </c>
      <c r="B40" s="2038"/>
      <c r="C40" s="2039"/>
      <c r="D40" s="2039"/>
      <c r="E40" s="2039"/>
      <c r="F40" s="2040"/>
      <c r="G40" s="2040"/>
      <c r="H40" s="2041"/>
      <c r="I40" s="1953"/>
      <c r="J40" s="1955"/>
      <c r="K40" s="1955"/>
      <c r="L40" s="1955"/>
      <c r="M40" s="1955"/>
      <c r="N40" s="1955"/>
      <c r="O40" s="1955"/>
      <c r="P40" s="1955"/>
      <c r="Q40" s="1955"/>
      <c r="R40" s="1955"/>
      <c r="S40" s="1956"/>
      <c r="T40" s="1953"/>
      <c r="U40" s="1954"/>
      <c r="V40" s="1955"/>
      <c r="W40" s="1955"/>
      <c r="X40" s="1955"/>
      <c r="Y40" s="1955"/>
      <c r="Z40" s="1955"/>
      <c r="AA40" s="195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7" t="s">
        <v>2076</v>
      </c>
      <c r="B42" s="2028"/>
      <c r="C42" s="2029"/>
      <c r="D42" s="2042" t="s">
        <v>2077</v>
      </c>
      <c r="E42" s="2028"/>
      <c r="F42" s="2028"/>
      <c r="G42" s="2028"/>
      <c r="H42" s="2029"/>
      <c r="I42" s="1948"/>
      <c r="J42" s="1944"/>
      <c r="K42" s="1944"/>
      <c r="L42" s="1944"/>
      <c r="M42" s="1944"/>
      <c r="N42" s="1944"/>
      <c r="O42" s="1945"/>
      <c r="P42" s="1943"/>
      <c r="Q42" s="1944"/>
      <c r="R42" s="1944"/>
      <c r="S42" s="1945"/>
      <c r="T42" s="1948"/>
      <c r="U42" s="1944"/>
      <c r="V42" s="1944"/>
      <c r="W42" s="1945"/>
      <c r="X42" s="1943"/>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1"/>
      <c r="B44" s="2032"/>
      <c r="C44" s="2032"/>
      <c r="D44" s="2032"/>
      <c r="E44" s="2032"/>
      <c r="F44" s="2032"/>
      <c r="G44" s="2032"/>
      <c r="H44" s="2033"/>
      <c r="I44" s="2023"/>
      <c r="J44" s="2025"/>
      <c r="K44" s="2025"/>
      <c r="L44" s="2025"/>
      <c r="M44" s="2025"/>
      <c r="N44" s="2025"/>
      <c r="O44" s="2025"/>
      <c r="P44" s="2025"/>
      <c r="Q44" s="2025"/>
      <c r="R44" s="2025"/>
      <c r="S44" s="2026"/>
      <c r="T44" s="2023"/>
      <c r="U44" s="2024"/>
      <c r="V44" s="2024"/>
      <c r="W44" s="2024"/>
      <c r="X44" s="2024"/>
      <c r="Y44" s="2024"/>
      <c r="Z44" s="2025"/>
      <c r="AA44" s="202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T16" sqref="T1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A2" sqref="A2:J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2071</v>
      </c>
      <c r="C53" s="179">
        <v>22</v>
      </c>
      <c r="D53" s="247" t="s">
        <v>1462</v>
      </c>
      <c r="E53" s="248"/>
      <c r="F53" s="249"/>
      <c r="G53" s="249" t="s">
        <v>1461</v>
      </c>
      <c r="H53" s="250">
        <v>35431</v>
      </c>
      <c r="I53" s="237" t="s">
        <v>1483</v>
      </c>
    </row>
    <row r="54" spans="1:10" s="181" customFormat="1" x14ac:dyDescent="0.2">
      <c r="A54" s="219"/>
      <c r="B54" s="220" t="s">
        <v>2071</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t="s">
        <v>2079</v>
      </c>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2064</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t="s">
        <v>2092</v>
      </c>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T16" sqref="T1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44752641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3.3127999999999998E-2</v>
      </c>
      <c r="E10" s="356" t="s">
        <v>1005</v>
      </c>
      <c r="F10" s="355">
        <v>5.4580000000000002E-3</v>
      </c>
      <c r="G10" s="356" t="s">
        <v>1005</v>
      </c>
      <c r="H10" s="355">
        <v>2.6280000000000001E-3</v>
      </c>
      <c r="I10" s="356" t="s">
        <v>1006</v>
      </c>
      <c r="J10" s="1732">
        <f>ROUND(D10+F10+H10,5)</f>
        <v>4.1209999999999997E-2</v>
      </c>
      <c r="K10" s="222"/>
      <c r="L10" s="355">
        <v>2.9399999999999999E-4</v>
      </c>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2855593</v>
      </c>
      <c r="E16" s="356"/>
      <c r="F16" s="1733">
        <f>SUM('Acct Summary 7-8'!C17,'Acct Summary 7-8'!D17,'Acct Summary 7-8'!F17)</f>
        <v>3127685</v>
      </c>
      <c r="G16" s="356"/>
      <c r="H16" s="1733">
        <f>SUM(D16-F16)</f>
        <v>-272092</v>
      </c>
      <c r="I16" s="222"/>
      <c r="J16" s="1733">
        <f>SUM('Acct Summary 7-8'!C81,'Acct Summary 7-8'!D81,'Acct Summary 7-8'!F81,'Acct Summary 7-8'!I81)</f>
        <v>2464069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6175864.4580000006</v>
      </c>
      <c r="I31" s="368"/>
      <c r="J31" s="222"/>
      <c r="K31" s="222"/>
      <c r="L31" s="222"/>
      <c r="M31" s="222"/>
    </row>
    <row r="32" spans="1:13" ht="13.35" customHeight="1" x14ac:dyDescent="0.2">
      <c r="B32" s="369" t="s">
        <v>2071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T16" sqref="T1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Greenview CUSD 200</v>
      </c>
      <c r="E7" s="391"/>
      <c r="G7" s="252"/>
      <c r="H7" s="387"/>
      <c r="I7" s="387"/>
      <c r="J7" s="387"/>
      <c r="K7" s="387"/>
      <c r="L7" s="329"/>
      <c r="M7" s="329"/>
      <c r="N7" s="329"/>
      <c r="O7" s="329"/>
      <c r="P7" s="329"/>
    </row>
    <row r="8" spans="1:18" ht="12.75" x14ac:dyDescent="0.2">
      <c r="A8" s="329"/>
      <c r="B8" s="329"/>
      <c r="C8" s="389" t="s">
        <v>1125</v>
      </c>
      <c r="D8" s="392">
        <f>COVER!A13</f>
        <v>51065200026</v>
      </c>
      <c r="E8" s="393"/>
      <c r="G8" s="329"/>
      <c r="H8" s="329"/>
      <c r="I8" s="329"/>
      <c r="J8" s="329"/>
      <c r="K8" s="329"/>
      <c r="L8" s="329"/>
      <c r="M8" s="329"/>
      <c r="N8" s="329"/>
      <c r="O8" s="329"/>
      <c r="P8" s="329"/>
    </row>
    <row r="9" spans="1:18" ht="12.75" x14ac:dyDescent="0.2">
      <c r="A9" s="329"/>
      <c r="B9" s="329"/>
      <c r="C9" s="389" t="s">
        <v>713</v>
      </c>
      <c r="D9" s="394" t="str">
        <f>COVER!A15</f>
        <v xml:space="preserve">Menard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2464069</v>
      </c>
      <c r="I12" s="404"/>
      <c r="J12" s="404"/>
      <c r="K12" s="405">
        <f>TRUNC((H12/H13*100000),5)/100000</f>
        <v>0.86289222580000002</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2855593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3127685</v>
      </c>
      <c r="I17" s="404"/>
      <c r="J17" s="416"/>
      <c r="K17" s="405">
        <f>TRUNC((H17/H18*100000),5)/100000</f>
        <v>1.0952838867000001</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2855593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8.0065187000000009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2466345</v>
      </c>
      <c r="I24" s="422"/>
      <c r="J24" s="422"/>
      <c r="K24" s="423">
        <f>TRUNC(((H24/H25*100000)/100000),2)</f>
        <v>283.87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8688.0138900000002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1567617.88527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6175864.4580000006</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1" activePane="bottomLeft" state="frozen"/>
      <selection activeCell="T16" sqref="T16"/>
      <selection pane="bottomLeft" activeCell="T16" sqref="T1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9"/>
      <c r="D3" s="1560"/>
      <c r="E3" s="1560"/>
      <c r="F3" s="1560"/>
      <c r="G3" s="1560"/>
      <c r="H3" s="1560"/>
      <c r="I3" s="1560"/>
      <c r="J3" s="1560"/>
      <c r="K3" s="1560"/>
      <c r="L3" s="1560"/>
      <c r="M3" s="1561"/>
      <c r="N3" s="1562"/>
    </row>
    <row r="4" spans="1:14" ht="13.5" customHeight="1" x14ac:dyDescent="0.2">
      <c r="A4" s="463" t="s">
        <v>1651</v>
      </c>
      <c r="B4" s="464"/>
      <c r="C4" s="465">
        <v>1047239</v>
      </c>
      <c r="D4" s="466">
        <v>89896</v>
      </c>
      <c r="E4" s="466"/>
      <c r="F4" s="466">
        <v>331973</v>
      </c>
      <c r="G4" s="466">
        <v>10577</v>
      </c>
      <c r="H4" s="466"/>
      <c r="I4" s="466">
        <v>14876</v>
      </c>
      <c r="J4" s="467"/>
      <c r="K4" s="466"/>
      <c r="L4" s="466">
        <v>43872</v>
      </c>
      <c r="M4" s="468"/>
      <c r="N4" s="469"/>
    </row>
    <row r="5" spans="1:14" x14ac:dyDescent="0.2">
      <c r="A5" s="463" t="s">
        <v>992</v>
      </c>
      <c r="B5" s="470">
        <v>120</v>
      </c>
      <c r="C5" s="465">
        <v>398124</v>
      </c>
      <c r="D5" s="466">
        <v>158704</v>
      </c>
      <c r="E5" s="466"/>
      <c r="F5" s="466">
        <v>260760</v>
      </c>
      <c r="G5" s="466">
        <v>151</v>
      </c>
      <c r="H5" s="466"/>
      <c r="I5" s="466">
        <v>164773</v>
      </c>
      <c r="J5" s="467"/>
      <c r="K5" s="471">
        <v>551</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1445363</v>
      </c>
      <c r="D13" s="1737">
        <f t="shared" ref="D13:L13" si="0">SUM(D4:D12)</f>
        <v>248600</v>
      </c>
      <c r="E13" s="1737">
        <f t="shared" si="0"/>
        <v>0</v>
      </c>
      <c r="F13" s="1737">
        <f t="shared" si="0"/>
        <v>592733</v>
      </c>
      <c r="G13" s="1737">
        <f t="shared" si="0"/>
        <v>10728</v>
      </c>
      <c r="H13" s="1737">
        <f t="shared" si="0"/>
        <v>0</v>
      </c>
      <c r="I13" s="1737">
        <f t="shared" si="0"/>
        <v>179649</v>
      </c>
      <c r="J13" s="1737">
        <f t="shared" si="0"/>
        <v>0</v>
      </c>
      <c r="K13" s="1737">
        <f t="shared" si="0"/>
        <v>551</v>
      </c>
      <c r="L13" s="1737">
        <f t="shared" si="0"/>
        <v>43872</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7500</v>
      </c>
      <c r="N16" s="484"/>
    </row>
    <row r="17" spans="1:14" s="485" customFormat="1" ht="12.75" customHeight="1" x14ac:dyDescent="0.2">
      <c r="A17" s="482" t="s">
        <v>1403</v>
      </c>
      <c r="B17" s="483">
        <v>230</v>
      </c>
      <c r="C17" s="477"/>
      <c r="D17" s="477"/>
      <c r="E17" s="477"/>
      <c r="F17" s="477"/>
      <c r="G17" s="477"/>
      <c r="H17" s="477"/>
      <c r="I17" s="477"/>
      <c r="J17" s="477"/>
      <c r="K17" s="477"/>
      <c r="L17" s="477"/>
      <c r="M17" s="467">
        <v>2905876</v>
      </c>
      <c r="N17" s="484"/>
    </row>
    <row r="18" spans="1:14" s="485" customFormat="1" ht="12.75" customHeight="1" x14ac:dyDescent="0.2">
      <c r="A18" s="482" t="s">
        <v>1404</v>
      </c>
      <c r="B18" s="483">
        <v>240</v>
      </c>
      <c r="C18" s="477"/>
      <c r="D18" s="477"/>
      <c r="E18" s="477"/>
      <c r="F18" s="477"/>
      <c r="G18" s="477"/>
      <c r="H18" s="477"/>
      <c r="I18" s="477"/>
      <c r="J18" s="477"/>
      <c r="K18" s="477"/>
      <c r="L18" s="477"/>
      <c r="M18" s="467">
        <v>41861</v>
      </c>
      <c r="N18" s="484"/>
    </row>
    <row r="19" spans="1:14" s="485" customFormat="1" ht="12.75" customHeight="1" x14ac:dyDescent="0.2">
      <c r="A19" s="482" t="s">
        <v>1405</v>
      </c>
      <c r="B19" s="483">
        <v>250</v>
      </c>
      <c r="C19" s="477"/>
      <c r="D19" s="477"/>
      <c r="E19" s="477"/>
      <c r="F19" s="477"/>
      <c r="G19" s="477"/>
      <c r="H19" s="477"/>
      <c r="I19" s="477"/>
      <c r="J19" s="477"/>
      <c r="K19" s="477"/>
      <c r="L19" s="477"/>
      <c r="M19" s="467">
        <v>273198</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3228435</v>
      </c>
      <c r="N23" s="1688">
        <f>SUM(N21:N22)</f>
        <v>0</v>
      </c>
    </row>
    <row r="24" spans="1:14" ht="18" customHeight="1" thickTop="1" x14ac:dyDescent="0.2">
      <c r="A24" s="2109" t="s">
        <v>598</v>
      </c>
      <c r="B24" s="211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v>714</v>
      </c>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2276</v>
      </c>
      <c r="D30" s="474"/>
      <c r="E30" s="467"/>
      <c r="F30" s="467"/>
      <c r="G30" s="467">
        <v>23</v>
      </c>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43872</v>
      </c>
      <c r="M33" s="468"/>
      <c r="N33" s="469"/>
    </row>
    <row r="34" spans="1:14" ht="13.5" customHeight="1" thickBot="1" x14ac:dyDescent="0.25">
      <c r="A34" s="1738" t="s">
        <v>654</v>
      </c>
      <c r="B34" s="1739"/>
      <c r="C34" s="1740">
        <f>SUM(C25:C33)</f>
        <v>2276</v>
      </c>
      <c r="D34" s="1740">
        <f t="shared" ref="D34:K34" si="1">SUM(D25:D33)</f>
        <v>0</v>
      </c>
      <c r="E34" s="1740">
        <f t="shared" si="1"/>
        <v>0</v>
      </c>
      <c r="F34" s="1740">
        <f t="shared" si="1"/>
        <v>0</v>
      </c>
      <c r="G34" s="1740">
        <f t="shared" si="1"/>
        <v>23</v>
      </c>
      <c r="H34" s="1740">
        <f t="shared" si="1"/>
        <v>0</v>
      </c>
      <c r="I34" s="1740">
        <f t="shared" si="1"/>
        <v>0</v>
      </c>
      <c r="J34" s="1740">
        <f t="shared" si="1"/>
        <v>0</v>
      </c>
      <c r="K34" s="1740">
        <f t="shared" si="1"/>
        <v>714</v>
      </c>
      <c r="L34" s="1721">
        <f>SUM(L33)</f>
        <v>43872</v>
      </c>
      <c r="M34" s="468"/>
      <c r="N34" s="480"/>
    </row>
    <row r="35" spans="1:14" ht="18" customHeight="1" thickTop="1" x14ac:dyDescent="0.2">
      <c r="A35" s="2111" t="s">
        <v>529</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v>24466</v>
      </c>
      <c r="D38" s="466"/>
      <c r="E38" s="466"/>
      <c r="F38" s="466"/>
      <c r="G38" s="466"/>
      <c r="H38" s="466"/>
      <c r="I38" s="466"/>
      <c r="J38" s="467"/>
      <c r="K38" s="466"/>
      <c r="L38" s="481"/>
      <c r="M38" s="497"/>
      <c r="N38" s="497"/>
    </row>
    <row r="39" spans="1:14" s="329" customFormat="1" ht="13.5" customHeight="1" x14ac:dyDescent="0.2">
      <c r="A39" s="496" t="s">
        <v>342</v>
      </c>
      <c r="B39" s="483">
        <v>730</v>
      </c>
      <c r="C39" s="466">
        <v>1418621</v>
      </c>
      <c r="D39" s="466">
        <v>248600</v>
      </c>
      <c r="E39" s="466"/>
      <c r="F39" s="466">
        <v>592733</v>
      </c>
      <c r="G39" s="466">
        <v>10705</v>
      </c>
      <c r="H39" s="466"/>
      <c r="I39" s="466">
        <v>179649</v>
      </c>
      <c r="J39" s="467"/>
      <c r="K39" s="466">
        <v>-163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3228435</v>
      </c>
      <c r="N40" s="497"/>
    </row>
    <row r="41" spans="1:14" ht="13.5" customHeight="1" thickBot="1" x14ac:dyDescent="0.25">
      <c r="A41" s="1736" t="s">
        <v>655</v>
      </c>
      <c r="B41" s="1706"/>
      <c r="C41" s="1688">
        <f>(SUM(C34,C37,C38,C39))</f>
        <v>1445363</v>
      </c>
      <c r="D41" s="1688">
        <f t="shared" ref="D41:L41" si="2">SUM(D34,D37,D38:D39)</f>
        <v>248600</v>
      </c>
      <c r="E41" s="1688">
        <f t="shared" si="2"/>
        <v>0</v>
      </c>
      <c r="F41" s="1688">
        <f t="shared" si="2"/>
        <v>592733</v>
      </c>
      <c r="G41" s="1688">
        <f t="shared" si="2"/>
        <v>10728</v>
      </c>
      <c r="H41" s="1688">
        <f t="shared" si="2"/>
        <v>0</v>
      </c>
      <c r="I41" s="1688">
        <f t="shared" si="2"/>
        <v>179649</v>
      </c>
      <c r="J41" s="1688">
        <f t="shared" si="2"/>
        <v>0</v>
      </c>
      <c r="K41" s="1688">
        <f t="shared" si="2"/>
        <v>551</v>
      </c>
      <c r="L41" s="1688">
        <f t="shared" si="2"/>
        <v>43872</v>
      </c>
      <c r="M41" s="1688">
        <f>SUM(M40)</f>
        <v>3228435</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&amp;F&amp;RThe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1" activePane="bottomLeft" state="frozen"/>
      <selection activeCell="T16" sqref="T16"/>
      <selection pane="bottomLeft" activeCell="T16" sqref="T1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3"/>
      <c r="D3" s="1574"/>
      <c r="E3" s="1574"/>
      <c r="F3" s="1574"/>
      <c r="G3" s="1574"/>
      <c r="H3" s="1574"/>
      <c r="I3" s="1574"/>
      <c r="J3" s="1574"/>
      <c r="K3" s="1575"/>
      <c r="L3" s="506"/>
    </row>
    <row r="4" spans="1:13" ht="15.75" customHeight="1" x14ac:dyDescent="0.2">
      <c r="A4" s="1928" t="s">
        <v>1499</v>
      </c>
      <c r="B4" s="1929">
        <v>1000</v>
      </c>
      <c r="C4" s="1742">
        <f>'Revenues 9-14'!C109</f>
        <v>1618158</v>
      </c>
      <c r="D4" s="1742">
        <f>'Revenues 9-14'!D109</f>
        <v>254038</v>
      </c>
      <c r="E4" s="1742">
        <f>'Revenues 9-14'!E109</f>
        <v>0</v>
      </c>
      <c r="F4" s="1742">
        <f>'Revenues 9-14'!F109</f>
        <v>174274</v>
      </c>
      <c r="G4" s="1742">
        <f>'Revenues 9-14'!G109</f>
        <v>72576</v>
      </c>
      <c r="H4" s="1742">
        <f>'Revenues 9-14'!H109</f>
        <v>0</v>
      </c>
      <c r="I4" s="1742">
        <f>'Revenues 9-14'!I109</f>
        <v>17865</v>
      </c>
      <c r="J4" s="1742">
        <f>'Revenues 9-14'!J109</f>
        <v>0</v>
      </c>
      <c r="K4" s="1742">
        <f>'Revenues 9-14'!K109</f>
        <v>33504</v>
      </c>
      <c r="L4" s="347"/>
    </row>
    <row r="5" spans="1:13" ht="15.75" customHeight="1" x14ac:dyDescent="0.2">
      <c r="A5" s="1576" t="s">
        <v>1500</v>
      </c>
      <c r="B5" s="1577">
        <v>2000</v>
      </c>
      <c r="C5" s="1743">
        <f>'Revenues 9-14'!C114</f>
        <v>22831</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577835</v>
      </c>
      <c r="D6" s="1743">
        <f>'Revenues 9-14'!D170</f>
        <v>0</v>
      </c>
      <c r="E6" s="1743">
        <f>'Revenues 9-14'!E170</f>
        <v>0</v>
      </c>
      <c r="F6" s="1743">
        <f>'Revenues 9-14'!F170</f>
        <v>86107</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104485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2323309</v>
      </c>
      <c r="D8" s="1688">
        <f t="shared" ref="D8:K8" si="0">SUM(D4:D7)</f>
        <v>254038</v>
      </c>
      <c r="E8" s="1688">
        <f t="shared" si="0"/>
        <v>0</v>
      </c>
      <c r="F8" s="1688">
        <f t="shared" si="0"/>
        <v>260381</v>
      </c>
      <c r="G8" s="1688">
        <f t="shared" si="0"/>
        <v>72576</v>
      </c>
      <c r="H8" s="1688">
        <f t="shared" si="0"/>
        <v>0</v>
      </c>
      <c r="I8" s="1688">
        <f t="shared" si="0"/>
        <v>17865</v>
      </c>
      <c r="J8" s="1688">
        <f t="shared" si="0"/>
        <v>0</v>
      </c>
      <c r="K8" s="1688">
        <f t="shared" si="0"/>
        <v>33504</v>
      </c>
      <c r="L8" s="347"/>
    </row>
    <row r="9" spans="1:13" ht="15.75" thickTop="1" x14ac:dyDescent="0.2">
      <c r="A9" s="514" t="s">
        <v>1653</v>
      </c>
      <c r="B9" s="515">
        <v>3998</v>
      </c>
      <c r="C9" s="481">
        <v>973086</v>
      </c>
      <c r="D9" s="516"/>
      <c r="E9" s="481"/>
      <c r="F9" s="481"/>
      <c r="G9" s="517"/>
      <c r="H9" s="481"/>
      <c r="I9" s="509" t="s">
        <v>1169</v>
      </c>
      <c r="J9" s="478"/>
      <c r="K9" s="481"/>
      <c r="L9" s="347"/>
    </row>
    <row r="10" spans="1:13" s="519" customFormat="1" ht="13.5" thickBot="1" x14ac:dyDescent="0.25">
      <c r="A10" s="1736" t="s">
        <v>1173</v>
      </c>
      <c r="B10" s="1709"/>
      <c r="C10" s="1688">
        <f>SUM(C8:C9)</f>
        <v>3296395</v>
      </c>
      <c r="D10" s="1688">
        <f t="shared" ref="D10:K10" si="1">SUM(D8:D9)</f>
        <v>254038</v>
      </c>
      <c r="E10" s="1688">
        <f t="shared" si="1"/>
        <v>0</v>
      </c>
      <c r="F10" s="1688">
        <f t="shared" si="1"/>
        <v>260381</v>
      </c>
      <c r="G10" s="1688">
        <f t="shared" si="1"/>
        <v>72576</v>
      </c>
      <c r="H10" s="1688">
        <f t="shared" si="1"/>
        <v>0</v>
      </c>
      <c r="I10" s="1688">
        <f t="shared" si="1"/>
        <v>17865</v>
      </c>
      <c r="J10" s="1688">
        <f t="shared" si="1"/>
        <v>0</v>
      </c>
      <c r="K10" s="1688">
        <f t="shared" si="1"/>
        <v>33504</v>
      </c>
      <c r="L10" s="518"/>
    </row>
    <row r="11" spans="1:13" s="519" customFormat="1" ht="16.7" customHeight="1" thickTop="1" x14ac:dyDescent="0.2">
      <c r="A11" s="2107" t="s">
        <v>1176</v>
      </c>
      <c r="B11" s="2108"/>
      <c r="C11" s="1570"/>
      <c r="D11" s="1571"/>
      <c r="E11" s="1571"/>
      <c r="F11" s="1571"/>
      <c r="G11" s="1571"/>
      <c r="H11" s="1571"/>
      <c r="I11" s="1571"/>
      <c r="J11" s="1571"/>
      <c r="K11" s="1572"/>
      <c r="L11" s="518"/>
    </row>
    <row r="12" spans="1:13" ht="15.75" customHeight="1" x14ac:dyDescent="0.2">
      <c r="A12" s="1576" t="s">
        <v>456</v>
      </c>
      <c r="B12" s="1578">
        <v>1000</v>
      </c>
      <c r="C12" s="1742">
        <f>'Expenditures 15-22'!K33</f>
        <v>1338677</v>
      </c>
      <c r="D12" s="520" t="s">
        <v>1169</v>
      </c>
      <c r="E12" s="468" t="s">
        <v>1169</v>
      </c>
      <c r="F12" s="468" t="s">
        <v>1169</v>
      </c>
      <c r="G12" s="1742">
        <f>'Expenditures 15-22'!K229</f>
        <v>22281</v>
      </c>
      <c r="H12" s="521"/>
      <c r="I12" s="468" t="s">
        <v>1169</v>
      </c>
      <c r="J12" s="468" t="s">
        <v>1169</v>
      </c>
      <c r="K12" s="521" t="s">
        <v>1169</v>
      </c>
      <c r="L12" s="347"/>
    </row>
    <row r="13" spans="1:13" ht="15.75" customHeight="1" x14ac:dyDescent="0.2">
      <c r="A13" s="1576" t="s">
        <v>457</v>
      </c>
      <c r="B13" s="1578">
        <v>2000</v>
      </c>
      <c r="C13" s="1743">
        <f>'Expenditures 15-22'!K74</f>
        <v>695956</v>
      </c>
      <c r="D13" s="1743">
        <f>'Expenditures 15-22'!K129</f>
        <v>387745</v>
      </c>
      <c r="E13" s="469" t="s">
        <v>1169</v>
      </c>
      <c r="F13" s="1743">
        <f>'Expenditures 15-22'!K184</f>
        <v>462655</v>
      </c>
      <c r="G13" s="1743">
        <f>'Expenditures 15-22'!K279</f>
        <v>73898</v>
      </c>
      <c r="H13" s="1743">
        <f>'Expenditures 15-22'!K303</f>
        <v>0</v>
      </c>
      <c r="I13" s="468" t="s">
        <v>1169</v>
      </c>
      <c r="J13" s="1743">
        <f>'Expenditures 15-22'!K330</f>
        <v>0</v>
      </c>
      <c r="K13" s="1747">
        <f>'Expenditures 15-22'!K352</f>
        <v>114552</v>
      </c>
      <c r="L13" s="347"/>
    </row>
    <row r="14" spans="1:13" ht="15.75" customHeight="1" x14ac:dyDescent="0.2">
      <c r="A14" s="1576" t="s">
        <v>449</v>
      </c>
      <c r="B14" s="1578">
        <v>3000</v>
      </c>
      <c r="C14" s="1743">
        <f>'Expenditures 15-22'!K75</f>
        <v>1777</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240875</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2277285</v>
      </c>
      <c r="D17" s="1688">
        <f t="shared" si="2"/>
        <v>387745</v>
      </c>
      <c r="E17" s="1688">
        <f t="shared" si="2"/>
        <v>0</v>
      </c>
      <c r="F17" s="1688">
        <f t="shared" si="2"/>
        <v>462655</v>
      </c>
      <c r="G17" s="1688">
        <f t="shared" si="2"/>
        <v>96179</v>
      </c>
      <c r="H17" s="1688">
        <f t="shared" si="2"/>
        <v>0</v>
      </c>
      <c r="I17" s="468"/>
      <c r="J17" s="1688">
        <f>SUM(J12:J16)</f>
        <v>0</v>
      </c>
      <c r="K17" s="1688">
        <f>SUM(K12:K16)</f>
        <v>114552</v>
      </c>
      <c r="L17" s="347"/>
    </row>
    <row r="18" spans="1:12" ht="15" customHeight="1" thickTop="1" x14ac:dyDescent="0.2">
      <c r="A18" s="1744" t="s">
        <v>1654</v>
      </c>
      <c r="B18" s="1745">
        <v>4180</v>
      </c>
      <c r="C18" s="1742">
        <f t="shared" ref="C18:H18" si="3">C9</f>
        <v>973086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3250371</v>
      </c>
      <c r="D19" s="1688">
        <f t="shared" si="4"/>
        <v>387745</v>
      </c>
      <c r="E19" s="1688">
        <f t="shared" si="4"/>
        <v>0</v>
      </c>
      <c r="F19" s="1688">
        <f t="shared" si="4"/>
        <v>462655</v>
      </c>
      <c r="G19" s="1688">
        <f t="shared" si="4"/>
        <v>96179</v>
      </c>
      <c r="H19" s="1688">
        <f t="shared" si="4"/>
        <v>0</v>
      </c>
      <c r="I19" s="468"/>
      <c r="J19" s="1688">
        <f>SUM(J17:J18)</f>
        <v>0</v>
      </c>
      <c r="K19" s="1688">
        <f>SUM(K17:K18)</f>
        <v>114552</v>
      </c>
      <c r="L19" s="347"/>
    </row>
    <row r="20" spans="1:12" ht="16.5" thickTop="1" thickBot="1" x14ac:dyDescent="0.25">
      <c r="A20" s="2123" t="s">
        <v>1655</v>
      </c>
      <c r="B20" s="2124"/>
      <c r="C20" s="1746">
        <f>C8-C17</f>
        <v>46024</v>
      </c>
      <c r="D20" s="1746">
        <f t="shared" ref="D20:K20" si="5">D8-D17</f>
        <v>-133707</v>
      </c>
      <c r="E20" s="1746">
        <f t="shared" si="5"/>
        <v>0</v>
      </c>
      <c r="F20" s="1746">
        <f t="shared" si="5"/>
        <v>-202274</v>
      </c>
      <c r="G20" s="1746">
        <f t="shared" si="5"/>
        <v>-23603</v>
      </c>
      <c r="H20" s="1746">
        <f t="shared" si="5"/>
        <v>0</v>
      </c>
      <c r="I20" s="1746">
        <f t="shared" si="5"/>
        <v>17865</v>
      </c>
      <c r="J20" s="1746">
        <f t="shared" si="5"/>
        <v>0</v>
      </c>
      <c r="K20" s="1746">
        <f t="shared" si="5"/>
        <v>-81048</v>
      </c>
      <c r="L20" s="347"/>
    </row>
    <row r="21" spans="1:12" ht="16.7" customHeight="1" thickTop="1" x14ac:dyDescent="0.2">
      <c r="A21" s="2135" t="s">
        <v>595</v>
      </c>
      <c r="B21" s="2136"/>
      <c r="C21" s="1570"/>
      <c r="D21" s="1571"/>
      <c r="E21" s="1571"/>
      <c r="F21" s="1571"/>
      <c r="G21" s="1571"/>
      <c r="H21" s="1571"/>
      <c r="I21" s="1571"/>
      <c r="J21" s="1571"/>
      <c r="K21" s="1572"/>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5" t="s">
        <v>1177</v>
      </c>
      <c r="B77" s="2116"/>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19" t="s">
        <v>597</v>
      </c>
      <c r="B78" s="2120"/>
      <c r="C78" s="1702">
        <f t="shared" ref="C78:K78" si="9">C20+C77</f>
        <v>46024</v>
      </c>
      <c r="D78" s="1702">
        <f t="shared" si="9"/>
        <v>-133707</v>
      </c>
      <c r="E78" s="1702">
        <f t="shared" si="9"/>
        <v>0</v>
      </c>
      <c r="F78" s="1702">
        <f t="shared" si="9"/>
        <v>-202274</v>
      </c>
      <c r="G78" s="1702">
        <f t="shared" si="9"/>
        <v>-23603</v>
      </c>
      <c r="H78" s="1702">
        <f t="shared" si="9"/>
        <v>0</v>
      </c>
      <c r="I78" s="1702">
        <f t="shared" si="9"/>
        <v>17865</v>
      </c>
      <c r="J78" s="1702">
        <f t="shared" si="9"/>
        <v>0</v>
      </c>
      <c r="K78" s="1702">
        <f t="shared" si="9"/>
        <v>-81048</v>
      </c>
      <c r="L78" s="533"/>
    </row>
    <row r="79" spans="1:12" ht="13.5" thickTop="1" x14ac:dyDescent="0.2">
      <c r="A79" s="1494" t="s">
        <v>1949</v>
      </c>
      <c r="B79" s="534"/>
      <c r="C79" s="478">
        <v>1397063</v>
      </c>
      <c r="D79" s="535">
        <v>382307</v>
      </c>
      <c r="E79" s="535"/>
      <c r="F79" s="535">
        <v>795007</v>
      </c>
      <c r="G79" s="535">
        <v>34308</v>
      </c>
      <c r="H79" s="535"/>
      <c r="I79" s="535">
        <v>161784</v>
      </c>
      <c r="J79" s="535"/>
      <c r="K79" s="535">
        <v>80885</v>
      </c>
      <c r="L79" s="347"/>
    </row>
    <row r="80" spans="1:12" x14ac:dyDescent="0.2">
      <c r="A80" s="2125" t="s">
        <v>1795</v>
      </c>
      <c r="B80" s="2126"/>
      <c r="C80" s="467"/>
      <c r="D80" s="467"/>
      <c r="E80" s="467"/>
      <c r="F80" s="467"/>
      <c r="G80" s="467"/>
      <c r="H80" s="467"/>
      <c r="I80" s="467"/>
      <c r="J80" s="467"/>
      <c r="K80" s="467"/>
      <c r="L80" s="347"/>
    </row>
    <row r="81" spans="1:12" ht="13.5" thickBot="1" x14ac:dyDescent="0.25">
      <c r="A81" s="2117" t="s">
        <v>1950</v>
      </c>
      <c r="B81" s="2118"/>
      <c r="C81" s="1688">
        <f>(SUM(C78:C80))</f>
        <v>1443087</v>
      </c>
      <c r="D81" s="1688">
        <f>SUM(D78:D80)</f>
        <v>248600</v>
      </c>
      <c r="E81" s="1688">
        <f t="shared" ref="E81:K81" si="10">SUM(E78:E80)</f>
        <v>0</v>
      </c>
      <c r="F81" s="1688">
        <f t="shared" si="10"/>
        <v>592733</v>
      </c>
      <c r="G81" s="1688">
        <f t="shared" si="10"/>
        <v>10705</v>
      </c>
      <c r="H81" s="1688">
        <f t="shared" si="10"/>
        <v>0</v>
      </c>
      <c r="I81" s="1688">
        <f t="shared" si="10"/>
        <v>179649</v>
      </c>
      <c r="J81" s="1688">
        <f t="shared" si="10"/>
        <v>0</v>
      </c>
      <c r="K81" s="1688">
        <f t="shared" si="10"/>
        <v>-163</v>
      </c>
      <c r="L81" s="347"/>
    </row>
    <row r="82" spans="1:12" ht="0.75" customHeight="1" thickTop="1" thickBot="1" x14ac:dyDescent="0.25">
      <c r="A82" s="536" t="s">
        <v>343</v>
      </c>
      <c r="B82" s="537"/>
      <c r="C82" s="538">
        <f>(C81-C79)</f>
        <v>46024</v>
      </c>
      <c r="D82" s="538">
        <f t="shared" ref="D82:K82" si="11">(D81-D79)</f>
        <v>-133707</v>
      </c>
      <c r="E82" s="538">
        <f t="shared" si="11"/>
        <v>0</v>
      </c>
      <c r="F82" s="538">
        <f t="shared" si="11"/>
        <v>-202274</v>
      </c>
      <c r="G82" s="538">
        <f t="shared" si="11"/>
        <v>-23603</v>
      </c>
      <c r="H82" s="538">
        <f t="shared" si="11"/>
        <v>0</v>
      </c>
      <c r="I82" s="538">
        <f t="shared" si="11"/>
        <v>17865</v>
      </c>
      <c r="J82" s="538">
        <f t="shared" si="11"/>
        <v>0</v>
      </c>
      <c r="K82" s="538">
        <f t="shared" si="11"/>
        <v>-81048</v>
      </c>
    </row>
    <row r="83" spans="1:12" ht="14.25" hidden="1" thickTop="1" thickBot="1" x14ac:dyDescent="0.25">
      <c r="A83" s="539" t="s">
        <v>344</v>
      </c>
      <c r="B83" s="464"/>
      <c r="C83" s="540">
        <f>C82/C81</f>
        <v>3.1892741047490555E-2</v>
      </c>
      <c r="D83" s="540">
        <f t="shared" ref="D83:K83" si="12">D82/D81</f>
        <v>-0.53783990345937249</v>
      </c>
      <c r="E83" s="540" t="e">
        <f t="shared" si="12"/>
        <v>#DIV/0!</v>
      </c>
      <c r="F83" s="540">
        <f t="shared" si="12"/>
        <v>-0.34125651853363992</v>
      </c>
      <c r="G83" s="540">
        <f t="shared" si="12"/>
        <v>-2.2048575432041102</v>
      </c>
      <c r="H83" s="540" t="e">
        <f t="shared" si="12"/>
        <v>#DIV/0!</v>
      </c>
      <c r="I83" s="540">
        <f t="shared" si="12"/>
        <v>9.9443915635489211E-2</v>
      </c>
      <c r="J83" s="540" t="e">
        <f t="shared" si="12"/>
        <v>#DIV/0!</v>
      </c>
      <c r="K83" s="540">
        <f t="shared" si="12"/>
        <v>497.22699386503069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&amp;F&amp;RThe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2" activePane="bottomLeft" state="frozen"/>
      <selection activeCell="T16" sqref="T16"/>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1395833</v>
      </c>
      <c r="D5" s="481">
        <v>231469</v>
      </c>
      <c r="E5" s="466"/>
      <c r="F5" s="548">
        <v>169110</v>
      </c>
      <c r="G5" s="466">
        <v>35627</v>
      </c>
      <c r="H5" s="466"/>
      <c r="I5" s="466">
        <v>14259</v>
      </c>
      <c r="J5" s="467"/>
      <c r="K5" s="466">
        <v>32052</v>
      </c>
    </row>
    <row r="6" spans="1:12" ht="15" x14ac:dyDescent="0.2">
      <c r="A6" s="463" t="s">
        <v>1662</v>
      </c>
      <c r="B6" s="470">
        <v>1130</v>
      </c>
      <c r="C6" s="466">
        <v>14259</v>
      </c>
      <c r="D6" s="466"/>
      <c r="E6" s="475"/>
      <c r="F6" s="475"/>
      <c r="G6" s="468"/>
      <c r="H6" s="468"/>
      <c r="I6" s="468"/>
      <c r="J6" s="468"/>
      <c r="K6" s="468"/>
    </row>
    <row r="7" spans="1:12" x14ac:dyDescent="0.2">
      <c r="A7" s="463" t="s">
        <v>110</v>
      </c>
      <c r="B7" s="549">
        <v>1140</v>
      </c>
      <c r="C7" s="466">
        <v>53420</v>
      </c>
      <c r="D7" s="466"/>
      <c r="E7" s="468"/>
      <c r="F7" s="467"/>
      <c r="G7" s="467"/>
      <c r="H7" s="467"/>
      <c r="I7" s="468"/>
      <c r="J7" s="468"/>
      <c r="K7" s="468"/>
    </row>
    <row r="8" spans="1:12" x14ac:dyDescent="0.2">
      <c r="A8" s="463" t="s">
        <v>413</v>
      </c>
      <c r="B8" s="470">
        <v>1150</v>
      </c>
      <c r="C8" s="475"/>
      <c r="D8" s="475"/>
      <c r="E8" s="477"/>
      <c r="F8" s="477"/>
      <c r="G8" s="481">
        <v>34690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1463512</v>
      </c>
      <c r="D12" s="1707">
        <f t="shared" si="0"/>
        <v>231469</v>
      </c>
      <c r="E12" s="1707">
        <f t="shared" si="0"/>
        <v>0</v>
      </c>
      <c r="F12" s="1707">
        <f t="shared" si="0"/>
        <v>169110</v>
      </c>
      <c r="G12" s="1707">
        <f t="shared" si="0"/>
        <v>70317</v>
      </c>
      <c r="H12" s="1707">
        <f t="shared" si="0"/>
        <v>0</v>
      </c>
      <c r="I12" s="1707">
        <f t="shared" si="0"/>
        <v>14259</v>
      </c>
      <c r="J12" s="1707">
        <f t="shared" si="0"/>
        <v>0</v>
      </c>
      <c r="K12" s="1688">
        <f t="shared" si="0"/>
        <v>32052</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52707</v>
      </c>
      <c r="D16" s="466">
        <v>15000</v>
      </c>
      <c r="E16" s="466"/>
      <c r="F16" s="466"/>
      <c r="G16" s="466">
        <v>2000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52707</v>
      </c>
      <c r="D18" s="1710">
        <f t="shared" ref="D18:K18" si="1">SUM(D14:D17)</f>
        <v>15000</v>
      </c>
      <c r="E18" s="1710">
        <f t="shared" si="1"/>
        <v>0</v>
      </c>
      <c r="F18" s="1710">
        <f t="shared" si="1"/>
        <v>0</v>
      </c>
      <c r="G18" s="1710">
        <f t="shared" si="1"/>
        <v>2000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450</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450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28410</v>
      </c>
      <c r="D65" s="466">
        <v>5349</v>
      </c>
      <c r="E65" s="466"/>
      <c r="F65" s="467">
        <v>5164</v>
      </c>
      <c r="G65" s="466">
        <v>259</v>
      </c>
      <c r="H65" s="466"/>
      <c r="I65" s="466">
        <v>3606</v>
      </c>
      <c r="J65" s="467"/>
      <c r="K65" s="466">
        <v>1452</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28410</v>
      </c>
      <c r="D67" s="1688">
        <f t="shared" ref="D67:K67" si="2">SUM(D65:D66)</f>
        <v>5349</v>
      </c>
      <c r="E67" s="1688">
        <f t="shared" si="2"/>
        <v>0</v>
      </c>
      <c r="F67" s="1688">
        <f t="shared" si="2"/>
        <v>5164</v>
      </c>
      <c r="G67" s="1688">
        <f t="shared" si="2"/>
        <v>259</v>
      </c>
      <c r="H67" s="1688">
        <f t="shared" si="2"/>
        <v>0</v>
      </c>
      <c r="I67" s="1688">
        <f t="shared" si="2"/>
        <v>3606</v>
      </c>
      <c r="J67" s="1688">
        <f t="shared" si="2"/>
        <v>0</v>
      </c>
      <c r="K67" s="1688">
        <f t="shared" si="2"/>
        <v>1452</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27297</v>
      </c>
      <c r="D69" s="468"/>
      <c r="E69" s="468"/>
      <c r="F69" s="468"/>
      <c r="G69" s="468"/>
      <c r="H69" s="468"/>
      <c r="I69" s="468"/>
      <c r="J69" s="468"/>
      <c r="K69" s="468"/>
    </row>
    <row r="70" spans="1:11" ht="12.75" customHeight="1" x14ac:dyDescent="0.2">
      <c r="A70" s="463" t="s">
        <v>997</v>
      </c>
      <c r="B70" s="470">
        <v>1612</v>
      </c>
      <c r="C70" s="551">
        <v>1442</v>
      </c>
      <c r="D70" s="468"/>
      <c r="E70" s="468"/>
      <c r="F70" s="468"/>
      <c r="G70" s="468"/>
      <c r="H70" s="468"/>
      <c r="I70" s="468"/>
      <c r="J70" s="468"/>
      <c r="K70" s="468"/>
    </row>
    <row r="71" spans="1:11" ht="12.75" customHeight="1" x14ac:dyDescent="0.2">
      <c r="A71" s="463" t="s">
        <v>273</v>
      </c>
      <c r="B71" s="470">
        <v>1613</v>
      </c>
      <c r="C71" s="551">
        <v>7388</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594</v>
      </c>
      <c r="D73" s="468"/>
      <c r="E73" s="468"/>
      <c r="F73" s="468"/>
      <c r="G73" s="468"/>
      <c r="H73" s="468"/>
      <c r="I73" s="468"/>
      <c r="J73" s="468"/>
      <c r="K73" s="468"/>
    </row>
    <row r="74" spans="1:11" ht="12.75" customHeight="1" x14ac:dyDescent="0.2">
      <c r="A74" s="463" t="s">
        <v>25</v>
      </c>
      <c r="B74" s="470">
        <v>1690</v>
      </c>
      <c r="C74" s="551">
        <v>180</v>
      </c>
      <c r="D74" s="468"/>
      <c r="E74" s="468"/>
      <c r="F74" s="468"/>
      <c r="G74" s="468"/>
      <c r="H74" s="468"/>
      <c r="I74" s="468"/>
      <c r="J74" s="468"/>
      <c r="K74" s="468"/>
    </row>
    <row r="75" spans="1:11" ht="12.75" customHeight="1" thickBot="1" x14ac:dyDescent="0.25">
      <c r="A75" s="1708" t="s">
        <v>548</v>
      </c>
      <c r="B75" s="1709"/>
      <c r="C75" s="1688">
        <f>SUM(C69:C74)</f>
        <v>36901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10555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10555</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16064</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16064</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v>2200</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2202</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600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4666</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2091</v>
      </c>
      <c r="D107" s="466">
        <v>20</v>
      </c>
      <c r="E107" s="466"/>
      <c r="F107" s="466"/>
      <c r="G107" s="466"/>
      <c r="H107" s="466"/>
      <c r="I107" s="466"/>
      <c r="J107" s="467"/>
      <c r="K107" s="466"/>
    </row>
    <row r="108" spans="1:12" ht="12.75" customHeight="1" thickBot="1" x14ac:dyDescent="0.25">
      <c r="A108" s="1708" t="s">
        <v>487</v>
      </c>
      <c r="B108" s="1712"/>
      <c r="C108" s="1707">
        <f>SUM(C95:C107)</f>
        <v>9559</v>
      </c>
      <c r="D108" s="1707">
        <f t="shared" ref="D108:K108" si="3">SUM(D95:D107)</f>
        <v>2220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1618158</v>
      </c>
      <c r="D109" s="1715">
        <f t="shared" si="4"/>
        <v>254038</v>
      </c>
      <c r="E109" s="1715">
        <f t="shared" si="4"/>
        <v>0</v>
      </c>
      <c r="F109" s="1715">
        <f t="shared" si="4"/>
        <v>174274</v>
      </c>
      <c r="G109" s="1715">
        <f t="shared" si="4"/>
        <v>72576</v>
      </c>
      <c r="H109" s="1715">
        <f t="shared" si="4"/>
        <v>0</v>
      </c>
      <c r="I109" s="1715">
        <f t="shared" si="4"/>
        <v>17865</v>
      </c>
      <c r="J109" s="1715">
        <f t="shared" si="4"/>
        <v>0</v>
      </c>
      <c r="K109" s="1702">
        <f t="shared" si="4"/>
        <v>33504</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3000</v>
      </c>
      <c r="D111" s="481"/>
      <c r="E111" s="561"/>
      <c r="F111" s="481"/>
      <c r="G111" s="481"/>
      <c r="H111" s="561"/>
      <c r="I111" s="468"/>
      <c r="J111" s="468"/>
      <c r="K111" s="468"/>
    </row>
    <row r="112" spans="1:12" ht="12.75" customHeight="1" x14ac:dyDescent="0.2">
      <c r="A112" s="463" t="s">
        <v>824</v>
      </c>
      <c r="B112" s="470">
        <v>2200</v>
      </c>
      <c r="C112" s="551">
        <v>19831</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22831</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561529</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561529</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5826</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5826</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7019</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7019</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819</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2642</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65332</v>
      </c>
      <c r="G152" s="467"/>
      <c r="H152" s="468"/>
      <c r="I152" s="468"/>
      <c r="J152" s="468"/>
      <c r="K152" s="468"/>
    </row>
    <row r="153" spans="1:11" ht="12.75" customHeight="1" x14ac:dyDescent="0.2">
      <c r="A153" s="463" t="s">
        <v>1057</v>
      </c>
      <c r="B153" s="562">
        <v>3510</v>
      </c>
      <c r="C153" s="551"/>
      <c r="D153" s="466"/>
      <c r="E153" s="561"/>
      <c r="F153" s="466">
        <v>20775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86107</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1" t="s">
        <v>398</v>
      </c>
      <c r="B169" s="2142"/>
      <c r="C169" s="1722">
        <f t="shared" ref="C169:K169" si="6">SUM(C132,C141,C145,C146:C150,C155,C156:C167,C168)</f>
        <v>16306</v>
      </c>
      <c r="D169" s="1722">
        <f t="shared" si="6"/>
        <v>0</v>
      </c>
      <c r="E169" s="1722">
        <f t="shared" si="6"/>
        <v>0</v>
      </c>
      <c r="F169" s="1722">
        <f t="shared" si="6"/>
        <v>86107</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577835</v>
      </c>
      <c r="D170" s="1715">
        <f t="shared" si="7"/>
        <v>0</v>
      </c>
      <c r="E170" s="1715">
        <f t="shared" si="7"/>
        <v>0</v>
      </c>
      <c r="F170" s="1715">
        <f t="shared" si="7"/>
        <v>86107</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1934</v>
      </c>
      <c r="D180" s="466"/>
      <c r="E180" s="468"/>
      <c r="F180" s="466"/>
      <c r="G180" s="466"/>
      <c r="H180" s="466"/>
      <c r="I180" s="468"/>
      <c r="J180" s="468"/>
      <c r="K180" s="466"/>
    </row>
    <row r="181" spans="1:11" ht="13.5" thickBot="1" x14ac:dyDescent="0.25">
      <c r="A181" s="2149" t="s">
        <v>785</v>
      </c>
      <c r="B181" s="2150"/>
      <c r="C181" s="1707">
        <f>SUM(C177:C180)</f>
        <v>1934</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5" t="s">
        <v>1803</v>
      </c>
      <c r="B182" s="214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32714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4300</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37014</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34724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34724</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25738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2869</v>
      </c>
      <c r="D263" s="576"/>
      <c r="E263" s="468"/>
      <c r="F263" s="576"/>
      <c r="G263" s="576"/>
      <c r="H263" s="468"/>
      <c r="I263" s="468"/>
      <c r="J263" s="468"/>
      <c r="K263" s="468"/>
    </row>
    <row r="264" spans="1:11" ht="12.75" customHeight="1" thickTop="1" thickBot="1" x14ac:dyDescent="0.25">
      <c r="A264" s="463" t="s">
        <v>377</v>
      </c>
      <c r="B264" s="470">
        <v>4992</v>
      </c>
      <c r="C264" s="575">
        <v>2206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102551</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104485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2323309</v>
      </c>
      <c r="D268" s="1715">
        <f t="shared" si="12"/>
        <v>254038</v>
      </c>
      <c r="E268" s="1715">
        <f t="shared" si="12"/>
        <v>0</v>
      </c>
      <c r="F268" s="1715">
        <f t="shared" si="12"/>
        <v>260381</v>
      </c>
      <c r="G268" s="1715">
        <f t="shared" si="12"/>
        <v>72576</v>
      </c>
      <c r="H268" s="1715">
        <f t="shared" si="12"/>
        <v>0</v>
      </c>
      <c r="I268" s="1715">
        <f t="shared" si="12"/>
        <v>17865</v>
      </c>
      <c r="J268" s="1715">
        <f t="shared" si="12"/>
        <v>0</v>
      </c>
      <c r="K268" s="1702">
        <f t="shared" si="12"/>
        <v>33504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&amp;F&amp;RThe notes to the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T16" sqref="T16"/>
      <selection pane="bottomLeft" activeCell="T16" sqref="T1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59" t="s">
        <v>297</v>
      </c>
      <c r="B3" s="216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1121204</v>
      </c>
      <c r="D5" s="466">
        <v>89859</v>
      </c>
      <c r="E5" s="466">
        <v>18082</v>
      </c>
      <c r="F5" s="466">
        <v>13334</v>
      </c>
      <c r="G5" s="466"/>
      <c r="H5" s="466"/>
      <c r="I5" s="467"/>
      <c r="J5" s="467"/>
      <c r="K5" s="1671">
        <f>SUM(C5:J5)</f>
        <v>1242479</v>
      </c>
      <c r="L5" s="466">
        <v>1242241</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c r="D7" s="467"/>
      <c r="E7" s="467"/>
      <c r="F7" s="467"/>
      <c r="G7" s="467"/>
      <c r="H7" s="467"/>
      <c r="I7" s="467"/>
      <c r="J7" s="467"/>
      <c r="K7" s="1671">
        <f t="shared" ref="K7:K32" si="0">SUM(C7:J7)</f>
        <v>0</v>
      </c>
      <c r="L7" s="466">
        <v>0</v>
      </c>
    </row>
    <row r="8" spans="1:14" x14ac:dyDescent="0.2">
      <c r="A8" s="1504" t="s">
        <v>164</v>
      </c>
      <c r="B8" s="614">
        <v>1200</v>
      </c>
      <c r="C8" s="466">
        <v>23969</v>
      </c>
      <c r="D8" s="466">
        <v>2484</v>
      </c>
      <c r="E8" s="466"/>
      <c r="F8" s="466"/>
      <c r="G8" s="466"/>
      <c r="H8" s="466"/>
      <c r="I8" s="467"/>
      <c r="J8" s="467"/>
      <c r="K8" s="1671">
        <f t="shared" si="0"/>
        <v>26453</v>
      </c>
      <c r="L8" s="466">
        <v>26673</v>
      </c>
    </row>
    <row r="9" spans="1:14" x14ac:dyDescent="0.2">
      <c r="A9" s="1504" t="s">
        <v>721</v>
      </c>
      <c r="B9" s="614" t="s">
        <v>968</v>
      </c>
      <c r="C9" s="467"/>
      <c r="D9" s="467"/>
      <c r="E9" s="467"/>
      <c r="F9" s="467"/>
      <c r="G9" s="467"/>
      <c r="H9" s="467"/>
      <c r="I9" s="467"/>
      <c r="J9" s="467"/>
      <c r="K9" s="1671">
        <f t="shared" si="0"/>
        <v>0</v>
      </c>
      <c r="L9" s="466">
        <v>0</v>
      </c>
    </row>
    <row r="10" spans="1:14" x14ac:dyDescent="0.2">
      <c r="A10" s="1504" t="s">
        <v>722</v>
      </c>
      <c r="B10" s="614">
        <v>1250</v>
      </c>
      <c r="C10" s="466"/>
      <c r="D10" s="466"/>
      <c r="E10" s="466"/>
      <c r="F10" s="466"/>
      <c r="G10" s="466"/>
      <c r="H10" s="466"/>
      <c r="I10" s="467"/>
      <c r="J10" s="467"/>
      <c r="K10" s="1671">
        <f t="shared" si="0"/>
        <v>0</v>
      </c>
      <c r="L10" s="466">
        <v>0</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c r="F12" s="466"/>
      <c r="G12" s="466"/>
      <c r="H12" s="466"/>
      <c r="I12" s="467"/>
      <c r="J12" s="467"/>
      <c r="K12" s="1671">
        <f t="shared" si="0"/>
        <v>0</v>
      </c>
      <c r="L12" s="466">
        <v>0</v>
      </c>
    </row>
    <row r="13" spans="1:14" x14ac:dyDescent="0.2">
      <c r="A13" s="1504" t="s">
        <v>723</v>
      </c>
      <c r="B13" s="614">
        <v>1400</v>
      </c>
      <c r="C13" s="466"/>
      <c r="D13" s="466">
        <v>75</v>
      </c>
      <c r="E13" s="466">
        <v>561</v>
      </c>
      <c r="F13" s="466">
        <v>1803</v>
      </c>
      <c r="G13" s="466"/>
      <c r="H13" s="466"/>
      <c r="I13" s="467"/>
      <c r="J13" s="467"/>
      <c r="K13" s="1671">
        <f t="shared" si="0"/>
        <v>2439</v>
      </c>
      <c r="L13" s="466">
        <v>1987</v>
      </c>
    </row>
    <row r="14" spans="1:14" x14ac:dyDescent="0.2">
      <c r="A14" s="1504" t="s">
        <v>963</v>
      </c>
      <c r="B14" s="614">
        <v>1500</v>
      </c>
      <c r="C14" s="466">
        <v>31432</v>
      </c>
      <c r="D14" s="466">
        <v>252</v>
      </c>
      <c r="E14" s="466">
        <v>25749</v>
      </c>
      <c r="F14" s="466">
        <v>2351</v>
      </c>
      <c r="G14" s="466">
        <v>6448</v>
      </c>
      <c r="H14" s="466">
        <v>1074</v>
      </c>
      <c r="I14" s="467"/>
      <c r="J14" s="467"/>
      <c r="K14" s="1671">
        <f t="shared" si="0"/>
        <v>67306</v>
      </c>
      <c r="L14" s="466">
        <v>67307</v>
      </c>
    </row>
    <row r="15" spans="1:14" x14ac:dyDescent="0.2">
      <c r="A15" s="1504" t="s">
        <v>964</v>
      </c>
      <c r="B15" s="614">
        <v>1600</v>
      </c>
      <c r="C15" s="466"/>
      <c r="D15" s="466"/>
      <c r="E15" s="466"/>
      <c r="F15" s="466"/>
      <c r="G15" s="466"/>
      <c r="H15" s="466"/>
      <c r="I15" s="467"/>
      <c r="J15" s="467"/>
      <c r="K15" s="1671">
        <f t="shared" si="0"/>
        <v>0</v>
      </c>
      <c r="L15" s="466">
        <v>0</v>
      </c>
    </row>
    <row r="16" spans="1:14" x14ac:dyDescent="0.2">
      <c r="A16" s="1504" t="s">
        <v>987</v>
      </c>
      <c r="B16" s="614" t="s">
        <v>424</v>
      </c>
      <c r="C16" s="466"/>
      <c r="D16" s="466"/>
      <c r="E16" s="466"/>
      <c r="F16" s="466"/>
      <c r="G16" s="466"/>
      <c r="H16" s="466"/>
      <c r="I16" s="467"/>
      <c r="J16" s="467"/>
      <c r="K16" s="1671">
        <f t="shared" si="0"/>
        <v>0</v>
      </c>
      <c r="L16" s="466">
        <v>0</v>
      </c>
    </row>
    <row r="17" spans="1:12" x14ac:dyDescent="0.2">
      <c r="A17" s="1504" t="s">
        <v>724</v>
      </c>
      <c r="B17" s="614" t="s">
        <v>162</v>
      </c>
      <c r="C17" s="467"/>
      <c r="D17" s="467"/>
      <c r="E17" s="467"/>
      <c r="F17" s="467"/>
      <c r="G17" s="467"/>
      <c r="H17" s="467"/>
      <c r="I17" s="467"/>
      <c r="J17" s="467"/>
      <c r="K17" s="1671">
        <f t="shared" si="0"/>
        <v>0</v>
      </c>
      <c r="L17" s="466">
        <v>0</v>
      </c>
    </row>
    <row r="18" spans="1:12" x14ac:dyDescent="0.2">
      <c r="A18" s="1504" t="s">
        <v>1087</v>
      </c>
      <c r="B18" s="614">
        <v>1800</v>
      </c>
      <c r="C18" s="466"/>
      <c r="D18" s="466"/>
      <c r="E18" s="466"/>
      <c r="F18" s="466"/>
      <c r="G18" s="466"/>
      <c r="H18" s="466"/>
      <c r="I18" s="467"/>
      <c r="J18" s="467"/>
      <c r="K18" s="1671">
        <f t="shared" si="0"/>
        <v>0</v>
      </c>
      <c r="L18" s="466">
        <v>0</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0</v>
      </c>
    </row>
    <row r="23" spans="1:12" x14ac:dyDescent="0.2">
      <c r="A23" s="1505" t="s">
        <v>741</v>
      </c>
      <c r="B23" s="602" t="s">
        <v>728</v>
      </c>
      <c r="C23" s="477"/>
      <c r="D23" s="477"/>
      <c r="E23" s="477"/>
      <c r="F23" s="477"/>
      <c r="G23" s="477"/>
      <c r="H23" s="474"/>
      <c r="I23" s="616"/>
      <c r="J23" s="477"/>
      <c r="K23" s="1671">
        <f t="shared" si="0"/>
        <v>0</v>
      </c>
      <c r="L23" s="471">
        <v>0</v>
      </c>
    </row>
    <row r="24" spans="1:12" ht="12.75" customHeight="1" x14ac:dyDescent="0.2">
      <c r="A24" s="1505" t="s">
        <v>742</v>
      </c>
      <c r="B24" s="602" t="s">
        <v>729</v>
      </c>
      <c r="C24" s="477"/>
      <c r="D24" s="477"/>
      <c r="E24" s="477"/>
      <c r="F24" s="477"/>
      <c r="G24" s="477"/>
      <c r="H24" s="474"/>
      <c r="I24" s="616"/>
      <c r="J24" s="477"/>
      <c r="K24" s="1671">
        <f t="shared" si="0"/>
        <v>0</v>
      </c>
      <c r="L24" s="471">
        <v>0</v>
      </c>
    </row>
    <row r="25" spans="1:12" ht="12.7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c r="I32" s="616"/>
      <c r="J32" s="480"/>
      <c r="K32" s="1671">
        <f t="shared" si="0"/>
        <v>0</v>
      </c>
      <c r="L32" s="471">
        <v>0</v>
      </c>
    </row>
    <row r="33" spans="1:14" ht="12.75" customHeight="1" thickBot="1" x14ac:dyDescent="0.25">
      <c r="A33" s="1668" t="s">
        <v>1668</v>
      </c>
      <c r="B33" s="1669" t="s">
        <v>570</v>
      </c>
      <c r="C33" s="1670">
        <f>SUM(C5:C32)</f>
        <v>1176605</v>
      </c>
      <c r="D33" s="1670">
        <f t="shared" ref="D33:L33" si="1">SUM(D5:D32)</f>
        <v>92670</v>
      </c>
      <c r="E33" s="1670">
        <f t="shared" si="1"/>
        <v>44392</v>
      </c>
      <c r="F33" s="1670">
        <f t="shared" si="1"/>
        <v>17488</v>
      </c>
      <c r="G33" s="1670">
        <f t="shared" si="1"/>
        <v>6448</v>
      </c>
      <c r="H33" s="1670">
        <f t="shared" si="1"/>
        <v>1074</v>
      </c>
      <c r="I33" s="1670">
        <f t="shared" si="1"/>
        <v>0</v>
      </c>
      <c r="J33" s="1670">
        <f t="shared" si="1"/>
        <v>0</v>
      </c>
      <c r="K33" s="1670">
        <f t="shared" si="1"/>
        <v>1338677</v>
      </c>
      <c r="L33" s="1670">
        <f t="shared" si="1"/>
        <v>1338208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v>0</v>
      </c>
    </row>
    <row r="37" spans="1:14" x14ac:dyDescent="0.2">
      <c r="A37" s="1504" t="s">
        <v>1090</v>
      </c>
      <c r="B37" s="614">
        <v>2120</v>
      </c>
      <c r="C37" s="466">
        <v>41470</v>
      </c>
      <c r="D37" s="466">
        <v>3322</v>
      </c>
      <c r="E37" s="466">
        <v>60</v>
      </c>
      <c r="F37" s="466">
        <v>650</v>
      </c>
      <c r="G37" s="466"/>
      <c r="H37" s="466"/>
      <c r="I37" s="467"/>
      <c r="J37" s="467"/>
      <c r="K37" s="1671">
        <f t="shared" si="2"/>
        <v>45502</v>
      </c>
      <c r="L37" s="466">
        <v>46046</v>
      </c>
    </row>
    <row r="38" spans="1:14" x14ac:dyDescent="0.2">
      <c r="A38" s="1504" t="s">
        <v>198</v>
      </c>
      <c r="B38" s="614">
        <v>2130</v>
      </c>
      <c r="C38" s="466">
        <v>36901</v>
      </c>
      <c r="D38" s="466">
        <v>2079</v>
      </c>
      <c r="E38" s="466"/>
      <c r="F38" s="466">
        <v>3073</v>
      </c>
      <c r="G38" s="466"/>
      <c r="H38" s="466"/>
      <c r="I38" s="467"/>
      <c r="J38" s="467"/>
      <c r="K38" s="1671">
        <f t="shared" si="2"/>
        <v>42053</v>
      </c>
      <c r="L38" s="466">
        <v>39974</v>
      </c>
    </row>
    <row r="39" spans="1:14" x14ac:dyDescent="0.2">
      <c r="A39" s="1504" t="s">
        <v>199</v>
      </c>
      <c r="B39" s="614">
        <v>2140</v>
      </c>
      <c r="C39" s="466"/>
      <c r="D39" s="466"/>
      <c r="E39" s="466"/>
      <c r="F39" s="466"/>
      <c r="G39" s="466"/>
      <c r="H39" s="466"/>
      <c r="I39" s="467"/>
      <c r="J39" s="467"/>
      <c r="K39" s="1671">
        <f t="shared" si="2"/>
        <v>0</v>
      </c>
      <c r="L39" s="466">
        <v>0</v>
      </c>
    </row>
    <row r="40" spans="1:14" x14ac:dyDescent="0.2">
      <c r="A40" s="1504" t="s">
        <v>200</v>
      </c>
      <c r="B40" s="614">
        <v>2150</v>
      </c>
      <c r="C40" s="466"/>
      <c r="D40" s="466"/>
      <c r="E40" s="466"/>
      <c r="F40" s="466"/>
      <c r="G40" s="466"/>
      <c r="H40" s="466"/>
      <c r="I40" s="467"/>
      <c r="J40" s="467"/>
      <c r="K40" s="1671">
        <f t="shared" si="2"/>
        <v>0</v>
      </c>
      <c r="L40" s="466">
        <v>0</v>
      </c>
    </row>
    <row r="41" spans="1:14" x14ac:dyDescent="0.2">
      <c r="A41" s="1504" t="s">
        <v>1669</v>
      </c>
      <c r="B41" s="614">
        <v>2190</v>
      </c>
      <c r="C41" s="466"/>
      <c r="D41" s="466"/>
      <c r="E41" s="466"/>
      <c r="F41" s="466"/>
      <c r="G41" s="466"/>
      <c r="H41" s="466"/>
      <c r="I41" s="467"/>
      <c r="J41" s="467"/>
      <c r="K41" s="1671">
        <f t="shared" si="2"/>
        <v>0</v>
      </c>
      <c r="L41" s="466">
        <v>0</v>
      </c>
    </row>
    <row r="42" spans="1:14" ht="12.75" customHeight="1" thickBot="1" x14ac:dyDescent="0.25">
      <c r="A42" s="1668" t="s">
        <v>560</v>
      </c>
      <c r="B42" s="1669" t="s">
        <v>716</v>
      </c>
      <c r="C42" s="1670">
        <f>SUM(C36:C41)</f>
        <v>78371</v>
      </c>
      <c r="D42" s="1670">
        <f t="shared" ref="D42:L42" si="3">SUM(D36:D41)</f>
        <v>5401</v>
      </c>
      <c r="E42" s="1670">
        <f t="shared" si="3"/>
        <v>60</v>
      </c>
      <c r="F42" s="1670">
        <f t="shared" si="3"/>
        <v>3723</v>
      </c>
      <c r="G42" s="1670">
        <f t="shared" si="3"/>
        <v>0</v>
      </c>
      <c r="H42" s="1670">
        <f t="shared" si="3"/>
        <v>0</v>
      </c>
      <c r="I42" s="1670">
        <f t="shared" si="3"/>
        <v>0</v>
      </c>
      <c r="J42" s="1670">
        <f t="shared" si="3"/>
        <v>0</v>
      </c>
      <c r="K42" s="1670">
        <f t="shared" si="3"/>
        <v>87555</v>
      </c>
      <c r="L42" s="1670">
        <f t="shared" si="3"/>
        <v>86020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2000</v>
      </c>
      <c r="D44" s="481">
        <v>144</v>
      </c>
      <c r="E44" s="481">
        <v>25668</v>
      </c>
      <c r="F44" s="481">
        <v>488</v>
      </c>
      <c r="G44" s="481"/>
      <c r="H44" s="481">
        <v>909</v>
      </c>
      <c r="I44" s="467"/>
      <c r="J44" s="467"/>
      <c r="K44" s="1672">
        <f>SUM(C44:J44)</f>
        <v>29209</v>
      </c>
      <c r="L44" s="481">
        <v>29210</v>
      </c>
    </row>
    <row r="45" spans="1:14" x14ac:dyDescent="0.2">
      <c r="A45" s="1504" t="s">
        <v>815</v>
      </c>
      <c r="B45" s="614">
        <v>2220</v>
      </c>
      <c r="C45" s="466">
        <v>6239</v>
      </c>
      <c r="D45" s="466">
        <v>1098</v>
      </c>
      <c r="E45" s="466">
        <v>742</v>
      </c>
      <c r="F45" s="466">
        <v>4950</v>
      </c>
      <c r="G45" s="466">
        <v>769</v>
      </c>
      <c r="H45" s="466"/>
      <c r="I45" s="467"/>
      <c r="J45" s="467"/>
      <c r="K45" s="1672">
        <f>SUM(C45:J45)</f>
        <v>13798</v>
      </c>
      <c r="L45" s="466">
        <v>8002</v>
      </c>
    </row>
    <row r="46" spans="1:14" x14ac:dyDescent="0.2">
      <c r="A46" s="1504" t="s">
        <v>816</v>
      </c>
      <c r="B46" s="614">
        <v>2230</v>
      </c>
      <c r="C46" s="466"/>
      <c r="D46" s="466"/>
      <c r="E46" s="466"/>
      <c r="F46" s="466"/>
      <c r="G46" s="466"/>
      <c r="H46" s="466"/>
      <c r="I46" s="467"/>
      <c r="J46" s="467"/>
      <c r="K46" s="1672">
        <f>SUM(C46:J46)</f>
        <v>0</v>
      </c>
      <c r="L46" s="466">
        <v>0</v>
      </c>
    </row>
    <row r="47" spans="1:14" ht="12.75" customHeight="1" thickBot="1" x14ac:dyDescent="0.25">
      <c r="A47" s="1668" t="s">
        <v>561</v>
      </c>
      <c r="B47" s="1669" t="s">
        <v>32</v>
      </c>
      <c r="C47" s="1670">
        <f>SUM(C44:C46)</f>
        <v>8239</v>
      </c>
      <c r="D47" s="1670">
        <f t="shared" ref="D47:K47" si="4">SUM(D44:D46)</f>
        <v>1242</v>
      </c>
      <c r="E47" s="1670">
        <f t="shared" si="4"/>
        <v>26410</v>
      </c>
      <c r="F47" s="1670">
        <f t="shared" si="4"/>
        <v>5438</v>
      </c>
      <c r="G47" s="1670">
        <f t="shared" si="4"/>
        <v>769</v>
      </c>
      <c r="H47" s="1670">
        <f t="shared" si="4"/>
        <v>909</v>
      </c>
      <c r="I47" s="1670">
        <f t="shared" si="4"/>
        <v>0</v>
      </c>
      <c r="J47" s="1670">
        <f t="shared" si="4"/>
        <v>0</v>
      </c>
      <c r="K47" s="1670">
        <f t="shared" si="4"/>
        <v>43007</v>
      </c>
      <c r="L47" s="1670">
        <f>SUM(L44:L46)</f>
        <v>37212</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4000</v>
      </c>
      <c r="D49" s="481"/>
      <c r="E49" s="481">
        <v>69456</v>
      </c>
      <c r="F49" s="481">
        <v>40</v>
      </c>
      <c r="G49" s="481"/>
      <c r="H49" s="481">
        <v>7174</v>
      </c>
      <c r="I49" s="467"/>
      <c r="J49" s="467"/>
      <c r="K49" s="1672">
        <f>SUM(C49:J49)</f>
        <v>80670</v>
      </c>
      <c r="L49" s="481">
        <v>80665</v>
      </c>
    </row>
    <row r="50" spans="1:14" x14ac:dyDescent="0.2">
      <c r="A50" s="1504" t="s">
        <v>818</v>
      </c>
      <c r="B50" s="614">
        <v>2320</v>
      </c>
      <c r="C50" s="466">
        <v>88065</v>
      </c>
      <c r="D50" s="466">
        <v>13762</v>
      </c>
      <c r="E50" s="466"/>
      <c r="F50" s="466"/>
      <c r="G50" s="466"/>
      <c r="H50" s="466"/>
      <c r="I50" s="467"/>
      <c r="J50" s="467"/>
      <c r="K50" s="1672">
        <f>SUM(C50:J50)</f>
        <v>101827</v>
      </c>
      <c r="L50" s="466">
        <v>101826</v>
      </c>
    </row>
    <row r="51" spans="1:14" x14ac:dyDescent="0.2">
      <c r="A51" s="1504" t="s">
        <v>42</v>
      </c>
      <c r="B51" s="614">
        <v>2330</v>
      </c>
      <c r="C51" s="466"/>
      <c r="D51" s="466"/>
      <c r="E51" s="466"/>
      <c r="F51" s="466"/>
      <c r="G51" s="466"/>
      <c r="H51" s="466"/>
      <c r="I51" s="467"/>
      <c r="J51" s="467"/>
      <c r="K51" s="1672">
        <f>SUM(C51:J51)</f>
        <v>0</v>
      </c>
      <c r="L51" s="466">
        <v>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92065</v>
      </c>
      <c r="D53" s="1670">
        <f t="shared" ref="D53:L53" si="5">SUM(D49:D52)</f>
        <v>13762</v>
      </c>
      <c r="E53" s="1670">
        <f t="shared" si="5"/>
        <v>69456</v>
      </c>
      <c r="F53" s="1670">
        <f t="shared" si="5"/>
        <v>40</v>
      </c>
      <c r="G53" s="1670">
        <f t="shared" si="5"/>
        <v>0</v>
      </c>
      <c r="H53" s="1670">
        <f t="shared" si="5"/>
        <v>7174</v>
      </c>
      <c r="I53" s="1670">
        <f t="shared" si="5"/>
        <v>0</v>
      </c>
      <c r="J53" s="1670">
        <f t="shared" si="5"/>
        <v>0</v>
      </c>
      <c r="K53" s="1670">
        <f t="shared" si="5"/>
        <v>182497</v>
      </c>
      <c r="L53" s="1670">
        <f t="shared" si="5"/>
        <v>182491</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129348</v>
      </c>
      <c r="D55" s="481">
        <v>15106</v>
      </c>
      <c r="E55" s="481">
        <v>1439</v>
      </c>
      <c r="F55" s="481">
        <v>3006</v>
      </c>
      <c r="G55" s="481"/>
      <c r="H55" s="481"/>
      <c r="I55" s="467"/>
      <c r="J55" s="467"/>
      <c r="K55" s="1672">
        <f>SUM(C55:J55)</f>
        <v>148899</v>
      </c>
      <c r="L55" s="481">
        <v>149396</v>
      </c>
    </row>
    <row r="56" spans="1:14" ht="12.75" customHeight="1" x14ac:dyDescent="0.2">
      <c r="A56" s="1508" t="s">
        <v>376</v>
      </c>
      <c r="B56" s="628">
        <v>2490</v>
      </c>
      <c r="C56" s="466"/>
      <c r="D56" s="466"/>
      <c r="E56" s="466"/>
      <c r="F56" s="466"/>
      <c r="G56" s="466"/>
      <c r="H56" s="466"/>
      <c r="I56" s="467"/>
      <c r="J56" s="467"/>
      <c r="K56" s="1672">
        <f>SUM(C56:J56)</f>
        <v>0</v>
      </c>
      <c r="L56" s="466">
        <v>0</v>
      </c>
    </row>
    <row r="57" spans="1:14" s="343" customFormat="1" ht="12.75" customHeight="1" thickBot="1" x14ac:dyDescent="0.25">
      <c r="A57" s="1668" t="s">
        <v>263</v>
      </c>
      <c r="B57" s="1673" t="s">
        <v>34</v>
      </c>
      <c r="C57" s="1674">
        <f>SUM(C55:C56)</f>
        <v>129348</v>
      </c>
      <c r="D57" s="1674">
        <f t="shared" ref="D57:K57" si="6">SUM(D55:D56)</f>
        <v>15106</v>
      </c>
      <c r="E57" s="1674">
        <f t="shared" si="6"/>
        <v>1439</v>
      </c>
      <c r="F57" s="1674">
        <f t="shared" si="6"/>
        <v>3006</v>
      </c>
      <c r="G57" s="1674">
        <f t="shared" si="6"/>
        <v>0</v>
      </c>
      <c r="H57" s="1674">
        <f t="shared" si="6"/>
        <v>0</v>
      </c>
      <c r="I57" s="1674">
        <f t="shared" si="6"/>
        <v>0</v>
      </c>
      <c r="J57" s="1674">
        <f t="shared" si="6"/>
        <v>0</v>
      </c>
      <c r="K57" s="1674">
        <f t="shared" si="6"/>
        <v>148899</v>
      </c>
      <c r="L57" s="1670">
        <f>SUM(L55:L56)</f>
        <v>149396</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v>110</v>
      </c>
      <c r="I59" s="467"/>
      <c r="J59" s="467"/>
      <c r="K59" s="1672">
        <f t="shared" ref="K59:K64" si="7">SUM(C59:J59)</f>
        <v>110</v>
      </c>
      <c r="L59" s="481">
        <v>110</v>
      </c>
      <c r="M59" s="609"/>
      <c r="N59" s="609"/>
    </row>
    <row r="60" spans="1:14" s="343" customFormat="1" x14ac:dyDescent="0.2">
      <c r="A60" s="1504" t="s">
        <v>463</v>
      </c>
      <c r="B60" s="614">
        <v>2520</v>
      </c>
      <c r="C60" s="466">
        <v>120414</v>
      </c>
      <c r="D60" s="466">
        <v>5462</v>
      </c>
      <c r="E60" s="466">
        <v>6180</v>
      </c>
      <c r="F60" s="466">
        <v>3328</v>
      </c>
      <c r="G60" s="466"/>
      <c r="H60" s="466">
        <v>1090</v>
      </c>
      <c r="I60" s="467"/>
      <c r="J60" s="467"/>
      <c r="K60" s="1672">
        <f t="shared" si="7"/>
        <v>136474</v>
      </c>
      <c r="L60" s="466">
        <v>134037</v>
      </c>
      <c r="M60" s="609"/>
      <c r="N60" s="609"/>
    </row>
    <row r="61" spans="1:14" s="343" customFormat="1" x14ac:dyDescent="0.2">
      <c r="A61" s="1504" t="s">
        <v>197</v>
      </c>
      <c r="B61" s="614">
        <v>2540</v>
      </c>
      <c r="C61" s="466"/>
      <c r="D61" s="466"/>
      <c r="E61" s="466"/>
      <c r="F61" s="466"/>
      <c r="G61" s="466"/>
      <c r="H61" s="466"/>
      <c r="I61" s="467"/>
      <c r="J61" s="467"/>
      <c r="K61" s="1672">
        <f t="shared" si="7"/>
        <v>0</v>
      </c>
      <c r="L61" s="466">
        <v>0</v>
      </c>
      <c r="M61" s="609"/>
      <c r="N61" s="609"/>
    </row>
    <row r="62" spans="1:14" s="343" customFormat="1" x14ac:dyDescent="0.2">
      <c r="A62" s="1504" t="s">
        <v>953</v>
      </c>
      <c r="B62" s="614">
        <v>2550</v>
      </c>
      <c r="C62" s="466"/>
      <c r="D62" s="466"/>
      <c r="E62" s="466">
        <v>451</v>
      </c>
      <c r="F62" s="466"/>
      <c r="G62" s="466"/>
      <c r="H62" s="466"/>
      <c r="I62" s="467"/>
      <c r="J62" s="467"/>
      <c r="K62" s="1672">
        <f t="shared" si="7"/>
        <v>451</v>
      </c>
      <c r="L62" s="466">
        <v>451</v>
      </c>
      <c r="M62" s="609"/>
      <c r="N62" s="609"/>
    </row>
    <row r="63" spans="1:14" s="609" customFormat="1" x14ac:dyDescent="0.2">
      <c r="A63" s="1504" t="s">
        <v>100</v>
      </c>
      <c r="B63" s="614">
        <v>2560</v>
      </c>
      <c r="C63" s="466">
        <v>52862</v>
      </c>
      <c r="D63" s="466">
        <v>5420</v>
      </c>
      <c r="E63" s="466"/>
      <c r="F63" s="466">
        <v>38421</v>
      </c>
      <c r="G63" s="466"/>
      <c r="H63" s="466"/>
      <c r="I63" s="467"/>
      <c r="J63" s="467"/>
      <c r="K63" s="1672">
        <f t="shared" si="7"/>
        <v>96703</v>
      </c>
      <c r="L63" s="466">
        <v>95859</v>
      </c>
    </row>
    <row r="64" spans="1:14" s="609" customFormat="1" x14ac:dyDescent="0.2">
      <c r="A64" s="1509" t="s">
        <v>101</v>
      </c>
      <c r="B64" s="630">
        <v>2570</v>
      </c>
      <c r="C64" s="481"/>
      <c r="D64" s="481"/>
      <c r="E64" s="481">
        <v>260</v>
      </c>
      <c r="F64" s="481"/>
      <c r="G64" s="481"/>
      <c r="H64" s="481"/>
      <c r="I64" s="467"/>
      <c r="J64" s="467"/>
      <c r="K64" s="1672">
        <f t="shared" si="7"/>
        <v>260</v>
      </c>
      <c r="L64" s="481">
        <v>260</v>
      </c>
    </row>
    <row r="65" spans="1:14" s="343" customFormat="1" ht="12.75" customHeight="1" thickBot="1" x14ac:dyDescent="0.25">
      <c r="A65" s="1668" t="s">
        <v>719</v>
      </c>
      <c r="B65" s="1669" t="s">
        <v>35</v>
      </c>
      <c r="C65" s="1670">
        <f>SUM(C59:C64)</f>
        <v>173276</v>
      </c>
      <c r="D65" s="1670">
        <f t="shared" ref="D65:L65" si="8">SUM(D59:D64)</f>
        <v>10882</v>
      </c>
      <c r="E65" s="1670">
        <f t="shared" si="8"/>
        <v>6891</v>
      </c>
      <c r="F65" s="1670">
        <f t="shared" si="8"/>
        <v>41749</v>
      </c>
      <c r="G65" s="1670">
        <f t="shared" si="8"/>
        <v>0</v>
      </c>
      <c r="H65" s="1670">
        <f t="shared" si="8"/>
        <v>1200</v>
      </c>
      <c r="I65" s="1670">
        <f t="shared" si="8"/>
        <v>0</v>
      </c>
      <c r="J65" s="1670">
        <f t="shared" si="8"/>
        <v>0</v>
      </c>
      <c r="K65" s="1670">
        <f t="shared" si="8"/>
        <v>233998</v>
      </c>
      <c r="L65" s="1670">
        <f t="shared" si="8"/>
        <v>230717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c r="F69" s="466"/>
      <c r="G69" s="466"/>
      <c r="H69" s="466"/>
      <c r="I69" s="467"/>
      <c r="J69" s="467"/>
      <c r="K69" s="1672">
        <f>SUM(C69:J69)</f>
        <v>0</v>
      </c>
      <c r="L69" s="466">
        <v>0</v>
      </c>
      <c r="M69" s="609"/>
      <c r="N69" s="609"/>
    </row>
    <row r="70" spans="1:14" s="343" customFormat="1" x14ac:dyDescent="0.2">
      <c r="A70" s="1504" t="s">
        <v>403</v>
      </c>
      <c r="B70" s="614">
        <v>2640</v>
      </c>
      <c r="C70" s="466"/>
      <c r="D70" s="466"/>
      <c r="E70" s="466"/>
      <c r="F70" s="466"/>
      <c r="G70" s="466"/>
      <c r="H70" s="466"/>
      <c r="I70" s="467"/>
      <c r="J70" s="467"/>
      <c r="K70" s="1672">
        <f>SUM(C70:J70)</f>
        <v>0</v>
      </c>
      <c r="L70" s="466">
        <v>0</v>
      </c>
      <c r="M70" s="609"/>
      <c r="N70" s="609"/>
    </row>
    <row r="71" spans="1:14" s="343" customFormat="1" x14ac:dyDescent="0.2">
      <c r="A71" s="1504" t="s">
        <v>404</v>
      </c>
      <c r="B71" s="614">
        <v>2660</v>
      </c>
      <c r="C71" s="466"/>
      <c r="D71" s="466"/>
      <c r="E71" s="466"/>
      <c r="F71" s="466"/>
      <c r="G71" s="466"/>
      <c r="H71" s="466"/>
      <c r="I71" s="467"/>
      <c r="J71" s="467"/>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0</v>
      </c>
      <c r="M73" s="609"/>
      <c r="N73" s="609"/>
    </row>
    <row r="74" spans="1:14" ht="12.75" customHeight="1" thickTop="1" thickBot="1" x14ac:dyDescent="0.25">
      <c r="A74" s="1668" t="s">
        <v>811</v>
      </c>
      <c r="B74" s="1676">
        <v>2000</v>
      </c>
      <c r="C74" s="1677">
        <f>SUM(C42,C47,C53,C57,C65,C72,C73)</f>
        <v>481299</v>
      </c>
      <c r="D74" s="1677">
        <f t="shared" ref="D74:K74" si="10">SUM(D42,D47,D53,D57,D65,D72,D73)</f>
        <v>46393</v>
      </c>
      <c r="E74" s="1677">
        <f t="shared" si="10"/>
        <v>104256</v>
      </c>
      <c r="F74" s="1677">
        <f t="shared" si="10"/>
        <v>53956</v>
      </c>
      <c r="G74" s="1677">
        <f t="shared" si="10"/>
        <v>769</v>
      </c>
      <c r="H74" s="1677">
        <f t="shared" si="10"/>
        <v>9283</v>
      </c>
      <c r="I74" s="1677">
        <f t="shared" si="10"/>
        <v>0</v>
      </c>
      <c r="J74" s="1677">
        <f t="shared" si="10"/>
        <v>0</v>
      </c>
      <c r="K74" s="1677">
        <f t="shared" si="10"/>
        <v>695956</v>
      </c>
      <c r="L74" s="1677">
        <f>SUM(L42,L47,L53,L57,L65,L72,L73)</f>
        <v>685836</v>
      </c>
    </row>
    <row r="75" spans="1:14" s="259" customFormat="1" ht="15.75" customHeight="1" thickTop="1" thickBot="1" x14ac:dyDescent="0.25">
      <c r="A75" s="1610" t="s">
        <v>47</v>
      </c>
      <c r="B75" s="1611" t="s">
        <v>575</v>
      </c>
      <c r="C75" s="573"/>
      <c r="D75" s="573"/>
      <c r="E75" s="573">
        <v>1500</v>
      </c>
      <c r="F75" s="573">
        <v>277</v>
      </c>
      <c r="G75" s="573"/>
      <c r="H75" s="573"/>
      <c r="I75" s="531"/>
      <c r="J75" s="531"/>
      <c r="K75" s="1670">
        <f>SUM(C75:J75)</f>
        <v>1777</v>
      </c>
      <c r="L75" s="576">
        <v>1777</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0</v>
      </c>
    </row>
    <row r="79" spans="1:14" x14ac:dyDescent="0.2">
      <c r="A79" s="1504" t="s">
        <v>304</v>
      </c>
      <c r="B79" s="614">
        <v>4120</v>
      </c>
      <c r="C79" s="616"/>
      <c r="D79" s="616"/>
      <c r="E79" s="466">
        <v>229175</v>
      </c>
      <c r="F79" s="616"/>
      <c r="G79" s="616"/>
      <c r="H79" s="466"/>
      <c r="I79" s="477"/>
      <c r="J79" s="477"/>
      <c r="K79" s="1671">
        <f t="shared" si="11"/>
        <v>229175</v>
      </c>
      <c r="L79" s="466">
        <v>229175</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v>7000</v>
      </c>
      <c r="F81" s="616"/>
      <c r="G81" s="616"/>
      <c r="H81" s="466"/>
      <c r="I81" s="477"/>
      <c r="J81" s="477"/>
      <c r="K81" s="1671">
        <f t="shared" si="11"/>
        <v>7000</v>
      </c>
      <c r="L81" s="466">
        <v>7000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v>4700</v>
      </c>
      <c r="F83" s="616"/>
      <c r="G83" s="616"/>
      <c r="H83" s="466"/>
      <c r="I83" s="477"/>
      <c r="J83" s="477"/>
      <c r="K83" s="1671">
        <f t="shared" si="11"/>
        <v>4700</v>
      </c>
      <c r="L83" s="466">
        <v>4700</v>
      </c>
    </row>
    <row r="84" spans="1:12" ht="13.5" thickBot="1" x14ac:dyDescent="0.25">
      <c r="A84" s="1668" t="s">
        <v>1485</v>
      </c>
      <c r="B84" s="1678">
        <v>4100</v>
      </c>
      <c r="C84" s="616"/>
      <c r="D84" s="616"/>
      <c r="E84" s="1670">
        <f>SUM(E78:E83)</f>
        <v>240875</v>
      </c>
      <c r="F84" s="616"/>
      <c r="G84" s="616"/>
      <c r="H84" s="1670">
        <f>SUM(H78:H83)</f>
        <v>0</v>
      </c>
      <c r="I84" s="477"/>
      <c r="J84" s="477"/>
      <c r="K84" s="1670">
        <f>SUM(K78:K83)</f>
        <v>240875</v>
      </c>
      <c r="L84" s="1670">
        <f>SUM(L78:L83)</f>
        <v>240875</v>
      </c>
    </row>
    <row r="85" spans="1:12" ht="12.75" customHeight="1" thickTop="1" thickBot="1" x14ac:dyDescent="0.25">
      <c r="A85" s="1511" t="s">
        <v>255</v>
      </c>
      <c r="B85" s="635">
        <v>4210</v>
      </c>
      <c r="C85" s="616"/>
      <c r="D85" s="616"/>
      <c r="E85" s="636"/>
      <c r="F85" s="616"/>
      <c r="G85" s="616"/>
      <c r="H85" s="535"/>
      <c r="I85" s="477"/>
      <c r="J85" s="477"/>
      <c r="K85" s="1677">
        <f>H85</f>
        <v>0</v>
      </c>
      <c r="L85" s="530">
        <v>0</v>
      </c>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0</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2.75" customHeight="1" thickTop="1" thickBot="1" x14ac:dyDescent="0.25">
      <c r="A88" s="1513" t="s">
        <v>765</v>
      </c>
      <c r="B88" s="639">
        <v>4240</v>
      </c>
      <c r="C88" s="616"/>
      <c r="D88" s="616"/>
      <c r="E88" s="638"/>
      <c r="F88" s="616"/>
      <c r="G88" s="616"/>
      <c r="H88" s="467"/>
      <c r="I88" s="477"/>
      <c r="J88" s="477"/>
      <c r="K88" s="1677">
        <f t="shared" si="12"/>
        <v>0</v>
      </c>
      <c r="L88" s="530">
        <v>0</v>
      </c>
    </row>
    <row r="89" spans="1:12" ht="12.75" customHeight="1" thickTop="1" thickBot="1" x14ac:dyDescent="0.25">
      <c r="A89" s="1513" t="s">
        <v>701</v>
      </c>
      <c r="B89" s="639">
        <v>4270</v>
      </c>
      <c r="C89" s="616"/>
      <c r="D89" s="616"/>
      <c r="E89" s="638"/>
      <c r="F89" s="616"/>
      <c r="G89" s="616"/>
      <c r="H89" s="467"/>
      <c r="I89" s="477"/>
      <c r="J89" s="477"/>
      <c r="K89" s="1677">
        <f t="shared" si="12"/>
        <v>0</v>
      </c>
      <c r="L89" s="530">
        <v>0</v>
      </c>
    </row>
    <row r="90" spans="1:12" ht="12.75" customHeight="1" thickTop="1" thickBot="1" x14ac:dyDescent="0.25">
      <c r="A90" s="1513" t="s">
        <v>686</v>
      </c>
      <c r="B90" s="639">
        <v>4280</v>
      </c>
      <c r="C90" s="616"/>
      <c r="D90" s="616"/>
      <c r="E90" s="638"/>
      <c r="F90" s="616"/>
      <c r="G90" s="616"/>
      <c r="H90" s="467"/>
      <c r="I90" s="477"/>
      <c r="J90" s="477"/>
      <c r="K90" s="1677">
        <f t="shared" si="12"/>
        <v>0</v>
      </c>
      <c r="L90" s="530">
        <v>0</v>
      </c>
    </row>
    <row r="91" spans="1:12" ht="12.7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2.75" customHeight="1" thickTop="1" thickBot="1" x14ac:dyDescent="0.25">
      <c r="A94" s="1513" t="s">
        <v>689</v>
      </c>
      <c r="B94" s="639">
        <v>4320</v>
      </c>
      <c r="C94" s="616"/>
      <c r="D94" s="616"/>
      <c r="E94" s="638"/>
      <c r="F94" s="616"/>
      <c r="G94" s="616"/>
      <c r="H94" s="467"/>
      <c r="I94" s="477"/>
      <c r="J94" s="477"/>
      <c r="K94" s="1677">
        <f t="shared" si="12"/>
        <v>0</v>
      </c>
      <c r="L94" s="530">
        <v>0</v>
      </c>
    </row>
    <row r="95" spans="1:12" ht="15" customHeight="1" thickTop="1" thickBot="1" x14ac:dyDescent="0.25">
      <c r="A95" s="1513" t="s">
        <v>1488</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2.7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v>0</v>
      </c>
    </row>
    <row r="102" spans="1:14" ht="12.75" customHeight="1" thickTop="1" thickBot="1" x14ac:dyDescent="0.25">
      <c r="A102" s="1668" t="s">
        <v>1487</v>
      </c>
      <c r="B102" s="1678">
        <v>4000</v>
      </c>
      <c r="C102" s="616"/>
      <c r="D102" s="616"/>
      <c r="E102" s="1677">
        <f>SUM(E84,E92,E100,E101)</f>
        <v>240875</v>
      </c>
      <c r="F102" s="616"/>
      <c r="G102" s="616"/>
      <c r="H102" s="1677">
        <f>SUM(H84,H92,H100,H101)</f>
        <v>0</v>
      </c>
      <c r="I102" s="477"/>
      <c r="J102" s="477"/>
      <c r="K102" s="1677">
        <f>SUM(K84,K92,K100,K101)</f>
        <v>240875</v>
      </c>
      <c r="L102" s="1677">
        <f>SUM(L84,L92,L100,L101)</f>
        <v>240875</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1657904</v>
      </c>
      <c r="D114" s="1670">
        <f t="shared" ref="D114:K114" si="13">SUM(D33,D74,D75,D102,D112,D113)</f>
        <v>139063</v>
      </c>
      <c r="E114" s="1670">
        <f t="shared" si="13"/>
        <v>391023</v>
      </c>
      <c r="F114" s="1670">
        <f t="shared" si="13"/>
        <v>71721</v>
      </c>
      <c r="G114" s="1670">
        <f t="shared" si="13"/>
        <v>7217</v>
      </c>
      <c r="H114" s="1670">
        <f>SUM(H33,H74,H75,H102,H112,H113)</f>
        <v>10357</v>
      </c>
      <c r="I114" s="1670">
        <f t="shared" si="13"/>
        <v>0</v>
      </c>
      <c r="J114" s="1670">
        <f t="shared" si="13"/>
        <v>0</v>
      </c>
      <c r="K114" s="1670">
        <f t="shared" si="13"/>
        <v>2277285</v>
      </c>
      <c r="L114" s="1670">
        <f>SUM(L33,L74,L75,L102,L112,L113)</f>
        <v>2266696</v>
      </c>
    </row>
    <row r="115" spans="1:14" ht="13.5" thickTop="1" x14ac:dyDescent="0.2">
      <c r="A115" s="2178" t="s">
        <v>996</v>
      </c>
      <c r="B115" s="2179"/>
      <c r="C115" s="618"/>
      <c r="D115" s="618"/>
      <c r="E115" s="618"/>
      <c r="F115" s="618"/>
      <c r="G115" s="618"/>
      <c r="H115" s="618"/>
      <c r="I115" s="618"/>
      <c r="J115" s="618"/>
      <c r="K115" s="1684">
        <f>'Revenues 9-14'!C268-'Expenditures 15-22'!K114</f>
        <v>46024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6" t="s">
        <v>296</v>
      </c>
      <c r="B117" s="215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c r="F123" s="466"/>
      <c r="G123" s="466">
        <v>5727</v>
      </c>
      <c r="H123" s="466"/>
      <c r="I123" s="467"/>
      <c r="J123" s="467"/>
      <c r="K123" s="1670">
        <f>SUM(C123:J123)</f>
        <v>5727</v>
      </c>
      <c r="L123" s="466">
        <v>5728</v>
      </c>
    </row>
    <row r="124" spans="1:14" ht="14.25" thickTop="1" thickBot="1" x14ac:dyDescent="0.25">
      <c r="A124" s="1504" t="s">
        <v>197</v>
      </c>
      <c r="B124" s="614">
        <v>2540</v>
      </c>
      <c r="C124" s="466">
        <v>116494</v>
      </c>
      <c r="D124" s="466">
        <v>8458</v>
      </c>
      <c r="E124" s="466">
        <v>62793</v>
      </c>
      <c r="F124" s="466">
        <v>69285</v>
      </c>
      <c r="G124" s="466">
        <v>124988</v>
      </c>
      <c r="H124" s="466"/>
      <c r="I124" s="467"/>
      <c r="J124" s="467"/>
      <c r="K124" s="1670">
        <f>SUM(C124:J124)</f>
        <v>382018</v>
      </c>
      <c r="L124" s="466">
        <v>381258</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116494</v>
      </c>
      <c r="D127" s="1670">
        <f t="shared" ref="D127:L127" si="14">SUM(D122:D126)</f>
        <v>8458</v>
      </c>
      <c r="E127" s="1670">
        <f t="shared" si="14"/>
        <v>62793</v>
      </c>
      <c r="F127" s="1670">
        <f t="shared" si="14"/>
        <v>69285</v>
      </c>
      <c r="G127" s="1670">
        <f t="shared" si="14"/>
        <v>130715</v>
      </c>
      <c r="H127" s="1670">
        <f t="shared" si="14"/>
        <v>0</v>
      </c>
      <c r="I127" s="1670">
        <f t="shared" si="14"/>
        <v>0</v>
      </c>
      <c r="J127" s="1670">
        <f t="shared" si="14"/>
        <v>0</v>
      </c>
      <c r="K127" s="1670">
        <f t="shared" si="14"/>
        <v>387745</v>
      </c>
      <c r="L127" s="1670">
        <f t="shared" si="14"/>
        <v>386986</v>
      </c>
    </row>
    <row r="128" spans="1:14" ht="12.75" customHeight="1" thickTop="1" x14ac:dyDescent="0.2">
      <c r="A128" s="1511" t="s">
        <v>980</v>
      </c>
      <c r="B128" s="655" t="s">
        <v>574</v>
      </c>
      <c r="C128" s="656"/>
      <c r="D128" s="656"/>
      <c r="E128" s="656"/>
      <c r="F128" s="656"/>
      <c r="G128" s="656"/>
      <c r="H128" s="656"/>
      <c r="I128" s="535"/>
      <c r="J128" s="535"/>
      <c r="K128" s="1685">
        <f>SUM(C128:J128)</f>
        <v>0</v>
      </c>
      <c r="L128" s="656">
        <v>0</v>
      </c>
    </row>
    <row r="129" spans="1:14" ht="12.75" customHeight="1" thickBot="1" x14ac:dyDescent="0.25">
      <c r="A129" s="1686" t="s">
        <v>811</v>
      </c>
      <c r="B129" s="1687" t="s">
        <v>569</v>
      </c>
      <c r="C129" s="1677">
        <f>SUM(C120,C127,C128)</f>
        <v>116494</v>
      </c>
      <c r="D129" s="1677">
        <f t="shared" ref="D129:L129" si="15">SUM(D120,D127,D128)</f>
        <v>8458</v>
      </c>
      <c r="E129" s="1677">
        <f t="shared" si="15"/>
        <v>62793</v>
      </c>
      <c r="F129" s="1677">
        <f t="shared" si="15"/>
        <v>69285</v>
      </c>
      <c r="G129" s="1677">
        <f t="shared" si="15"/>
        <v>130715</v>
      </c>
      <c r="H129" s="1677">
        <f t="shared" si="15"/>
        <v>0</v>
      </c>
      <c r="I129" s="1677">
        <f t="shared" si="15"/>
        <v>0</v>
      </c>
      <c r="J129" s="1677">
        <f t="shared" si="15"/>
        <v>0</v>
      </c>
      <c r="K129" s="1677">
        <f t="shared" si="15"/>
        <v>387745</v>
      </c>
      <c r="L129" s="1677">
        <f t="shared" si="15"/>
        <v>386986</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c r="I134" s="477"/>
      <c r="J134" s="616"/>
      <c r="K134" s="1672">
        <f>SUM(E134,H134)</f>
        <v>0</v>
      </c>
      <c r="L134" s="481">
        <v>0</v>
      </c>
    </row>
    <row r="135" spans="1:14" x14ac:dyDescent="0.2">
      <c r="A135" s="1504" t="s">
        <v>697</v>
      </c>
      <c r="B135" s="614">
        <v>4140</v>
      </c>
      <c r="C135" s="616"/>
      <c r="D135" s="616"/>
      <c r="E135" s="467"/>
      <c r="F135" s="616"/>
      <c r="G135" s="616"/>
      <c r="H135" s="466"/>
      <c r="I135" s="477"/>
      <c r="J135" s="616"/>
      <c r="K135" s="1672">
        <f>SUM(E135,H135)</f>
        <v>0</v>
      </c>
      <c r="L135" s="466">
        <v>0</v>
      </c>
    </row>
    <row r="136" spans="1:14" x14ac:dyDescent="0.2">
      <c r="A136" s="1508" t="s">
        <v>698</v>
      </c>
      <c r="B136" s="628">
        <v>4190</v>
      </c>
      <c r="C136" s="616"/>
      <c r="D136" s="616"/>
      <c r="E136" s="467"/>
      <c r="F136" s="616"/>
      <c r="G136" s="616"/>
      <c r="H136" s="466"/>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2.75" customHeight="1" x14ac:dyDescent="0.2">
      <c r="A146" s="1504" t="s">
        <v>619</v>
      </c>
      <c r="B146" s="614" t="s">
        <v>618</v>
      </c>
      <c r="C146" s="616"/>
      <c r="D146" s="616"/>
      <c r="E146" s="616"/>
      <c r="F146" s="616"/>
      <c r="G146" s="616"/>
      <c r="H146" s="466"/>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68" t="s">
        <v>620</v>
      </c>
      <c r="B151" s="2150"/>
      <c r="C151" s="1670">
        <f>SUM(C129,C130,C139,C149,C150)</f>
        <v>116494</v>
      </c>
      <c r="D151" s="1670">
        <f t="shared" ref="D151:K151" si="16">SUM(D129,D130,D139,D149,D150)</f>
        <v>8458</v>
      </c>
      <c r="E151" s="1670">
        <f t="shared" si="16"/>
        <v>62793</v>
      </c>
      <c r="F151" s="1670">
        <f t="shared" si="16"/>
        <v>69285</v>
      </c>
      <c r="G151" s="1670">
        <f t="shared" si="16"/>
        <v>130715</v>
      </c>
      <c r="H151" s="1670">
        <f t="shared" si="16"/>
        <v>0</v>
      </c>
      <c r="I151" s="1670">
        <f t="shared" si="16"/>
        <v>0</v>
      </c>
      <c r="J151" s="1670">
        <f t="shared" si="16"/>
        <v>0</v>
      </c>
      <c r="K151" s="1670">
        <f t="shared" si="16"/>
        <v>387745</v>
      </c>
      <c r="L151" s="1670">
        <f>SUM(L129,L130,L139,L149,L150)</f>
        <v>386986</v>
      </c>
    </row>
    <row r="152" spans="1:14" ht="12.75" customHeight="1" thickTop="1" x14ac:dyDescent="0.2">
      <c r="A152" s="2171" t="s">
        <v>1178</v>
      </c>
      <c r="B152" s="2172"/>
      <c r="C152" s="618"/>
      <c r="D152" s="618"/>
      <c r="E152" s="618"/>
      <c r="F152" s="618"/>
      <c r="G152" s="618"/>
      <c r="H152" s="618"/>
      <c r="I152" s="618"/>
      <c r="J152" s="616"/>
      <c r="K152" s="1684">
        <f>'Revenues 9-14'!D268-'Expenditures 15-22'!K151</f>
        <v>-133707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6" t="s">
        <v>621</v>
      </c>
      <c r="B154" s="215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v>0</v>
      </c>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c r="I166" s="616"/>
      <c r="J166" s="616"/>
      <c r="K166" s="1671">
        <f>SUM(C166:J166)</f>
        <v>0</v>
      </c>
      <c r="L166" s="466">
        <v>0</v>
      </c>
    </row>
    <row r="167" spans="1:14" ht="12.7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v>0</v>
      </c>
    </row>
    <row r="170" spans="1:14" ht="33.75" customHeight="1" x14ac:dyDescent="0.2">
      <c r="A170" s="669" t="s">
        <v>1670</v>
      </c>
      <c r="B170" s="671" t="s">
        <v>31</v>
      </c>
      <c r="C170" s="616"/>
      <c r="D170" s="616"/>
      <c r="E170" s="616"/>
      <c r="F170" s="616"/>
      <c r="G170" s="616"/>
      <c r="H170" s="569"/>
      <c r="I170" s="616"/>
      <c r="J170" s="616"/>
      <c r="K170" s="1671">
        <f>SUM(C170:J170)</f>
        <v>0</v>
      </c>
      <c r="L170" s="569">
        <v>0</v>
      </c>
    </row>
    <row r="171" spans="1:14" ht="15.75" customHeight="1" x14ac:dyDescent="0.2">
      <c r="A171" s="621" t="s">
        <v>766</v>
      </c>
      <c r="B171" s="672" t="s">
        <v>84</v>
      </c>
      <c r="C171" s="616"/>
      <c r="D171" s="616"/>
      <c r="E171" s="466"/>
      <c r="F171" s="616"/>
      <c r="G171" s="616"/>
      <c r="H171" s="569"/>
      <c r="I171" s="477"/>
      <c r="J171" s="616"/>
      <c r="K171" s="1671">
        <f>SUM(C171:J171)</f>
        <v>0</v>
      </c>
      <c r="L171" s="569">
        <v>0</v>
      </c>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78" t="s">
        <v>996</v>
      </c>
      <c r="B175" s="2179"/>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81963</v>
      </c>
      <c r="D182" s="466">
        <v>6662</v>
      </c>
      <c r="E182" s="466">
        <v>6651</v>
      </c>
      <c r="F182" s="466">
        <v>24163</v>
      </c>
      <c r="G182" s="466">
        <v>340323</v>
      </c>
      <c r="H182" s="466">
        <v>2893</v>
      </c>
      <c r="I182" s="467"/>
      <c r="J182" s="467"/>
      <c r="K182" s="1671">
        <f>SUM(C182:J182)</f>
        <v>462655</v>
      </c>
      <c r="L182" s="466">
        <v>462580</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81963</v>
      </c>
      <c r="D184" s="1677">
        <f t="shared" ref="D184:J184" si="17">SUM(D180,D182,D183)</f>
        <v>6662</v>
      </c>
      <c r="E184" s="1677">
        <f t="shared" si="17"/>
        <v>6651</v>
      </c>
      <c r="F184" s="1677">
        <f t="shared" si="17"/>
        <v>24163</v>
      </c>
      <c r="G184" s="1677">
        <f t="shared" si="17"/>
        <v>340323</v>
      </c>
      <c r="H184" s="1677">
        <f t="shared" si="17"/>
        <v>2893</v>
      </c>
      <c r="I184" s="1677">
        <f t="shared" si="17"/>
        <v>0</v>
      </c>
      <c r="J184" s="1677">
        <f t="shared" si="17"/>
        <v>0</v>
      </c>
      <c r="K184" s="1677">
        <f>SUM(K180,K182,K183)</f>
        <v>462655</v>
      </c>
      <c r="L184" s="1677">
        <f>SUM(L180, L182:L183)</f>
        <v>462580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c r="F189" s="616"/>
      <c r="G189" s="616"/>
      <c r="H189" s="466"/>
      <c r="I189" s="477"/>
      <c r="J189" s="616"/>
      <c r="K189" s="1671">
        <f t="shared" si="18"/>
        <v>0</v>
      </c>
      <c r="L189" s="466">
        <v>0</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1671</v>
      </c>
      <c r="B206" s="672" t="s">
        <v>31</v>
      </c>
      <c r="C206" s="616"/>
      <c r="D206" s="616"/>
      <c r="E206" s="616"/>
      <c r="F206" s="616"/>
      <c r="G206" s="616"/>
      <c r="H206" s="466"/>
      <c r="I206" s="616"/>
      <c r="J206" s="616"/>
      <c r="K206" s="1671">
        <f>SUM(H206)</f>
        <v>0</v>
      </c>
      <c r="L206" s="466">
        <v>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81963</v>
      </c>
      <c r="D210" s="1670">
        <f>SUM(D184,D185)</f>
        <v>6662</v>
      </c>
      <c r="E210" s="1670">
        <f>SUM(E184,E185,E196)</f>
        <v>6651</v>
      </c>
      <c r="F210" s="1670">
        <f>SUM(F184,F185)</f>
        <v>24163</v>
      </c>
      <c r="G210" s="1670">
        <f>SUM(G184,G185)</f>
        <v>340323</v>
      </c>
      <c r="H210" s="1670">
        <f>SUM(H184,H185,H196,H208,H209)</f>
        <v>2893</v>
      </c>
      <c r="I210" s="1670">
        <f>SUM(I184,I185)</f>
        <v>0</v>
      </c>
      <c r="J210" s="1670">
        <f>SUM(J184,J185)</f>
        <v>0</v>
      </c>
      <c r="K210" s="1671">
        <f>SUM(K184,K185,K196,K208,K209)</f>
        <v>462655</v>
      </c>
      <c r="L210" s="1670">
        <f>SUM(L184,L185,L196,L208,L209)</f>
        <v>462580</v>
      </c>
    </row>
    <row r="211" spans="1:14" ht="13.5" thickTop="1" x14ac:dyDescent="0.2">
      <c r="A211" s="2178" t="s">
        <v>996</v>
      </c>
      <c r="B211" s="2179"/>
      <c r="C211" s="618"/>
      <c r="D211" s="618"/>
      <c r="E211" s="618"/>
      <c r="F211" s="618"/>
      <c r="G211" s="618"/>
      <c r="H211" s="618"/>
      <c r="I211" s="616"/>
      <c r="J211" s="616"/>
      <c r="K211" s="1684">
        <f>'Revenues 9-14'!F268-'Expenditures 15-22'!K210</f>
        <v>-202274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3" t="s">
        <v>965</v>
      </c>
      <c r="B213" s="217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17981</v>
      </c>
      <c r="E215" s="616"/>
      <c r="F215" s="616"/>
      <c r="G215" s="616"/>
      <c r="H215" s="616"/>
      <c r="I215" s="616"/>
      <c r="J215" s="616"/>
      <c r="K215" s="1671">
        <f>D215</f>
        <v>17981</v>
      </c>
      <c r="L215" s="466">
        <v>17633</v>
      </c>
    </row>
    <row r="216" spans="1:14" x14ac:dyDescent="0.2">
      <c r="A216" s="1504" t="s">
        <v>163</v>
      </c>
      <c r="B216" s="614" t="s">
        <v>967</v>
      </c>
      <c r="C216" s="616"/>
      <c r="D216" s="467"/>
      <c r="E216" s="616"/>
      <c r="F216" s="616"/>
      <c r="G216" s="616"/>
      <c r="H216" s="616"/>
      <c r="I216" s="616"/>
      <c r="J216" s="616"/>
      <c r="K216" s="1671">
        <f t="shared" ref="K216:K228" si="19">D216</f>
        <v>0</v>
      </c>
      <c r="L216" s="466">
        <v>0</v>
      </c>
    </row>
    <row r="217" spans="1:14" x14ac:dyDescent="0.2">
      <c r="A217" s="1504" t="s">
        <v>164</v>
      </c>
      <c r="B217" s="614">
        <v>1200</v>
      </c>
      <c r="C217" s="616"/>
      <c r="D217" s="466">
        <v>2690</v>
      </c>
      <c r="E217" s="616"/>
      <c r="F217" s="616"/>
      <c r="G217" s="616"/>
      <c r="H217" s="616"/>
      <c r="I217" s="616"/>
      <c r="J217" s="616"/>
      <c r="K217" s="1671">
        <f t="shared" si="19"/>
        <v>2690</v>
      </c>
      <c r="L217" s="466">
        <v>2732</v>
      </c>
    </row>
    <row r="218" spans="1:14" x14ac:dyDescent="0.2">
      <c r="A218" s="1504" t="s">
        <v>278</v>
      </c>
      <c r="B218" s="614" t="s">
        <v>968</v>
      </c>
      <c r="C218" s="616"/>
      <c r="D218" s="467"/>
      <c r="E218" s="616"/>
      <c r="F218" s="616"/>
      <c r="G218" s="616"/>
      <c r="H218" s="616"/>
      <c r="I218" s="616"/>
      <c r="J218" s="616"/>
      <c r="K218" s="1671">
        <f t="shared" si="19"/>
        <v>0</v>
      </c>
      <c r="L218" s="466">
        <v>0</v>
      </c>
    </row>
    <row r="219" spans="1:14" x14ac:dyDescent="0.2">
      <c r="A219" s="1504" t="s">
        <v>279</v>
      </c>
      <c r="B219" s="614">
        <v>1250</v>
      </c>
      <c r="C219" s="616"/>
      <c r="D219" s="466"/>
      <c r="E219" s="616"/>
      <c r="F219" s="616"/>
      <c r="G219" s="616"/>
      <c r="H219" s="616"/>
      <c r="I219" s="616"/>
      <c r="J219" s="616"/>
      <c r="K219" s="1671">
        <f t="shared" si="19"/>
        <v>0</v>
      </c>
      <c r="L219" s="466">
        <v>0</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v>35</v>
      </c>
      <c r="E222" s="616"/>
      <c r="F222" s="616"/>
      <c r="G222" s="616"/>
      <c r="H222" s="616"/>
      <c r="I222" s="616"/>
      <c r="J222" s="616"/>
      <c r="K222" s="1671">
        <f t="shared" si="19"/>
        <v>35</v>
      </c>
      <c r="L222" s="466">
        <v>35</v>
      </c>
    </row>
    <row r="223" spans="1:14" x14ac:dyDescent="0.2">
      <c r="A223" s="1504" t="s">
        <v>963</v>
      </c>
      <c r="B223" s="614">
        <v>1500</v>
      </c>
      <c r="C223" s="616"/>
      <c r="D223" s="466">
        <v>1575</v>
      </c>
      <c r="E223" s="616"/>
      <c r="F223" s="616"/>
      <c r="G223" s="616"/>
      <c r="H223" s="616"/>
      <c r="I223" s="616"/>
      <c r="J223" s="616"/>
      <c r="K223" s="1671">
        <f t="shared" si="19"/>
        <v>1575</v>
      </c>
      <c r="L223" s="466">
        <v>1575</v>
      </c>
    </row>
    <row r="224" spans="1:14" x14ac:dyDescent="0.2">
      <c r="A224" s="1504" t="s">
        <v>964</v>
      </c>
      <c r="B224" s="614">
        <v>1600</v>
      </c>
      <c r="C224" s="616"/>
      <c r="D224" s="466"/>
      <c r="E224" s="616"/>
      <c r="F224" s="616"/>
      <c r="G224" s="616"/>
      <c r="H224" s="616"/>
      <c r="I224" s="616"/>
      <c r="J224" s="616"/>
      <c r="K224" s="1671">
        <f t="shared" si="19"/>
        <v>0</v>
      </c>
      <c r="L224" s="466">
        <v>0</v>
      </c>
    </row>
    <row r="225" spans="1:12" x14ac:dyDescent="0.2">
      <c r="A225" s="1504" t="s">
        <v>987</v>
      </c>
      <c r="B225" s="614">
        <v>1650</v>
      </c>
      <c r="C225" s="616"/>
      <c r="D225" s="466"/>
      <c r="E225" s="616"/>
      <c r="F225" s="616"/>
      <c r="G225" s="616"/>
      <c r="H225" s="616"/>
      <c r="I225" s="616"/>
      <c r="J225" s="616"/>
      <c r="K225" s="1671">
        <f t="shared" si="19"/>
        <v>0</v>
      </c>
      <c r="L225" s="466">
        <v>0</v>
      </c>
    </row>
    <row r="226" spans="1:12" x14ac:dyDescent="0.2">
      <c r="A226" s="1504" t="s">
        <v>724</v>
      </c>
      <c r="B226" s="614" t="s">
        <v>162</v>
      </c>
      <c r="C226" s="616"/>
      <c r="D226" s="467"/>
      <c r="E226" s="616"/>
      <c r="F226" s="616"/>
      <c r="G226" s="616"/>
      <c r="H226" s="616"/>
      <c r="I226" s="616"/>
      <c r="J226" s="616"/>
      <c r="K226" s="1671">
        <f t="shared" si="19"/>
        <v>0</v>
      </c>
      <c r="L226" s="466">
        <v>0</v>
      </c>
    </row>
    <row r="227" spans="1:12" x14ac:dyDescent="0.2">
      <c r="A227" s="1504" t="s">
        <v>1087</v>
      </c>
      <c r="B227" s="614">
        <v>1800</v>
      </c>
      <c r="C227" s="616"/>
      <c r="D227" s="466"/>
      <c r="E227" s="616"/>
      <c r="F227" s="616"/>
      <c r="G227" s="616"/>
      <c r="H227" s="616"/>
      <c r="I227" s="616"/>
      <c r="J227" s="616"/>
      <c r="K227" s="1671">
        <f t="shared" si="19"/>
        <v>0</v>
      </c>
      <c r="L227" s="466">
        <v>0</v>
      </c>
    </row>
    <row r="228" spans="1:12" x14ac:dyDescent="0.2">
      <c r="A228" s="1504" t="s">
        <v>1088</v>
      </c>
      <c r="B228" s="614">
        <v>1900</v>
      </c>
      <c r="C228" s="616"/>
      <c r="D228" s="466"/>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22281</v>
      </c>
      <c r="E229" s="616"/>
      <c r="F229" s="616"/>
      <c r="G229" s="616"/>
      <c r="H229" s="616"/>
      <c r="I229" s="616"/>
      <c r="J229" s="616"/>
      <c r="K229" s="1670">
        <f>SUM(K215:K228)</f>
        <v>22281</v>
      </c>
      <c r="L229" s="1670">
        <f>SUM(L215:L228)</f>
        <v>21975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v>0</v>
      </c>
    </row>
    <row r="233" spans="1:12" x14ac:dyDescent="0.2">
      <c r="A233" s="1504" t="s">
        <v>1090</v>
      </c>
      <c r="B233" s="614">
        <v>2120</v>
      </c>
      <c r="C233" s="616"/>
      <c r="D233" s="466">
        <v>601</v>
      </c>
      <c r="E233" s="616"/>
      <c r="F233" s="616"/>
      <c r="G233" s="616"/>
      <c r="H233" s="616"/>
      <c r="I233" s="616"/>
      <c r="J233" s="616"/>
      <c r="K233" s="1671">
        <f t="shared" si="20"/>
        <v>601</v>
      </c>
      <c r="L233" s="466">
        <v>595</v>
      </c>
    </row>
    <row r="234" spans="1:12" x14ac:dyDescent="0.2">
      <c r="A234" s="1504" t="s">
        <v>198</v>
      </c>
      <c r="B234" s="614">
        <v>2130</v>
      </c>
      <c r="C234" s="616"/>
      <c r="D234" s="466">
        <v>6089</v>
      </c>
      <c r="E234" s="616"/>
      <c r="F234" s="616"/>
      <c r="G234" s="616"/>
      <c r="H234" s="616"/>
      <c r="I234" s="616"/>
      <c r="J234" s="616"/>
      <c r="K234" s="1671">
        <f t="shared" si="20"/>
        <v>6089</v>
      </c>
      <c r="L234" s="466">
        <v>6089</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c r="E236" s="616"/>
      <c r="F236" s="616"/>
      <c r="G236" s="616"/>
      <c r="H236" s="616"/>
      <c r="I236" s="616"/>
      <c r="J236" s="616"/>
      <c r="K236" s="1671">
        <f t="shared" si="20"/>
        <v>0</v>
      </c>
      <c r="L236" s="466">
        <v>0</v>
      </c>
    </row>
    <row r="237" spans="1:12" x14ac:dyDescent="0.2">
      <c r="A237" s="1504" t="s">
        <v>165</v>
      </c>
      <c r="B237" s="614">
        <v>2190</v>
      </c>
      <c r="C237" s="616"/>
      <c r="D237" s="466"/>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6690</v>
      </c>
      <c r="E238" s="616"/>
      <c r="F238" s="616"/>
      <c r="G238" s="616"/>
      <c r="H238" s="616"/>
      <c r="I238" s="616"/>
      <c r="J238" s="616"/>
      <c r="K238" s="1670">
        <f>SUM(K232:K237)</f>
        <v>6690</v>
      </c>
      <c r="L238" s="1670">
        <f>SUM(L232:L237)</f>
        <v>6684</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7</v>
      </c>
      <c r="E240" s="616"/>
      <c r="F240" s="616"/>
      <c r="G240" s="616"/>
      <c r="H240" s="616"/>
      <c r="I240" s="616"/>
      <c r="J240" s="616"/>
      <c r="K240" s="1672">
        <f>D240</f>
        <v>7</v>
      </c>
      <c r="L240" s="481">
        <v>29</v>
      </c>
    </row>
    <row r="241" spans="1:12" x14ac:dyDescent="0.2">
      <c r="A241" s="1504" t="s">
        <v>815</v>
      </c>
      <c r="B241" s="614">
        <v>2220</v>
      </c>
      <c r="C241" s="616"/>
      <c r="D241" s="466">
        <v>955</v>
      </c>
      <c r="E241" s="616"/>
      <c r="F241" s="616"/>
      <c r="G241" s="616"/>
      <c r="H241" s="616"/>
      <c r="I241" s="616"/>
      <c r="J241" s="616"/>
      <c r="K241" s="1672">
        <f>D241</f>
        <v>955</v>
      </c>
      <c r="L241" s="466">
        <v>921</v>
      </c>
    </row>
    <row r="242" spans="1:12" x14ac:dyDescent="0.2">
      <c r="A242" s="1504" t="s">
        <v>816</v>
      </c>
      <c r="B242" s="614">
        <v>2230</v>
      </c>
      <c r="C242" s="616"/>
      <c r="D242" s="466"/>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962</v>
      </c>
      <c r="E243" s="616"/>
      <c r="F243" s="616"/>
      <c r="G243" s="616"/>
      <c r="H243" s="616"/>
      <c r="I243" s="616"/>
      <c r="J243" s="616"/>
      <c r="K243" s="1670">
        <f>SUM(K240:K242)</f>
        <v>962</v>
      </c>
      <c r="L243" s="1670">
        <f>SUM(L240:L242)</f>
        <v>950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306</v>
      </c>
      <c r="E245" s="616"/>
      <c r="F245" s="616"/>
      <c r="G245" s="616"/>
      <c r="H245" s="616"/>
      <c r="I245" s="616"/>
      <c r="J245" s="616"/>
      <c r="K245" s="1672">
        <f>D245</f>
        <v>306</v>
      </c>
      <c r="L245" s="481">
        <v>312</v>
      </c>
    </row>
    <row r="246" spans="1:12" x14ac:dyDescent="0.2">
      <c r="A246" s="1504" t="s">
        <v>818</v>
      </c>
      <c r="B246" s="614">
        <v>2320</v>
      </c>
      <c r="C246" s="616"/>
      <c r="D246" s="466">
        <v>1277</v>
      </c>
      <c r="E246" s="616"/>
      <c r="F246" s="616"/>
      <c r="G246" s="616"/>
      <c r="H246" s="616"/>
      <c r="I246" s="616"/>
      <c r="J246" s="616"/>
      <c r="K246" s="1672">
        <f t="shared" ref="K246:K256" si="21">D246</f>
        <v>1277</v>
      </c>
      <c r="L246" s="466">
        <v>1300</v>
      </c>
    </row>
    <row r="247" spans="1:12" x14ac:dyDescent="0.2">
      <c r="A247" s="1504" t="s">
        <v>819</v>
      </c>
      <c r="B247" s="614">
        <v>2330</v>
      </c>
      <c r="C247" s="616"/>
      <c r="D247" s="466"/>
      <c r="E247" s="616"/>
      <c r="F247" s="616"/>
      <c r="G247" s="616"/>
      <c r="H247" s="616"/>
      <c r="I247" s="616"/>
      <c r="J247" s="616"/>
      <c r="K247" s="1672">
        <f t="shared" si="21"/>
        <v>0</v>
      </c>
      <c r="L247" s="466">
        <v>0</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1805</v>
      </c>
      <c r="B249" s="683" t="s">
        <v>282</v>
      </c>
      <c r="C249" s="616"/>
      <c r="D249" s="474"/>
      <c r="E249" s="616"/>
      <c r="F249" s="616"/>
      <c r="G249" s="616"/>
      <c r="H249" s="616"/>
      <c r="I249" s="616"/>
      <c r="J249" s="616"/>
      <c r="K249" s="1672">
        <f t="shared" si="21"/>
        <v>0</v>
      </c>
      <c r="L249" s="466">
        <v>0</v>
      </c>
    </row>
    <row r="250" spans="1:12" x14ac:dyDescent="0.2">
      <c r="A250" s="1505" t="s">
        <v>1806</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c r="E254" s="616"/>
      <c r="F254" s="616"/>
      <c r="G254" s="616"/>
      <c r="H254" s="616"/>
      <c r="I254" s="616"/>
      <c r="J254" s="616"/>
      <c r="K254" s="1672">
        <f t="shared" si="21"/>
        <v>0</v>
      </c>
      <c r="L254" s="466">
        <v>0</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1583</v>
      </c>
      <c r="E257" s="616"/>
      <c r="F257" s="616"/>
      <c r="G257" s="616"/>
      <c r="H257" s="616"/>
      <c r="I257" s="616"/>
      <c r="J257" s="616"/>
      <c r="K257" s="1670">
        <f>SUM(K245:K256)</f>
        <v>1583</v>
      </c>
      <c r="L257" s="1670">
        <f>SUM(L245:L256)</f>
        <v>1612</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8285</v>
      </c>
      <c r="E259" s="616"/>
      <c r="F259" s="616"/>
      <c r="G259" s="616"/>
      <c r="H259" s="616"/>
      <c r="I259" s="616"/>
      <c r="J259" s="616"/>
      <c r="K259" s="1672">
        <f>D259</f>
        <v>8285</v>
      </c>
      <c r="L259" s="481">
        <v>8995</v>
      </c>
    </row>
    <row r="260" spans="1:14" s="597" customFormat="1" x14ac:dyDescent="0.2">
      <c r="A260" s="1522" t="s">
        <v>1804</v>
      </c>
      <c r="B260" s="628">
        <v>2490</v>
      </c>
      <c r="C260" s="616"/>
      <c r="D260" s="466"/>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8285</v>
      </c>
      <c r="E261" s="616"/>
      <c r="F261" s="616"/>
      <c r="G261" s="616"/>
      <c r="H261" s="616"/>
      <c r="I261" s="616"/>
      <c r="J261" s="616"/>
      <c r="K261" s="1670">
        <f>SUM(K259:K260)</f>
        <v>8285</v>
      </c>
      <c r="L261" s="1670">
        <f>SUM(L259:L260)</f>
        <v>8995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v>0</v>
      </c>
    </row>
    <row r="264" spans="1:14" x14ac:dyDescent="0.2">
      <c r="A264" s="1504" t="s">
        <v>463</v>
      </c>
      <c r="B264" s="685">
        <v>2520</v>
      </c>
      <c r="C264" s="616"/>
      <c r="D264" s="466">
        <v>15923</v>
      </c>
      <c r="E264" s="616"/>
      <c r="F264" s="616"/>
      <c r="G264" s="616"/>
      <c r="H264" s="616"/>
      <c r="I264" s="616"/>
      <c r="J264" s="616"/>
      <c r="K264" s="1672">
        <f t="shared" ref="K264:K269" si="22">D264</f>
        <v>15923</v>
      </c>
      <c r="L264" s="466">
        <v>16150</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v>18927</v>
      </c>
      <c r="E266" s="616"/>
      <c r="F266" s="616"/>
      <c r="G266" s="616"/>
      <c r="H266" s="616"/>
      <c r="I266" s="616"/>
      <c r="J266" s="616"/>
      <c r="K266" s="1672">
        <f t="shared" si="22"/>
        <v>18927</v>
      </c>
      <c r="L266" s="466">
        <v>20700</v>
      </c>
    </row>
    <row r="267" spans="1:14" x14ac:dyDescent="0.2">
      <c r="A267" s="1504" t="s">
        <v>953</v>
      </c>
      <c r="B267" s="614">
        <v>2550</v>
      </c>
      <c r="C267" s="616"/>
      <c r="D267" s="466">
        <v>13187</v>
      </c>
      <c r="E267" s="616"/>
      <c r="F267" s="616"/>
      <c r="G267" s="616"/>
      <c r="H267" s="616"/>
      <c r="I267" s="616"/>
      <c r="J267" s="616"/>
      <c r="K267" s="1672">
        <f t="shared" si="22"/>
        <v>13187</v>
      </c>
      <c r="L267" s="466">
        <v>13181</v>
      </c>
    </row>
    <row r="268" spans="1:14" x14ac:dyDescent="0.2">
      <c r="A268" s="1504" t="s">
        <v>100</v>
      </c>
      <c r="B268" s="614">
        <v>2560</v>
      </c>
      <c r="C268" s="616"/>
      <c r="D268" s="466">
        <v>8341</v>
      </c>
      <c r="E268" s="616"/>
      <c r="F268" s="616"/>
      <c r="G268" s="616"/>
      <c r="H268" s="616"/>
      <c r="I268" s="616"/>
      <c r="J268" s="616"/>
      <c r="K268" s="1672">
        <f t="shared" si="22"/>
        <v>8341</v>
      </c>
      <c r="L268" s="466">
        <v>8217</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56378</v>
      </c>
      <c r="E270" s="616"/>
      <c r="F270" s="616"/>
      <c r="G270" s="616"/>
      <c r="H270" s="616"/>
      <c r="I270" s="616"/>
      <c r="J270" s="616"/>
      <c r="K270" s="1670">
        <f>SUM(K263:K269)</f>
        <v>56378</v>
      </c>
      <c r="L270" s="1670">
        <f>SUM(L263:L269)</f>
        <v>58248</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c r="E275" s="616"/>
      <c r="F275" s="616"/>
      <c r="G275" s="616"/>
      <c r="H275" s="616"/>
      <c r="I275" s="616"/>
      <c r="J275" s="616"/>
      <c r="K275" s="1672">
        <f>D275</f>
        <v>0</v>
      </c>
      <c r="L275" s="466">
        <v>0</v>
      </c>
    </row>
    <row r="276" spans="1:12" x14ac:dyDescent="0.2">
      <c r="A276" s="1504" t="s">
        <v>404</v>
      </c>
      <c r="B276" s="614">
        <v>2660</v>
      </c>
      <c r="C276" s="616"/>
      <c r="D276" s="466"/>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73898</v>
      </c>
      <c r="E279" s="616"/>
      <c r="F279" s="616"/>
      <c r="G279" s="616"/>
      <c r="H279" s="616"/>
      <c r="I279" s="616"/>
      <c r="J279" s="616"/>
      <c r="K279" s="1677">
        <f>SUM(K238,K243,K257,K261,K270,K277,K278)</f>
        <v>73898</v>
      </c>
      <c r="L279" s="1677">
        <f>SUM(L238,L243,L257,L261,L270,L277,L278)</f>
        <v>76489</v>
      </c>
    </row>
    <row r="280" spans="1:12" ht="15.75" customHeight="1" thickTop="1" thickBot="1" x14ac:dyDescent="0.25">
      <c r="A280" s="1624" t="s">
        <v>875</v>
      </c>
      <c r="B280" s="1613">
        <v>3000</v>
      </c>
      <c r="C280" s="616"/>
      <c r="D280" s="576"/>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69" t="s">
        <v>505</v>
      </c>
      <c r="B295" s="2170"/>
      <c r="C295" s="616"/>
      <c r="D295" s="1670">
        <f>SUM(D229,D279,D280,D285)</f>
        <v>96179</v>
      </c>
      <c r="E295" s="616"/>
      <c r="F295" s="616"/>
      <c r="G295" s="616"/>
      <c r="H295" s="1670">
        <f>H293</f>
        <v>0</v>
      </c>
      <c r="I295" s="616"/>
      <c r="J295" s="616"/>
      <c r="K295" s="1670">
        <f>SUM(K229,K279,K280,K285,K293,K294)</f>
        <v>96179</v>
      </c>
      <c r="L295" s="1670">
        <f>SUM(L229,L279,L280,L285,L293,L294)</f>
        <v>98464</v>
      </c>
    </row>
    <row r="296" spans="1:14" ht="13.5" thickTop="1" x14ac:dyDescent="0.2">
      <c r="A296" s="2178" t="s">
        <v>996</v>
      </c>
      <c r="B296" s="2179"/>
      <c r="C296" s="616"/>
      <c r="D296" s="618"/>
      <c r="E296" s="616"/>
      <c r="F296" s="616"/>
      <c r="G296" s="616"/>
      <c r="H296" s="687"/>
      <c r="I296" s="616"/>
      <c r="J296" s="616"/>
      <c r="K296" s="1684">
        <f>'Revenues 9-14'!G268-'Expenditures 15-22'!K295</f>
        <v>-23603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1" t="s">
        <v>143</v>
      </c>
      <c r="B298" s="215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v>0</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2.75" customHeight="1" x14ac:dyDescent="0.2">
      <c r="A309" s="1508" t="s">
        <v>698</v>
      </c>
      <c r="B309" s="628">
        <v>4190</v>
      </c>
      <c r="C309" s="616"/>
      <c r="D309" s="616"/>
      <c r="E309" s="467"/>
      <c r="F309" s="616"/>
      <c r="G309" s="616"/>
      <c r="H309" s="467"/>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66" t="s">
        <v>277</v>
      </c>
      <c r="B312" s="2167"/>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2" t="s">
        <v>996</v>
      </c>
      <c r="B313" s="2163"/>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5" t="s">
        <v>149</v>
      </c>
      <c r="B315" s="217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7" t="s">
        <v>898</v>
      </c>
      <c r="B317" s="217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v>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v>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0</v>
      </c>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v>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0</v>
      </c>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2.7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64" t="s">
        <v>996</v>
      </c>
      <c r="B343" s="2165"/>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4" t="s">
        <v>966</v>
      </c>
      <c r="B345" s="215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114552</v>
      </c>
      <c r="H348" s="466"/>
      <c r="I348" s="467"/>
      <c r="J348" s="467"/>
      <c r="K348" s="1671">
        <f>SUM(C348:J348)</f>
        <v>114552</v>
      </c>
      <c r="L348" s="466">
        <v>114552</v>
      </c>
    </row>
    <row r="349" spans="1:14" x14ac:dyDescent="0.2">
      <c r="A349" s="1504" t="s">
        <v>197</v>
      </c>
      <c r="B349" s="614">
        <v>2540</v>
      </c>
      <c r="C349" s="466"/>
      <c r="D349" s="466"/>
      <c r="E349" s="466"/>
      <c r="F349" s="466"/>
      <c r="G349" s="466"/>
      <c r="H349" s="466"/>
      <c r="I349" s="467"/>
      <c r="J349" s="467"/>
      <c r="K349" s="1671">
        <f>SUM(C349:J349)</f>
        <v>0</v>
      </c>
      <c r="L349" s="466">
        <v>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114552</v>
      </c>
      <c r="H350" s="1670">
        <f t="shared" si="26"/>
        <v>0</v>
      </c>
      <c r="I350" s="1670">
        <f t="shared" si="26"/>
        <v>0</v>
      </c>
      <c r="J350" s="1670">
        <f t="shared" si="26"/>
        <v>0</v>
      </c>
      <c r="K350" s="1670">
        <f t="shared" si="26"/>
        <v>114552</v>
      </c>
      <c r="L350" s="1670">
        <f t="shared" si="26"/>
        <v>114552</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114552</v>
      </c>
      <c r="H352" s="1670">
        <f t="shared" si="27"/>
        <v>0</v>
      </c>
      <c r="I352" s="1670">
        <f t="shared" si="27"/>
        <v>0</v>
      </c>
      <c r="J352" s="1670">
        <f t="shared" si="27"/>
        <v>0</v>
      </c>
      <c r="K352" s="1670">
        <f t="shared" si="27"/>
        <v>114552</v>
      </c>
      <c r="L352" s="1670">
        <f t="shared" si="27"/>
        <v>114552</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v>0</v>
      </c>
    </row>
    <row r="355" spans="1:14" ht="12.75" customHeight="1" x14ac:dyDescent="0.2">
      <c r="A355" s="1513" t="s">
        <v>1854</v>
      </c>
      <c r="B355" s="690" t="s">
        <v>1847</v>
      </c>
      <c r="C355" s="616"/>
      <c r="D355" s="616"/>
      <c r="E355" s="616"/>
      <c r="F355" s="616"/>
      <c r="G355" s="616"/>
      <c r="H355" s="467"/>
      <c r="I355" s="701"/>
      <c r="J355" s="616"/>
      <c r="K355" s="1743">
        <f>H355</f>
        <v>0</v>
      </c>
      <c r="L355" s="467">
        <v>0</v>
      </c>
    </row>
    <row r="356" spans="1:14" ht="12.75" customHeight="1" x14ac:dyDescent="0.2">
      <c r="A356" s="1834" t="s">
        <v>698</v>
      </c>
      <c r="B356" s="683" t="s">
        <v>558</v>
      </c>
      <c r="C356" s="616"/>
      <c r="D356" s="616"/>
      <c r="E356" s="616"/>
      <c r="F356" s="616"/>
      <c r="G356" s="616"/>
      <c r="H356" s="479"/>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619</v>
      </c>
      <c r="B361" s="602" t="s">
        <v>618</v>
      </c>
      <c r="C361" s="616"/>
      <c r="D361" s="616"/>
      <c r="E361" s="616"/>
      <c r="F361" s="616"/>
      <c r="G361" s="616"/>
      <c r="H361" s="467"/>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114552</v>
      </c>
      <c r="H367" s="1670">
        <f t="shared" si="28"/>
        <v>0</v>
      </c>
      <c r="I367" s="1670">
        <f t="shared" si="28"/>
        <v>0</v>
      </c>
      <c r="J367" s="1670">
        <f t="shared" si="28"/>
        <v>0</v>
      </c>
      <c r="K367" s="1670">
        <f t="shared" si="28"/>
        <v>114552</v>
      </c>
      <c r="L367" s="1670">
        <f t="shared" si="28"/>
        <v>114552</v>
      </c>
    </row>
    <row r="368" spans="1:14" ht="13.5" thickTop="1" x14ac:dyDescent="0.2">
      <c r="A368" s="2178" t="s">
        <v>996</v>
      </c>
      <c r="B368" s="2179"/>
      <c r="C368" s="654"/>
      <c r="D368" s="654"/>
      <c r="E368" s="626"/>
      <c r="F368" s="626"/>
      <c r="G368" s="626"/>
      <c r="H368" s="626"/>
      <c r="I368" s="626"/>
      <c r="J368" s="623"/>
      <c r="K368" s="1671">
        <f>'Revenues 9-14'!K268-'Expenditures 15-22'!K367</f>
        <v>-81048</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&amp;F&amp;RThe notes to the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T16" sqref="T16"/>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0" t="s">
        <v>1802</v>
      </c>
      <c r="B2" s="1528" t="s">
        <v>1951</v>
      </c>
      <c r="C2" s="714" t="s">
        <v>1952</v>
      </c>
      <c r="D2" s="714" t="s">
        <v>1953</v>
      </c>
      <c r="E2" s="714" t="s">
        <v>1954</v>
      </c>
      <c r="F2" s="714" t="s">
        <v>1955</v>
      </c>
    </row>
    <row r="3" spans="1:6" ht="12" customHeight="1" x14ac:dyDescent="0.2">
      <c r="A3" s="2181"/>
      <c r="B3" s="1525"/>
      <c r="C3" s="1526"/>
      <c r="D3" s="1527" t="s">
        <v>256</v>
      </c>
      <c r="E3" s="1526"/>
      <c r="F3" s="1527" t="s">
        <v>257</v>
      </c>
    </row>
    <row r="4" spans="1:6" ht="13.7" customHeight="1" x14ac:dyDescent="0.2">
      <c r="A4" s="715" t="s">
        <v>1155</v>
      </c>
      <c r="B4" s="1749">
        <f>'Revenues 9-14'!C5</f>
        <v>1395833</v>
      </c>
      <c r="C4" s="1524"/>
      <c r="D4" s="1752">
        <f>B4-C4</f>
        <v>1395833</v>
      </c>
      <c r="E4" s="1524">
        <v>1482565</v>
      </c>
      <c r="F4" s="1752">
        <f>E4-C4</f>
        <v>1482565</v>
      </c>
    </row>
    <row r="5" spans="1:6" ht="13.7" customHeight="1" x14ac:dyDescent="0.2">
      <c r="A5" s="715" t="s">
        <v>870</v>
      </c>
      <c r="B5" s="1750">
        <f>'Revenues 9-14'!D5</f>
        <v>231469</v>
      </c>
      <c r="C5" s="585"/>
      <c r="D5" s="1753">
        <f t="shared" ref="D5:D18" si="0">B5-C5</f>
        <v>231469</v>
      </c>
      <c r="E5" s="585">
        <v>244260</v>
      </c>
      <c r="F5" s="1753">
        <f>E5-C5</f>
        <v>244260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169110</v>
      </c>
      <c r="C7" s="585"/>
      <c r="D7" s="1753">
        <f t="shared" si="0"/>
        <v>169110</v>
      </c>
      <c r="E7" s="585">
        <v>117610</v>
      </c>
      <c r="F7" s="1753">
        <f t="shared" si="1"/>
        <v>117610</v>
      </c>
    </row>
    <row r="8" spans="1:6" ht="13.7" customHeight="1" x14ac:dyDescent="0.2">
      <c r="A8" s="715" t="s">
        <v>1179</v>
      </c>
      <c r="B8" s="1750">
        <f>'Revenues 9-14'!G5</f>
        <v>35627</v>
      </c>
      <c r="C8" s="585"/>
      <c r="D8" s="1753">
        <f t="shared" si="0"/>
        <v>35627</v>
      </c>
      <c r="E8" s="585">
        <v>47035</v>
      </c>
      <c r="F8" s="1753">
        <f t="shared" si="1"/>
        <v>47035</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14259</v>
      </c>
      <c r="C10" s="585"/>
      <c r="D10" s="1753">
        <f t="shared" si="0"/>
        <v>14259</v>
      </c>
      <c r="E10" s="585">
        <v>13157</v>
      </c>
      <c r="F10" s="1753">
        <f t="shared" si="1"/>
        <v>13157</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32052</v>
      </c>
      <c r="C12" s="585"/>
      <c r="D12" s="1753">
        <f t="shared" si="0"/>
        <v>32052</v>
      </c>
      <c r="E12" s="585">
        <v>29582</v>
      </c>
      <c r="F12" s="1753">
        <f t="shared" si="1"/>
        <v>29582</v>
      </c>
    </row>
    <row r="13" spans="1:6" ht="13.7" customHeight="1" x14ac:dyDescent="0.2">
      <c r="A13" s="715" t="s">
        <v>936</v>
      </c>
      <c r="B13" s="1750">
        <f>SUM('Revenues 9-14'!C6:D6)</f>
        <v>14259</v>
      </c>
      <c r="C13" s="585"/>
      <c r="D13" s="1753">
        <f t="shared" si="0"/>
        <v>14259</v>
      </c>
      <c r="E13" s="585">
        <v>8145</v>
      </c>
      <c r="F13" s="1753">
        <f t="shared" si="1"/>
        <v>8145</v>
      </c>
    </row>
    <row r="14" spans="1:6" ht="13.7" customHeight="1" x14ac:dyDescent="0.2">
      <c r="A14" s="715" t="s">
        <v>410</v>
      </c>
      <c r="B14" s="1750">
        <f>SUM('Revenues 9-14'!C7:D7,'Revenues 9-14'!F7:H7)</f>
        <v>53420</v>
      </c>
      <c r="C14" s="585"/>
      <c r="D14" s="1753">
        <f t="shared" si="0"/>
        <v>53420</v>
      </c>
      <c r="E14" s="585">
        <v>49362</v>
      </c>
      <c r="F14" s="1753">
        <f t="shared" si="1"/>
        <v>49362</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34690</v>
      </c>
      <c r="C16" s="585"/>
      <c r="D16" s="1753">
        <f t="shared" si="0"/>
        <v>34690</v>
      </c>
      <c r="E16" s="585">
        <v>32043</v>
      </c>
      <c r="F16" s="1753">
        <f t="shared" si="1"/>
        <v>32043</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1980719</v>
      </c>
      <c r="C19" s="1751">
        <f>SUM(C4:C18)</f>
        <v>0</v>
      </c>
      <c r="D19" s="1751">
        <f>SUM(D4:D18)</f>
        <v>1980719</v>
      </c>
      <c r="E19" s="1751">
        <f>SUM(E4:E18)</f>
        <v>2023759</v>
      </c>
      <c r="F19" s="1751">
        <f>SUM(F4:F18)</f>
        <v>2023759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T16" sqref="T1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6" t="s">
        <v>629</v>
      </c>
      <c r="B1" s="2187"/>
      <c r="C1" s="721"/>
    </row>
    <row r="2" spans="1:7" ht="33.75" x14ac:dyDescent="0.2">
      <c r="A2" s="2195" t="s">
        <v>1802</v>
      </c>
      <c r="B2" s="2196"/>
      <c r="C2" s="1884" t="s">
        <v>1956</v>
      </c>
      <c r="D2" s="723" t="s">
        <v>1957</v>
      </c>
      <c r="E2" s="723" t="s">
        <v>1958</v>
      </c>
      <c r="F2" s="1884" t="s">
        <v>1959</v>
      </c>
    </row>
    <row r="3" spans="1:7" ht="15.75" customHeight="1" x14ac:dyDescent="0.2">
      <c r="A3" s="2199" t="s">
        <v>1114</v>
      </c>
      <c r="B3" s="2200"/>
      <c r="C3" s="2188"/>
      <c r="D3" s="2189"/>
      <c r="E3" s="2189"/>
      <c r="F3" s="2190"/>
    </row>
    <row r="4" spans="1:7" ht="12.75" customHeight="1" thickBot="1" x14ac:dyDescent="0.25">
      <c r="A4" s="2197" t="s">
        <v>630</v>
      </c>
      <c r="B4" s="2198"/>
      <c r="C4" s="581"/>
      <c r="D4" s="581"/>
      <c r="E4" s="581"/>
      <c r="F4" s="1755">
        <f>SUM(C4+D4)-E4</f>
        <v>0</v>
      </c>
    </row>
    <row r="5" spans="1:7" ht="15.75" customHeight="1" thickTop="1" x14ac:dyDescent="0.2">
      <c r="A5" s="2182" t="s">
        <v>1110</v>
      </c>
      <c r="B5" s="2183"/>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4" t="s">
        <v>631</v>
      </c>
      <c r="B15" s="2185"/>
      <c r="C15" s="1755">
        <f>SUM(C6:C14)</f>
        <v>0</v>
      </c>
      <c r="D15" s="1755">
        <f>SUM(D6:D14)</f>
        <v>0</v>
      </c>
      <c r="E15" s="1755">
        <f>SUM(E6:E14)</f>
        <v>0</v>
      </c>
      <c r="F15" s="1755">
        <f>SUM(F6:F14)</f>
        <v>0</v>
      </c>
      <c r="G15" s="552"/>
    </row>
    <row r="16" spans="1:7" s="202" customFormat="1" ht="15.75" customHeight="1" thickTop="1" x14ac:dyDescent="0.2">
      <c r="A16" s="2194" t="s">
        <v>1111</v>
      </c>
      <c r="B16" s="2183"/>
      <c r="C16" s="2191"/>
      <c r="D16" s="2192"/>
      <c r="E16" s="2192"/>
      <c r="F16" s="2193"/>
    </row>
    <row r="17" spans="1:11" ht="12.75" customHeight="1" thickBot="1" x14ac:dyDescent="0.25">
      <c r="A17" s="2207" t="s">
        <v>64</v>
      </c>
      <c r="B17" s="2208"/>
      <c r="C17" s="726"/>
      <c r="D17" s="585"/>
      <c r="E17" s="726"/>
      <c r="F17" s="1755">
        <f>SUM(C17+D17)-E17</f>
        <v>0</v>
      </c>
    </row>
    <row r="18" spans="1:11" ht="12.75" customHeight="1" thickTop="1" thickBot="1" x14ac:dyDescent="0.25">
      <c r="A18" s="2207" t="s">
        <v>6</v>
      </c>
      <c r="B18" s="2208"/>
      <c r="C18" s="726"/>
      <c r="D18" s="585"/>
      <c r="E18" s="726"/>
      <c r="F18" s="1755">
        <f>SUM(C18+D18)-E18</f>
        <v>0</v>
      </c>
    </row>
    <row r="19" spans="1:11" ht="12.75" customHeight="1" thickTop="1" thickBot="1" x14ac:dyDescent="0.25">
      <c r="A19" s="2207" t="s">
        <v>388</v>
      </c>
      <c r="B19" s="2208"/>
      <c r="C19" s="726"/>
      <c r="D19" s="585"/>
      <c r="E19" s="726"/>
      <c r="F19" s="1755">
        <f>SUM(C19+D19)-E19</f>
        <v>0</v>
      </c>
    </row>
    <row r="20" spans="1:11" ht="12.75" customHeight="1" thickTop="1" thickBot="1" x14ac:dyDescent="0.25">
      <c r="A20" s="2207" t="s">
        <v>448</v>
      </c>
      <c r="B20" s="2208"/>
      <c r="C20" s="726"/>
      <c r="D20" s="585"/>
      <c r="E20" s="726"/>
      <c r="F20" s="1755">
        <f>SUM(C20+D20)-E20</f>
        <v>0</v>
      </c>
    </row>
    <row r="21" spans="1:11" ht="14.25" thickTop="1" thickBot="1" x14ac:dyDescent="0.25">
      <c r="A21" s="2184" t="s">
        <v>632</v>
      </c>
      <c r="B21" s="2185"/>
      <c r="C21" s="1755">
        <f>SUM(C17:C20)</f>
        <v>0</v>
      </c>
      <c r="D21" s="1755">
        <f>SUM(D17:D20)</f>
        <v>0</v>
      </c>
      <c r="E21" s="1755">
        <f>SUM(E17:E20)</f>
        <v>0</v>
      </c>
      <c r="F21" s="1755">
        <f>SUM(F17:F20)</f>
        <v>0</v>
      </c>
      <c r="G21" s="552"/>
    </row>
    <row r="22" spans="1:11" ht="15.75" customHeight="1" thickTop="1" x14ac:dyDescent="0.2">
      <c r="A22" s="2209" t="s">
        <v>1112</v>
      </c>
      <c r="B22" s="2183"/>
      <c r="C22" s="2191"/>
      <c r="D22" s="2192"/>
      <c r="E22" s="2192"/>
      <c r="F22" s="2193"/>
    </row>
    <row r="23" spans="1:11" ht="13.5" thickBot="1" x14ac:dyDescent="0.25">
      <c r="A23" s="2197" t="s">
        <v>633</v>
      </c>
      <c r="B23" s="2198"/>
      <c r="C23" s="581"/>
      <c r="D23" s="581"/>
      <c r="E23" s="581"/>
      <c r="F23" s="1755">
        <f>SUM(C23+D23)-E23</f>
        <v>0</v>
      </c>
      <c r="G23" s="552"/>
    </row>
    <row r="24" spans="1:11" ht="15.75" customHeight="1" thickTop="1" x14ac:dyDescent="0.2">
      <c r="A24" s="2209" t="s">
        <v>1113</v>
      </c>
      <c r="B24" s="2183"/>
      <c r="C24" s="2191"/>
      <c r="D24" s="2192"/>
      <c r="E24" s="2192"/>
      <c r="F24" s="2193"/>
    </row>
    <row r="25" spans="1:11" ht="13.5" thickBot="1" x14ac:dyDescent="0.25">
      <c r="A25" s="2197" t="s">
        <v>634</v>
      </c>
      <c r="B25" s="2198"/>
      <c r="C25" s="581"/>
      <c r="D25" s="581"/>
      <c r="E25" s="581"/>
      <c r="F25" s="1755">
        <f>SUM(C25+D25)-E25</f>
        <v>0</v>
      </c>
      <c r="G25" s="552"/>
    </row>
    <row r="26" spans="1:11" ht="15.75" customHeight="1" thickTop="1" x14ac:dyDescent="0.2">
      <c r="A26" s="2182" t="s">
        <v>657</v>
      </c>
      <c r="B26" s="2183"/>
      <c r="C26" s="727"/>
      <c r="D26" s="727"/>
      <c r="E26" s="727"/>
      <c r="F26" s="728"/>
    </row>
    <row r="27" spans="1:11" ht="13.5" thickBot="1" x14ac:dyDescent="0.25">
      <c r="A27" s="2184" t="s">
        <v>1070</v>
      </c>
      <c r="B27" s="2185"/>
      <c r="C27" s="585"/>
      <c r="D27" s="585"/>
      <c r="E27" s="585"/>
      <c r="F27" s="1755">
        <f>SUM(C27+D27)-E27</f>
        <v>0</v>
      </c>
      <c r="G27" s="552"/>
    </row>
    <row r="28" spans="1:11" ht="7.5" customHeight="1" thickTop="1" x14ac:dyDescent="0.2">
      <c r="A28" s="593"/>
    </row>
    <row r="29" spans="1:11" ht="23.25" customHeight="1" x14ac:dyDescent="0.2">
      <c r="A29" s="2210" t="s">
        <v>582</v>
      </c>
      <c r="B29" s="2187"/>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1" t="s">
        <v>584</v>
      </c>
      <c r="C52" s="2202"/>
      <c r="D52" s="2202"/>
      <c r="E52" s="749" t="s">
        <v>845</v>
      </c>
      <c r="F52" s="2203"/>
      <c r="G52" s="2204"/>
      <c r="H52" s="736"/>
      <c r="I52" s="736"/>
      <c r="J52" s="746"/>
    </row>
    <row r="53" spans="1:11" ht="11.25" customHeight="1" x14ac:dyDescent="0.2">
      <c r="A53" s="750" t="s">
        <v>913</v>
      </c>
      <c r="B53" s="751" t="s">
        <v>951</v>
      </c>
      <c r="C53" s="746"/>
      <c r="D53" s="737"/>
      <c r="E53" s="749" t="s">
        <v>497</v>
      </c>
      <c r="F53" s="2205"/>
      <c r="G53" s="2206"/>
      <c r="H53" s="736"/>
      <c r="I53" s="736"/>
      <c r="J53" s="746"/>
    </row>
    <row r="54" spans="1:11" ht="11.25" customHeight="1" x14ac:dyDescent="0.2">
      <c r="A54" s="752" t="s">
        <v>914</v>
      </c>
      <c r="B54" s="747" t="s">
        <v>952</v>
      </c>
      <c r="C54" s="746"/>
      <c r="D54" s="737"/>
      <c r="E54" s="749" t="s">
        <v>498</v>
      </c>
      <c r="F54" s="2205"/>
      <c r="G54" s="220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T16" sqref="T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856</v>
      </c>
      <c r="B1" s="2236"/>
      <c r="C1" s="2236"/>
      <c r="D1" s="2236"/>
      <c r="E1" s="2236"/>
      <c r="F1" s="2236"/>
      <c r="G1" s="2237"/>
      <c r="H1" s="1530"/>
      <c r="I1" s="760"/>
      <c r="J1" s="433"/>
    </row>
    <row r="2" spans="1:11" ht="26.25" x14ac:dyDescent="0.2">
      <c r="A2" s="2214" t="s">
        <v>1677</v>
      </c>
      <c r="B2" s="2215"/>
      <c r="C2" s="2215"/>
      <c r="D2" s="2215"/>
      <c r="E2" s="2216"/>
      <c r="F2" s="761" t="s">
        <v>904</v>
      </c>
      <c r="G2" s="762" t="s">
        <v>1674</v>
      </c>
      <c r="H2" s="762" t="s">
        <v>410</v>
      </c>
      <c r="I2" s="762" t="s">
        <v>1158</v>
      </c>
      <c r="J2" s="762" t="s">
        <v>1812</v>
      </c>
      <c r="K2" s="762" t="s">
        <v>138</v>
      </c>
    </row>
    <row r="3" spans="1:11" x14ac:dyDescent="0.2">
      <c r="A3" s="2217" t="s">
        <v>1964</v>
      </c>
      <c r="B3" s="2218"/>
      <c r="C3" s="2218"/>
      <c r="D3" s="2218"/>
      <c r="E3" s="2219"/>
      <c r="F3" s="763"/>
      <c r="G3" s="764"/>
      <c r="H3" s="764"/>
      <c r="I3" s="764"/>
      <c r="J3" s="765"/>
      <c r="K3" s="765"/>
    </row>
    <row r="4" spans="1:11" x14ac:dyDescent="0.2">
      <c r="A4" s="2220" t="s">
        <v>369</v>
      </c>
      <c r="B4" s="2221"/>
      <c r="C4" s="2221"/>
      <c r="D4" s="2221"/>
      <c r="E4" s="2202"/>
      <c r="F4" s="766"/>
      <c r="G4" s="767"/>
      <c r="H4" s="768"/>
      <c r="I4" s="767"/>
      <c r="J4" s="769"/>
      <c r="K4" s="769"/>
    </row>
    <row r="5" spans="1:11" x14ac:dyDescent="0.2">
      <c r="A5" s="2238" t="s">
        <v>1069</v>
      </c>
      <c r="B5" s="2211"/>
      <c r="C5" s="2211"/>
      <c r="D5" s="2211"/>
      <c r="E5" s="2239"/>
      <c r="F5" s="770" t="s">
        <v>848</v>
      </c>
      <c r="G5" s="771"/>
      <c r="H5" s="764">
        <v>53420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600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2642</v>
      </c>
    </row>
    <row r="10" spans="1:11" x14ac:dyDescent="0.2">
      <c r="A10" s="2238" t="s">
        <v>1813</v>
      </c>
      <c r="B10" s="2211"/>
      <c r="C10" s="2211"/>
      <c r="D10" s="2211"/>
      <c r="E10" s="2240"/>
      <c r="F10" s="783" t="s">
        <v>862</v>
      </c>
      <c r="G10" s="782"/>
      <c r="H10" s="784"/>
      <c r="I10" s="764"/>
      <c r="J10" s="765"/>
      <c r="K10" s="765"/>
    </row>
    <row r="11" spans="1:11" x14ac:dyDescent="0.2">
      <c r="A11" s="2238" t="s">
        <v>160</v>
      </c>
      <c r="B11" s="2211"/>
      <c r="C11" s="2211"/>
      <c r="D11" s="2211"/>
      <c r="E11" s="2239"/>
      <c r="F11" s="770" t="s">
        <v>852</v>
      </c>
      <c r="G11" s="771"/>
      <c r="H11" s="764"/>
      <c r="I11" s="764"/>
      <c r="J11" s="765"/>
      <c r="K11" s="773"/>
    </row>
    <row r="12" spans="1:11" ht="13.5" thickBot="1" x14ac:dyDescent="0.25">
      <c r="A12" s="2228" t="s">
        <v>905</v>
      </c>
      <c r="B12" s="2229"/>
      <c r="C12" s="2229"/>
      <c r="D12" s="2229"/>
      <c r="E12" s="2230"/>
      <c r="F12" s="1757"/>
      <c r="G12" s="1758">
        <f>SUM(G5:G11)</f>
        <v>0</v>
      </c>
      <c r="H12" s="1758">
        <f>SUM(H5:H11)</f>
        <v>53420</v>
      </c>
      <c r="I12" s="1758">
        <f>SUM(I5:I11)</f>
        <v>0</v>
      </c>
      <c r="J12" s="1758">
        <f>SUM(J5:J11)</f>
        <v>0</v>
      </c>
      <c r="K12" s="1758">
        <f>SUM(K5:K11)</f>
        <v>3242</v>
      </c>
    </row>
    <row r="13" spans="1:11" ht="13.5" thickTop="1" x14ac:dyDescent="0.2">
      <c r="A13" s="2222" t="s">
        <v>370</v>
      </c>
      <c r="B13" s="2223"/>
      <c r="C13" s="2223"/>
      <c r="D13" s="2223"/>
      <c r="E13" s="2224"/>
      <c r="F13" s="785"/>
      <c r="G13" s="786"/>
      <c r="H13" s="787"/>
      <c r="I13" s="788"/>
      <c r="J13" s="788"/>
      <c r="K13" s="788"/>
    </row>
    <row r="14" spans="1:11" x14ac:dyDescent="0.2">
      <c r="A14" s="2244" t="s">
        <v>456</v>
      </c>
      <c r="B14" s="2244"/>
      <c r="C14" s="2244"/>
      <c r="D14" s="2244"/>
      <c r="E14" s="2245"/>
      <c r="F14" s="789" t="s">
        <v>854</v>
      </c>
      <c r="G14" s="782"/>
      <c r="H14" s="764">
        <v>53420</v>
      </c>
      <c r="I14" s="771"/>
      <c r="J14" s="773"/>
      <c r="K14" s="765">
        <v>3242</v>
      </c>
    </row>
    <row r="15" spans="1:11" x14ac:dyDescent="0.2">
      <c r="A15" s="2211" t="s">
        <v>4</v>
      </c>
      <c r="B15" s="2211"/>
      <c r="C15" s="2211"/>
      <c r="D15" s="2211"/>
      <c r="E15" s="2239"/>
      <c r="F15" s="789" t="s">
        <v>855</v>
      </c>
      <c r="G15" s="771"/>
      <c r="H15" s="764"/>
      <c r="I15" s="764"/>
      <c r="J15" s="765"/>
      <c r="K15" s="765"/>
    </row>
    <row r="16" spans="1:11" x14ac:dyDescent="0.2">
      <c r="A16" s="2211" t="s">
        <v>298</v>
      </c>
      <c r="B16" s="2211"/>
      <c r="C16" s="2211"/>
      <c r="D16" s="2211"/>
      <c r="E16" s="2239"/>
      <c r="F16" s="789" t="s">
        <v>923</v>
      </c>
      <c r="G16" s="772"/>
      <c r="H16" s="767"/>
      <c r="I16" s="767"/>
      <c r="J16" s="769"/>
      <c r="K16" s="769"/>
    </row>
    <row r="17" spans="1:11" x14ac:dyDescent="0.2">
      <c r="A17" s="2233" t="s">
        <v>935</v>
      </c>
      <c r="B17" s="2233"/>
      <c r="C17" s="2233"/>
      <c r="D17" s="2233"/>
      <c r="E17" s="2234"/>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46" t="s">
        <v>1809</v>
      </c>
      <c r="B19" s="2246"/>
      <c r="C19" s="2246"/>
      <c r="D19" s="2246"/>
      <c r="E19" s="2247"/>
      <c r="F19" s="789" t="s">
        <v>933</v>
      </c>
      <c r="G19" s="782"/>
      <c r="H19" s="782"/>
      <c r="I19" s="782"/>
      <c r="J19" s="765"/>
      <c r="K19" s="795"/>
    </row>
    <row r="20" spans="1:11" x14ac:dyDescent="0.2">
      <c r="A20" s="2225" t="s">
        <v>1814</v>
      </c>
      <c r="B20" s="2226"/>
      <c r="C20" s="2226"/>
      <c r="D20" s="2226"/>
      <c r="E20" s="2227"/>
      <c r="F20" s="789" t="s">
        <v>934</v>
      </c>
      <c r="G20" s="782"/>
      <c r="H20" s="782"/>
      <c r="I20" s="782"/>
      <c r="J20" s="765"/>
      <c r="K20" s="795"/>
    </row>
    <row r="21" spans="1:11" ht="13.5" thickBot="1" x14ac:dyDescent="0.25">
      <c r="A21" s="2231" t="s">
        <v>638</v>
      </c>
      <c r="B21" s="2231"/>
      <c r="C21" s="2231"/>
      <c r="D21" s="2231"/>
      <c r="E21" s="2231"/>
      <c r="F21" s="1759"/>
      <c r="G21" s="792"/>
      <c r="H21" s="796"/>
      <c r="I21" s="796"/>
      <c r="J21" s="1760">
        <f>SUM(J18:J20)</f>
        <v>0</v>
      </c>
      <c r="K21" s="793"/>
    </row>
    <row r="22" spans="1:11" ht="13.5" thickTop="1" x14ac:dyDescent="0.2">
      <c r="A22" s="2211" t="s">
        <v>1815</v>
      </c>
      <c r="B22" s="2211"/>
      <c r="C22" s="2211"/>
      <c r="D22" s="2211"/>
      <c r="E22" s="2239"/>
      <c r="F22" s="789" t="s">
        <v>862</v>
      </c>
      <c r="G22" s="782"/>
      <c r="H22" s="764"/>
      <c r="I22" s="764"/>
      <c r="J22" s="797"/>
      <c r="K22" s="765"/>
    </row>
    <row r="23" spans="1:11" ht="13.5" thickBot="1" x14ac:dyDescent="0.25">
      <c r="A23" s="2232" t="s">
        <v>906</v>
      </c>
      <c r="B23" s="2231"/>
      <c r="C23" s="2231"/>
      <c r="D23" s="2231"/>
      <c r="E23" s="2231"/>
      <c r="F23" s="1761"/>
      <c r="G23" s="1758">
        <f>SUM(G14:G16,G21,G22)</f>
        <v>0</v>
      </c>
      <c r="H23" s="1758">
        <f>SUM(H14:H16,H21,H22)</f>
        <v>53420</v>
      </c>
      <c r="I23" s="1758">
        <f>SUM(I14:I16,I21,I22)</f>
        <v>0</v>
      </c>
      <c r="J23" s="1758">
        <f>SUM(J14:J16,J21,J22)</f>
        <v>0</v>
      </c>
      <c r="K23" s="1758">
        <f>SUM(K14:K16,K21,K22)</f>
        <v>3242</v>
      </c>
    </row>
    <row r="24" spans="1:11" ht="14.25" thickTop="1" thickBot="1" x14ac:dyDescent="0.25">
      <c r="A24" s="2232" t="s">
        <v>1965</v>
      </c>
      <c r="B24" s="2231"/>
      <c r="C24" s="2231"/>
      <c r="D24" s="2231"/>
      <c r="E24" s="223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1"/>
      <c r="I31" s="2242"/>
      <c r="J31" s="2242"/>
      <c r="K31" s="2242"/>
    </row>
    <row r="32" spans="1:11" x14ac:dyDescent="0.2">
      <c r="A32" s="809"/>
      <c r="B32" s="237"/>
      <c r="C32" s="237"/>
      <c r="D32" s="237"/>
      <c r="E32" s="805"/>
      <c r="F32" s="811" t="s">
        <v>540</v>
      </c>
      <c r="G32" s="764"/>
      <c r="H32" s="2243"/>
      <c r="I32" s="2242"/>
      <c r="J32" s="2242"/>
      <c r="K32" s="2242"/>
    </row>
    <row r="33" spans="1:11" ht="1.5" customHeight="1" x14ac:dyDescent="0.2">
      <c r="A33" s="812" t="s">
        <v>1169</v>
      </c>
      <c r="B33" s="364"/>
      <c r="C33" s="364"/>
      <c r="D33" s="364"/>
      <c r="E33" s="364"/>
      <c r="F33" s="364"/>
      <c r="G33" s="813"/>
      <c r="H33" s="2243"/>
      <c r="I33" s="2242"/>
      <c r="J33" s="2242"/>
      <c r="K33" s="2242"/>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1" t="s">
        <v>541</v>
      </c>
      <c r="B41" s="2212"/>
      <c r="C41" s="2212"/>
      <c r="D41" s="2212"/>
      <c r="E41" s="2212"/>
      <c r="F41" s="221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T16" sqref="T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1909</v>
      </c>
      <c r="B1" s="2251"/>
      <c r="C1" s="2252"/>
      <c r="D1" s="826"/>
      <c r="E1" s="827"/>
      <c r="F1" s="827"/>
      <c r="G1" s="828"/>
      <c r="H1" s="829"/>
      <c r="I1" s="830"/>
      <c r="J1" s="2248"/>
      <c r="K1" s="2249"/>
      <c r="L1" s="2249"/>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7500</v>
      </c>
      <c r="D5" s="841"/>
      <c r="E5" s="841"/>
      <c r="F5" s="1760">
        <f>(C5+D5)-E5</f>
        <v>7500</v>
      </c>
      <c r="G5" s="837"/>
      <c r="H5" s="842"/>
      <c r="I5" s="842"/>
      <c r="J5" s="842"/>
      <c r="K5" s="793"/>
      <c r="L5" s="1769">
        <f>F5-K5</f>
        <v>7500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2660610</v>
      </c>
      <c r="D8" s="844">
        <v>245267</v>
      </c>
      <c r="E8" s="844"/>
      <c r="F8" s="1760">
        <f>(C8+D8)-E8</f>
        <v>2905877</v>
      </c>
      <c r="G8" s="843">
        <v>50</v>
      </c>
      <c r="H8" s="765">
        <v>1649851</v>
      </c>
      <c r="I8" s="765">
        <v>33368</v>
      </c>
      <c r="J8" s="765"/>
      <c r="K8" s="1769">
        <f>(H8+I8)-J8</f>
        <v>1683219</v>
      </c>
      <c r="L8" s="1769">
        <f>F8-K8</f>
        <v>1222658</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41861</v>
      </c>
      <c r="D10" s="846"/>
      <c r="E10" s="846"/>
      <c r="F10" s="1764">
        <f>(C10+D10)-E10</f>
        <v>41861</v>
      </c>
      <c r="G10" s="843">
        <v>20</v>
      </c>
      <c r="H10" s="847">
        <v>25684</v>
      </c>
      <c r="I10" s="847">
        <v>2093</v>
      </c>
      <c r="J10" s="847"/>
      <c r="K10" s="1769">
        <f>(H10+I10)-J10</f>
        <v>27777</v>
      </c>
      <c r="L10" s="1769">
        <f>F10-K10</f>
        <v>14084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271269</v>
      </c>
      <c r="D12" s="844">
        <v>26459</v>
      </c>
      <c r="E12" s="844"/>
      <c r="F12" s="1760">
        <f>(C12+D12)-E12</f>
        <v>297728</v>
      </c>
      <c r="G12" s="843">
        <v>10</v>
      </c>
      <c r="H12" s="765">
        <v>146531</v>
      </c>
      <c r="I12" s="765">
        <v>29547</v>
      </c>
      <c r="J12" s="765"/>
      <c r="K12" s="1769">
        <f>(H12+I12)-J12</f>
        <v>176078</v>
      </c>
      <c r="L12" s="1769">
        <f>F12-K12</f>
        <v>121650</v>
      </c>
    </row>
    <row r="13" spans="1:14" ht="14.25" thickTop="1" thickBot="1" x14ac:dyDescent="0.25">
      <c r="A13" s="848" t="s">
        <v>1122</v>
      </c>
      <c r="B13" s="840">
        <v>252</v>
      </c>
      <c r="C13" s="844">
        <v>86284</v>
      </c>
      <c r="D13" s="844">
        <v>321081</v>
      </c>
      <c r="E13" s="844"/>
      <c r="F13" s="1760">
        <f>(C13+D13)-E13</f>
        <v>407365</v>
      </c>
      <c r="G13" s="843">
        <v>5</v>
      </c>
      <c r="H13" s="765">
        <v>72288</v>
      </c>
      <c r="I13" s="765">
        <v>67725</v>
      </c>
      <c r="J13" s="765"/>
      <c r="K13" s="1769">
        <f>(H13+I13)-J13</f>
        <v>140013</v>
      </c>
      <c r="L13" s="1769">
        <f>F13-K13</f>
        <v>267352</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3067524</v>
      </c>
      <c r="D16" s="1760">
        <f>SUM(D3,D5:D6,D8:D10,D12:D15)</f>
        <v>592807</v>
      </c>
      <c r="E16" s="1760">
        <f>SUM(E3,E5:E6,E8:E10,E12:E15)</f>
        <v>0</v>
      </c>
      <c r="F16" s="1760">
        <f>SUM(F3,F5:F6,F8:F10,F12:F15)</f>
        <v>3660331</v>
      </c>
      <c r="G16" s="843"/>
      <c r="H16" s="1760">
        <f>SUM(H3,H6,H8:H10,H12:H14,)</f>
        <v>1894354</v>
      </c>
      <c r="I16" s="1760">
        <f>SUM(I3,I6,I8:I10,I12:I14,)</f>
        <v>132733</v>
      </c>
      <c r="J16" s="1760">
        <f>SUM(J3,J6,J8:J10,J12:J14,)</f>
        <v>0</v>
      </c>
      <c r="K16" s="1760">
        <f>(H16+I16)-J16</f>
        <v>2027087</v>
      </c>
      <c r="L16" s="1760">
        <f>F16-K16</f>
        <v>1633244</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132733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72" activePane="bottomLeft" state="frozen"/>
      <selection activeCell="T16" sqref="T16"/>
      <selection pane="bottomLeft" activeCell="T16" sqref="T1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1975</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2277285</v>
      </c>
      <c r="G8" s="865"/>
    </row>
    <row r="9" spans="1:7" x14ac:dyDescent="0.2">
      <c r="A9" s="869" t="s">
        <v>460</v>
      </c>
      <c r="B9" s="870" t="s">
        <v>1877</v>
      </c>
      <c r="C9" s="871"/>
      <c r="D9" s="869" t="s">
        <v>501</v>
      </c>
      <c r="E9" s="868"/>
      <c r="F9" s="1909">
        <f>'Expenditures 15-22'!K151</f>
        <v>387745</v>
      </c>
      <c r="G9" s="872"/>
    </row>
    <row r="10" spans="1:7" x14ac:dyDescent="0.2">
      <c r="A10" s="869" t="s">
        <v>499</v>
      </c>
      <c r="B10" s="870" t="s">
        <v>1878</v>
      </c>
      <c r="C10" s="871"/>
      <c r="D10" s="869" t="s">
        <v>501</v>
      </c>
      <c r="E10" s="868"/>
      <c r="F10" s="1909">
        <f>'Expenditures 15-22'!K174</f>
        <v>0</v>
      </c>
      <c r="G10" s="872"/>
    </row>
    <row r="11" spans="1:7" x14ac:dyDescent="0.2">
      <c r="A11" s="869" t="s">
        <v>461</v>
      </c>
      <c r="B11" s="870" t="s">
        <v>1879</v>
      </c>
      <c r="C11" s="871"/>
      <c r="D11" s="869" t="s">
        <v>501</v>
      </c>
      <c r="E11" s="868"/>
      <c r="F11" s="1909">
        <f>'Expenditures 15-22'!K210</f>
        <v>462655</v>
      </c>
      <c r="G11" s="872"/>
    </row>
    <row r="12" spans="1:7" x14ac:dyDescent="0.2">
      <c r="A12" s="869" t="s">
        <v>462</v>
      </c>
      <c r="B12" s="870" t="s">
        <v>1880</v>
      </c>
      <c r="C12" s="871"/>
      <c r="D12" s="869" t="s">
        <v>501</v>
      </c>
      <c r="E12" s="868"/>
      <c r="F12" s="1909">
        <f>'Expenditures 15-22'!K295</f>
        <v>96179</v>
      </c>
      <c r="G12" s="872"/>
    </row>
    <row r="13" spans="1:7" x14ac:dyDescent="0.2">
      <c r="A13" s="869" t="s">
        <v>106</v>
      </c>
      <c r="B13" s="870" t="s">
        <v>1881</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3223864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1777</v>
      </c>
      <c r="G52" s="865"/>
    </row>
    <row r="53" spans="1:7" x14ac:dyDescent="0.2">
      <c r="A53" s="869" t="s">
        <v>459</v>
      </c>
      <c r="B53" s="869" t="s">
        <v>1475</v>
      </c>
      <c r="C53" s="889">
        <f>'Expenditures 15-22'!B102</f>
        <v>4000</v>
      </c>
      <c r="D53" s="888" t="str">
        <f>'Expenditures 15-22'!A102</f>
        <v>Total Payments to Other Govt Units</v>
      </c>
      <c r="E53" s="868"/>
      <c r="F53" s="1913">
        <f>'Expenditures 15-22'!K102</f>
        <v>240875</v>
      </c>
      <c r="G53" s="865"/>
    </row>
    <row r="54" spans="1:7" x14ac:dyDescent="0.2">
      <c r="A54" s="869" t="s">
        <v>459</v>
      </c>
      <c r="B54" s="869" t="s">
        <v>1476</v>
      </c>
      <c r="C54" s="889" t="s">
        <v>982</v>
      </c>
      <c r="D54" s="885" t="s">
        <v>1095</v>
      </c>
      <c r="E54" s="868"/>
      <c r="F54" s="1913">
        <f>'Expenditures 15-22'!G114</f>
        <v>7217</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130715</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340323</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720907</v>
      </c>
      <c r="G76" s="865"/>
    </row>
    <row r="77" spans="1:8" s="893" customFormat="1" ht="12" customHeight="1" thickTop="1" thickBot="1" x14ac:dyDescent="0.25">
      <c r="A77" s="1779"/>
      <c r="B77" s="1776"/>
      <c r="C77" s="1772"/>
      <c r="D77" s="1777" t="s">
        <v>1900</v>
      </c>
      <c r="E77" s="1774"/>
      <c r="F77" s="1780">
        <f>(F14-F76)</f>
        <v>2502957</v>
      </c>
      <c r="G77" s="869"/>
    </row>
    <row r="78" spans="1:8" s="893" customFormat="1" ht="12" customHeight="1" thickTop="1" x14ac:dyDescent="0.2">
      <c r="A78" s="1781"/>
      <c r="B78" s="1776"/>
      <c r="C78" s="1772"/>
      <c r="D78" s="1777" t="s">
        <v>2062</v>
      </c>
      <c r="E78" s="1774"/>
      <c r="F78" s="898">
        <v>206.88</v>
      </c>
      <c r="G78" s="899"/>
      <c r="H78" s="869"/>
    </row>
    <row r="79" spans="1:8" s="893" customFormat="1" ht="12" customHeight="1" thickBot="1" x14ac:dyDescent="0.25">
      <c r="A79" s="1782"/>
      <c r="B79" s="1776"/>
      <c r="C79" s="1772"/>
      <c r="D79" s="1777" t="s">
        <v>1901</v>
      </c>
      <c r="E79" s="1774" t="s">
        <v>958</v>
      </c>
      <c r="F79" s="1783">
        <f>IF(F78&gt;0,F77/F78," Complete Line 78")</f>
        <v>12098.593387470997</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36901</v>
      </c>
      <c r="G94" s="912"/>
    </row>
    <row r="95" spans="1:7" x14ac:dyDescent="0.2">
      <c r="A95" s="908" t="s">
        <v>140</v>
      </c>
      <c r="B95" s="908" t="s">
        <v>175</v>
      </c>
      <c r="C95" s="910">
        <v>1700</v>
      </c>
      <c r="D95" s="918" t="str">
        <f>'Revenues 9-14'!A82</f>
        <v>Total District/School Activity Income</v>
      </c>
      <c r="E95" s="906"/>
      <c r="F95" s="1789">
        <f>SUM('Revenues 9-14'!C82,'Revenues 9-14'!D82)</f>
        <v>10555</v>
      </c>
      <c r="G95" s="912"/>
    </row>
    <row r="96" spans="1:7" x14ac:dyDescent="0.2">
      <c r="A96" s="908" t="s">
        <v>459</v>
      </c>
      <c r="B96" s="908" t="s">
        <v>176</v>
      </c>
      <c r="C96" s="910">
        <f>'Revenues 9-14'!B84</f>
        <v>1811</v>
      </c>
      <c r="D96" s="911" t="str">
        <f>'Revenues 9-14'!A84</f>
        <v>Rentals - Regular Textbooks</v>
      </c>
      <c r="E96" s="906"/>
      <c r="F96" s="1789">
        <f>'Revenues 9-14'!C84</f>
        <v>16064</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4666</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5826</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7019</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819</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2642</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86107</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1934</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37014</v>
      </c>
      <c r="G125" s="930"/>
    </row>
    <row r="126" spans="1:7" x14ac:dyDescent="0.2">
      <c r="A126" s="927" t="s">
        <v>668</v>
      </c>
      <c r="B126" s="927" t="s">
        <v>2024</v>
      </c>
      <c r="C126" s="932">
        <v>4300</v>
      </c>
      <c r="D126" s="933" t="str">
        <f>'Revenues 9-14'!A204</f>
        <v>Total Title I</v>
      </c>
      <c r="E126" s="906"/>
      <c r="F126" s="1789">
        <f>SUM('Revenues 9-14'!C204,'Revenues 9-14'!D204,'Revenues 9-14'!F204,'Revenues 9-14'!G204)</f>
        <v>34724</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25738</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2869</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2206</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275084</v>
      </c>
    </row>
    <row r="175" spans="1:7" ht="12" customHeight="1" x14ac:dyDescent="0.2">
      <c r="A175" s="1770"/>
      <c r="B175" s="1784"/>
      <c r="C175" s="1785"/>
      <c r="D175" s="1786" t="s">
        <v>2057</v>
      </c>
      <c r="E175" s="1787"/>
      <c r="F175" s="1789">
        <f>'PCTC-OEPP 27-28'!F77-F174</f>
        <v>2227873</v>
      </c>
    </row>
    <row r="176" spans="1:7" ht="12" customHeight="1" x14ac:dyDescent="0.2">
      <c r="A176" s="1770"/>
      <c r="B176" s="1784"/>
      <c r="C176" s="1785"/>
      <c r="D176" s="1786" t="s">
        <v>1817</v>
      </c>
      <c r="E176" s="1787"/>
      <c r="F176" s="1789">
        <f>'Cap Outlay Deprec 26'!I18</f>
        <v>132733</v>
      </c>
    </row>
    <row r="177" spans="1:7" ht="12" customHeight="1" x14ac:dyDescent="0.2">
      <c r="A177" s="1770"/>
      <c r="B177" s="1784"/>
      <c r="C177" s="1785"/>
      <c r="D177" s="1786" t="s">
        <v>2058</v>
      </c>
      <c r="E177" s="1787"/>
      <c r="F177" s="1789">
        <f>F175+F176</f>
        <v>2360606</v>
      </c>
    </row>
    <row r="178" spans="1:7" ht="12" customHeight="1" x14ac:dyDescent="0.2">
      <c r="A178" s="1770"/>
      <c r="B178" s="1790"/>
      <c r="C178" s="1785"/>
      <c r="D178" s="1786" t="str">
        <f>D78</f>
        <v>9 Month ADA from District Average Daily Attendance/Prior General State Aid Inquiry 2018-2019</v>
      </c>
      <c r="E178" s="1787"/>
      <c r="F178" s="1791">
        <f>'PCTC-OEPP 27-28'!F78</f>
        <v>206.88</v>
      </c>
      <c r="G178" s="930"/>
    </row>
    <row r="179" spans="1:7" ht="12" customHeight="1" thickBot="1" x14ac:dyDescent="0.25">
      <c r="A179" s="1770"/>
      <c r="B179" s="1790"/>
      <c r="C179" s="1785"/>
      <c r="D179" s="1786" t="s">
        <v>2059</v>
      </c>
      <c r="E179" s="1787" t="s">
        <v>1545</v>
      </c>
      <c r="F179" s="1792">
        <f>F177/F178</f>
        <v>11410.508507347255</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T16" sqref="T16"/>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4" t="s">
        <v>1819</v>
      </c>
      <c r="B6" s="1535"/>
      <c r="C6" s="1535"/>
      <c r="D6" s="1535"/>
      <c r="E6" s="1535"/>
      <c r="F6" s="1535"/>
      <c r="G6" s="1536"/>
    </row>
    <row r="7" spans="1:7" ht="30.75" customHeight="1" x14ac:dyDescent="0.25">
      <c r="A7" s="2273" t="s">
        <v>1932</v>
      </c>
      <c r="B7" s="2274"/>
      <c r="C7" s="2274"/>
      <c r="D7" s="2274"/>
      <c r="E7" s="2274"/>
      <c r="F7" s="2274"/>
      <c r="G7" s="2275"/>
    </row>
    <row r="8" spans="1:7" ht="15.75" customHeight="1" x14ac:dyDescent="0.25">
      <c r="A8" s="2276" t="s">
        <v>1907</v>
      </c>
      <c r="B8" s="2277"/>
      <c r="C8" s="2277"/>
      <c r="D8" s="2277"/>
      <c r="E8" s="2277"/>
      <c r="F8" s="2277"/>
      <c r="G8" s="2278"/>
    </row>
    <row r="9" spans="1:7" ht="35.25" customHeight="1" x14ac:dyDescent="0.25">
      <c r="A9" s="2273" t="s">
        <v>1935</v>
      </c>
      <c r="B9" s="2274"/>
      <c r="C9" s="2274"/>
      <c r="D9" s="2274"/>
      <c r="E9" s="2274"/>
      <c r="F9" s="2274"/>
      <c r="G9" s="2275"/>
    </row>
    <row r="10" spans="1:7" ht="15" customHeight="1" x14ac:dyDescent="0.25">
      <c r="A10" s="1537" t="s">
        <v>1820</v>
      </c>
      <c r="B10" s="1538"/>
      <c r="C10" s="1538"/>
      <c r="D10" s="1538"/>
      <c r="E10" s="1538"/>
      <c r="F10" s="1538"/>
      <c r="G10" s="1539"/>
    </row>
    <row r="11" spans="1:7" ht="17.25" customHeight="1" x14ac:dyDescent="0.25">
      <c r="A11" s="2273" t="s">
        <v>1934</v>
      </c>
      <c r="B11" s="2274"/>
      <c r="C11" s="2274"/>
      <c r="D11" s="2274"/>
      <c r="E11" s="2274"/>
      <c r="F11" s="2274"/>
      <c r="G11" s="2275"/>
    </row>
    <row r="12" spans="1:7" ht="15" customHeight="1" x14ac:dyDescent="0.25">
      <c r="A12" s="1537" t="s">
        <v>1825</v>
      </c>
      <c r="B12" s="1538"/>
      <c r="C12" s="1538"/>
      <c r="D12" s="1538"/>
      <c r="E12" s="1538"/>
      <c r="F12" s="1538"/>
      <c r="G12" s="1539"/>
    </row>
    <row r="13" spans="1:7" ht="32.25" customHeight="1" x14ac:dyDescent="0.25">
      <c r="A13" s="2264" t="s">
        <v>1976</v>
      </c>
      <c r="B13" s="2265"/>
      <c r="C13" s="2265"/>
      <c r="D13" s="2265"/>
      <c r="E13" s="2265"/>
      <c r="F13" s="2265"/>
      <c r="G13" s="2266"/>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2080</v>
      </c>
      <c r="B17" s="1934"/>
      <c r="C17" s="1656"/>
      <c r="D17" s="1844"/>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2" colorId="8" zoomScale="110" zoomScaleNormal="110" workbookViewId="0">
      <selection activeCell="T16" sqref="T1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284" t="s">
        <v>1977</v>
      </c>
      <c r="B11" s="2285"/>
      <c r="C11" s="2285"/>
      <c r="D11" s="2286"/>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1354510</v>
      </c>
      <c r="F19" s="1799"/>
      <c r="G19" s="1801">
        <f>'Expenditures 15-22'!K33-SUM('Expenditures 15-22'!G33,'Expenditures 15-22'!I33)+'Expenditures 15-22'!D229</f>
        <v>1354510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94245</v>
      </c>
      <c r="F21" s="1802"/>
      <c r="G21" s="1805">
        <f>'Expenditures 15-22'!K42-SUM('Expenditures 15-22'!G42,'Expenditures 15-22'!I42)+'Expenditures 15-22'!K120-SUM('Expenditures 15-22'!G120,'Expenditures 15-22'!I120)+'Expenditures 15-22'!K180-SUM('Expenditures 15-22'!G180,'Expenditures 15-22'!I180)+'Expenditures 15-22'!D238</f>
        <v>94245</v>
      </c>
      <c r="H21" s="987"/>
      <c r="I21" s="162"/>
    </row>
    <row r="22" spans="1:9" s="668" customFormat="1" ht="12" customHeight="1" x14ac:dyDescent="0.2">
      <c r="A22" s="994" t="s">
        <v>564</v>
      </c>
      <c r="B22" s="995"/>
      <c r="C22" s="993">
        <v>2200</v>
      </c>
      <c r="D22" s="1802"/>
      <c r="E22" s="1804">
        <f>'Expenditures 15-22'!K47-SUM('Expenditures 15-22'!G47,'Expenditures 15-22'!I47)+'Expenditures 15-22'!D243</f>
        <v>43200</v>
      </c>
      <c r="F22" s="1802"/>
      <c r="G22" s="1805">
        <f>'Expenditures 15-22'!K47-SUM('Expenditures 15-22'!G47,'Expenditures 15-22'!I47)+'Expenditures 15-22'!D243</f>
        <v>43200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184080</v>
      </c>
      <c r="F23" s="1802"/>
      <c r="G23" s="1804">
        <f>'Expenditures 15-22'!K53-SUM('Expenditures 15-22'!G53,'Expenditures 15-22'!I53)+'Expenditures 15-22'!D257+'Expenditures 15-22'!K330-SUM('Expenditures 15-22'!G330,'Expenditures 15-22'!I330)</f>
        <v>184080</v>
      </c>
      <c r="H23" s="987"/>
      <c r="I23" s="162"/>
    </row>
    <row r="24" spans="1:9" s="668" customFormat="1" ht="12" customHeight="1" x14ac:dyDescent="0.2">
      <c r="A24" s="994" t="s">
        <v>566</v>
      </c>
      <c r="B24" s="995"/>
      <c r="C24" s="993">
        <v>2400</v>
      </c>
      <c r="D24" s="1802"/>
      <c r="E24" s="1804">
        <f>'Expenditures 15-22'!K57-SUM('Expenditures 15-22'!G57,'Expenditures 15-22'!I57)+'Expenditures 15-22'!D261</f>
        <v>157184</v>
      </c>
      <c r="F24" s="1802"/>
      <c r="G24" s="1805">
        <f>'Expenditures 15-22'!K57-SUM('Expenditures 15-22'!G57,'Expenditures 15-22'!I57)+'Expenditures 15-22'!D261</f>
        <v>157184</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110</v>
      </c>
      <c r="E26" s="1804">
        <f>'Expenditures 15-22'!K122-SUM('Expenditures 15-22'!G122,'Expenditures 15-22'!I122)+E7</f>
        <v>0</v>
      </c>
      <c r="F26" s="1804">
        <f>'Expenditures 15-22'!K59-SUM('Expenditures 15-22'!G59,'Expenditures 15-22'!I59)+'Expenditures 15-22'!D263-E7</f>
        <v>110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152397</v>
      </c>
      <c r="E27" s="1804">
        <f>E8</f>
        <v>0</v>
      </c>
      <c r="F27" s="1804">
        <f>'Expenditures 15-22'!K60-SUM('Expenditures 15-22'!G60,'Expenditures 15-22'!I60)+'Expenditures 15-22'!D264-E8</f>
        <v>152397</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275957</v>
      </c>
      <c r="F28" s="1806">
        <f>'Expenditures 15-22'!K61-SUM('Expenditures 15-22'!G61,'Expenditures 15-22'!I61)+'Expenditures 15-22'!K124-SUM('Expenditures 15-22'!G124,'Expenditures 15-22'!I124)+'Expenditures 15-22'!D266-E9</f>
        <v>275957</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135970</v>
      </c>
      <c r="F29" s="1802"/>
      <c r="G29" s="1805">
        <f>'Expenditures 15-22'!K62-SUM('Expenditures 15-22'!G62,'Expenditures 15-22'!I62)+'Expenditures 15-22'!K125-SUM('Expenditures 15-22'!G125,'Expenditures 15-22'!I125)+'Expenditures 15-22'!K182-SUM('Expenditures 15-22'!G182,'Expenditures 15-22'!I182)+'Expenditures 15-22'!D267</f>
        <v>135970</v>
      </c>
      <c r="H29" s="985"/>
    </row>
    <row r="30" spans="1:9" ht="12" customHeight="1" x14ac:dyDescent="0.2">
      <c r="A30" s="994" t="s">
        <v>100</v>
      </c>
      <c r="B30" s="997"/>
      <c r="C30" s="993">
        <v>2560</v>
      </c>
      <c r="D30" s="1802"/>
      <c r="E30" s="1804">
        <f>'Expenditures 15-22'!K63-SUM('Expenditures 15-22'!G63,'Expenditures 15-22'!I63)+'Expenditures 15-22'!D268-E10</f>
        <v>105044</v>
      </c>
      <c r="F30" s="1802"/>
      <c r="G30" s="1804">
        <f>'Expenditures 15-22'!K63-SUM('Expenditures 15-22'!G63,'Expenditures 15-22'!I63)+'Expenditures 15-22'!D268-E10</f>
        <v>105044</v>
      </c>
    </row>
    <row r="31" spans="1:9" ht="12" customHeight="1" x14ac:dyDescent="0.2">
      <c r="A31" s="994" t="s">
        <v>101</v>
      </c>
      <c r="B31" s="997"/>
      <c r="C31" s="993">
        <v>2570</v>
      </c>
      <c r="D31" s="1804">
        <f>'Expenditures 15-22'!K64-SUM('Expenditures 15-22'!G64,'Expenditures 15-22'!I64)+'Expenditures 15-22'!D269-E12</f>
        <v>260</v>
      </c>
      <c r="E31" s="1804">
        <f>E12</f>
        <v>0</v>
      </c>
      <c r="F31" s="1804">
        <f>'Expenditures 15-22'!K64-SUM('Expenditures 15-22'!G64,'Expenditures 15-22'!I64)+'Expenditures 15-22'!D269-E12</f>
        <v>260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1777</v>
      </c>
      <c r="F39" s="1802"/>
      <c r="G39" s="1804">
        <f>'Expenditures 15-22'!K75-SUM('Expenditures 15-22'!G75,'Expenditures 15-22'!I75)+'Expenditures 15-22'!K130-SUM('Expenditures 15-22'!G130,'Expenditures 15-22'!I130)+'Expenditures 15-22'!K185-SUM('Expenditures 15-22'!G185,'Expenditures 15-22'!I185)+'Expenditures 15-22'!D280</f>
        <v>1777</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152767</v>
      </c>
      <c r="E41" s="1806">
        <f>SUM(E19:E40)</f>
        <v>2351967</v>
      </c>
      <c r="F41" s="1806">
        <f>SUM(F19:F39)</f>
        <v>428724</v>
      </c>
      <c r="G41" s="1806">
        <f>SUM(G19:G40)</f>
        <v>2076010</v>
      </c>
    </row>
    <row r="42" spans="1:7" x14ac:dyDescent="0.2">
      <c r="A42" s="987"/>
      <c r="B42" s="162"/>
      <c r="C42" s="1001"/>
      <c r="D42" s="2282" t="s">
        <v>522</v>
      </c>
      <c r="E42" s="2283"/>
      <c r="F42" s="1002" t="s">
        <v>523</v>
      </c>
      <c r="G42" s="1003"/>
    </row>
    <row r="43" spans="1:7" ht="12" customHeight="1" x14ac:dyDescent="0.2">
      <c r="A43" s="987"/>
      <c r="B43" s="162"/>
      <c r="C43" s="1001"/>
      <c r="D43" s="1807" t="s">
        <v>473</v>
      </c>
      <c r="E43" s="1808">
        <f>D41</f>
        <v>152767</v>
      </c>
      <c r="F43" s="1807" t="s">
        <v>473</v>
      </c>
      <c r="G43" s="1808">
        <f>F41</f>
        <v>428724</v>
      </c>
    </row>
    <row r="44" spans="1:7" ht="12" customHeight="1" x14ac:dyDescent="0.2">
      <c r="A44" s="987"/>
      <c r="B44" s="162"/>
      <c r="C44" s="1001"/>
      <c r="D44" s="1807" t="s">
        <v>474</v>
      </c>
      <c r="E44" s="1808">
        <f>E41</f>
        <v>2351967</v>
      </c>
      <c r="F44" s="1807" t="s">
        <v>474</v>
      </c>
      <c r="G44" s="1808">
        <f>G41</f>
        <v>2076010</v>
      </c>
    </row>
    <row r="45" spans="1:7" ht="12" customHeight="1" x14ac:dyDescent="0.2">
      <c r="A45" s="987"/>
      <c r="B45" s="162"/>
      <c r="C45" s="162"/>
      <c r="D45" s="1809" t="s">
        <v>1006</v>
      </c>
      <c r="E45" s="1810">
        <f>(E43/E44)</f>
        <v>6.4952867110805557E-2</v>
      </c>
      <c r="F45" s="1809" t="s">
        <v>1006</v>
      </c>
      <c r="G45" s="1810">
        <f>(G43/G44)</f>
        <v>0.20651345610088584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4" activePane="bottomLeft" state="frozen"/>
      <selection activeCell="T16" sqref="T16"/>
      <selection pane="bottomLeft" activeCell="T16" sqref="T16"/>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0" t="s">
        <v>1379</v>
      </c>
      <c r="B1" s="2290"/>
      <c r="C1" s="2290"/>
      <c r="D1" s="2290"/>
      <c r="E1" s="2290"/>
      <c r="F1" s="2290"/>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1" t="s">
        <v>1546</v>
      </c>
      <c r="B5" s="2292"/>
      <c r="C5" s="2293"/>
      <c r="D5" s="2293"/>
      <c r="E5" s="2293"/>
      <c r="F5" s="2293"/>
    </row>
    <row r="6" spans="1:10" ht="12" customHeight="1" x14ac:dyDescent="0.25">
      <c r="A6" s="1850"/>
      <c r="B6" s="1851"/>
      <c r="C6" s="2294" t="str">
        <f>COVER!A17</f>
        <v>Greenview CUSD 200</v>
      </c>
      <c r="D6" s="2294"/>
      <c r="E6" s="2294"/>
      <c r="F6" s="1852"/>
    </row>
    <row r="7" spans="1:10" ht="11.25" customHeight="1" thickBot="1" x14ac:dyDescent="0.3">
      <c r="A7" s="1850"/>
      <c r="B7" s="1851"/>
      <c r="C7" s="2295">
        <f>COVER!A13</f>
        <v>51065200026</v>
      </c>
      <c r="D7" s="2295"/>
      <c r="E7" s="2295"/>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2071</v>
      </c>
      <c r="D19" s="1865" t="s">
        <v>2071</v>
      </c>
      <c r="E19" s="1868"/>
      <c r="F19" s="1867" t="s">
        <v>2081</v>
      </c>
      <c r="H19" s="1878">
        <f t="shared" si="0"/>
        <v>5</v>
      </c>
      <c r="I19" s="1878">
        <f t="shared" si="1"/>
        <v>5</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2071</v>
      </c>
      <c r="D26" s="1865" t="s">
        <v>2071</v>
      </c>
      <c r="E26" s="1868"/>
      <c r="F26" s="1867" t="s">
        <v>2082</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2071</v>
      </c>
      <c r="D31" s="1865" t="s">
        <v>2071</v>
      </c>
      <c r="E31" s="1868"/>
      <c r="F31" s="1867" t="s">
        <v>2083</v>
      </c>
      <c r="H31" s="1878">
        <f t="shared" si="0"/>
        <v>5</v>
      </c>
      <c r="I31" s="1878">
        <f t="shared" si="1"/>
        <v>5</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0</v>
      </c>
      <c r="K34" s="1878">
        <f>SUM(H34:J34)</f>
        <v>30</v>
      </c>
    </row>
    <row r="35" spans="1:11" ht="12" customHeight="1" x14ac:dyDescent="0.2">
      <c r="A35" s="1871" t="s">
        <v>1392</v>
      </c>
      <c r="B35" s="1872"/>
      <c r="C35" s="2296"/>
      <c r="D35" s="2296"/>
      <c r="E35" s="2296"/>
      <c r="F35" s="2297"/>
    </row>
    <row r="36" spans="1:11" ht="12" customHeight="1" x14ac:dyDescent="0.2">
      <c r="A36" s="2287"/>
      <c r="B36" s="2288"/>
      <c r="C36" s="2288"/>
      <c r="D36" s="2288"/>
      <c r="E36" s="2288"/>
      <c r="F36" s="2289"/>
    </row>
    <row r="37" spans="1:11" ht="12" customHeight="1" x14ac:dyDescent="0.2">
      <c r="A37" s="2287"/>
      <c r="B37" s="2288"/>
      <c r="C37" s="2288"/>
      <c r="D37" s="2288"/>
      <c r="E37" s="2288"/>
      <c r="F37" s="2289"/>
    </row>
    <row r="38" spans="1:11" ht="12" customHeight="1" x14ac:dyDescent="0.2">
      <c r="A38" s="2301"/>
      <c r="B38" s="2302"/>
      <c r="C38" s="2302"/>
      <c r="D38" s="2302"/>
      <c r="E38" s="2302"/>
      <c r="F38" s="2303"/>
    </row>
    <row r="39" spans="1:11" ht="4.5" hidden="1" customHeight="1" x14ac:dyDescent="0.2">
      <c r="A39" s="1873"/>
      <c r="B39" s="1873"/>
      <c r="C39" s="1873"/>
      <c r="D39" s="1873"/>
      <c r="E39" s="1873"/>
      <c r="F39" s="1873"/>
    </row>
    <row r="40" spans="1:11" s="1870" customFormat="1" ht="12" customHeight="1" x14ac:dyDescent="0.25">
      <c r="A40" s="1874" t="s">
        <v>1391</v>
      </c>
      <c r="B40" s="1875"/>
      <c r="C40" s="2304"/>
      <c r="D40" s="2304"/>
      <c r="E40" s="2304"/>
      <c r="F40" s="2305"/>
      <c r="H40" s="1879"/>
      <c r="I40" s="1879"/>
      <c r="J40" s="1879"/>
      <c r="K40" s="1879"/>
    </row>
    <row r="41" spans="1:11" s="1870" customFormat="1" ht="12" customHeight="1" x14ac:dyDescent="0.25">
      <c r="A41" s="2306"/>
      <c r="B41" s="2307"/>
      <c r="C41" s="2307"/>
      <c r="D41" s="2307"/>
      <c r="E41" s="2307"/>
      <c r="F41" s="2308"/>
      <c r="H41" s="1879"/>
      <c r="I41" s="1879"/>
      <c r="J41" s="1879"/>
      <c r="K41" s="1879"/>
    </row>
    <row r="42" spans="1:11" s="1870" customFormat="1" ht="12" customHeight="1" x14ac:dyDescent="0.25">
      <c r="A42" s="2306"/>
      <c r="B42" s="2307"/>
      <c r="C42" s="2307"/>
      <c r="D42" s="2307"/>
      <c r="E42" s="2307"/>
      <c r="F42" s="2308"/>
      <c r="H42" s="1879"/>
      <c r="I42" s="1879"/>
      <c r="J42" s="1879"/>
      <c r="K42" s="1879"/>
    </row>
    <row r="43" spans="1:11" s="1870" customFormat="1" ht="15" x14ac:dyDescent="0.25">
      <c r="A43" s="2298"/>
      <c r="B43" s="2299"/>
      <c r="C43" s="2299"/>
      <c r="D43" s="2299"/>
      <c r="E43" s="2299"/>
      <c r="F43" s="2300"/>
      <c r="H43" s="1879"/>
      <c r="I43" s="1879"/>
      <c r="J43" s="1879"/>
      <c r="K43" s="1879"/>
    </row>
    <row r="44" spans="1:11" s="1870" customFormat="1" ht="12" hidden="1" customHeight="1" x14ac:dyDescent="0.25">
      <c r="A44" s="2298"/>
      <c r="B44" s="2299"/>
      <c r="C44" s="2299"/>
      <c r="D44" s="2299"/>
      <c r="E44" s="2299"/>
      <c r="F44" s="230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T16" sqref="T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4" t="str">
        <f>COVER!A17</f>
        <v>Greenview CUSD 200</v>
      </c>
      <c r="J6" s="2315"/>
      <c r="Q6" s="1664"/>
    </row>
    <row r="7" spans="1:17" x14ac:dyDescent="0.2">
      <c r="A7" s="2316" t="s">
        <v>869</v>
      </c>
      <c r="B7" s="2317"/>
      <c r="C7" s="2317"/>
      <c r="D7" s="2317"/>
      <c r="E7" s="2318"/>
      <c r="F7" s="1017"/>
      <c r="G7" s="1009"/>
      <c r="H7" s="1016" t="s">
        <v>372</v>
      </c>
      <c r="I7" s="2319">
        <f>COVER!A13</f>
        <v>51065200026</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101827</v>
      </c>
      <c r="F12" s="1039"/>
      <c r="G12" s="1811">
        <f t="shared" ref="G12:G18" si="0">SUM(E12:F12)</f>
        <v>101827</v>
      </c>
      <c r="H12" s="1040">
        <v>101826</v>
      </c>
      <c r="I12" s="1039"/>
      <c r="J12" s="1811">
        <f t="shared" ref="J12:J18" si="1">SUM(H12:I12)</f>
        <v>101826</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110</v>
      </c>
      <c r="F15" s="1811">
        <f>'Expenditures 15-22'!K122</f>
        <v>0</v>
      </c>
      <c r="G15" s="1811">
        <f t="shared" si="0"/>
        <v>110</v>
      </c>
      <c r="H15" s="1040"/>
      <c r="I15" s="1040"/>
      <c r="J15" s="1811">
        <f t="shared" si="1"/>
        <v>0</v>
      </c>
    </row>
    <row r="16" spans="1:17" ht="15" customHeight="1" x14ac:dyDescent="0.2">
      <c r="A16" s="1035">
        <v>5</v>
      </c>
      <c r="B16" s="1036" t="s">
        <v>101</v>
      </c>
      <c r="C16" s="1037"/>
      <c r="D16" s="1038">
        <v>2570</v>
      </c>
      <c r="E16" s="1811">
        <f>'Expenditures 15-22'!K64</f>
        <v>260</v>
      </c>
      <c r="F16" s="1039"/>
      <c r="G16" s="1811">
        <f t="shared" si="0"/>
        <v>260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3" t="s">
        <v>7</v>
      </c>
      <c r="C18" s="2324"/>
      <c r="D18" s="2325"/>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102197</v>
      </c>
      <c r="F19" s="1813">
        <f t="shared" si="2"/>
        <v>0</v>
      </c>
      <c r="G19" s="1813">
        <f t="shared" si="2"/>
        <v>102197</v>
      </c>
      <c r="H19" s="1813">
        <f t="shared" si="2"/>
        <v>101826</v>
      </c>
      <c r="I19" s="1813">
        <f t="shared" si="2"/>
        <v>0</v>
      </c>
      <c r="J19" s="1813">
        <f t="shared" si="2"/>
        <v>101826</v>
      </c>
    </row>
    <row r="20" spans="1:10" ht="13.5" thickTop="1" x14ac:dyDescent="0.2">
      <c r="A20" s="1035">
        <v>9</v>
      </c>
      <c r="B20" s="2326" t="s">
        <v>1981</v>
      </c>
      <c r="C20" s="2326"/>
      <c r="D20" s="2327"/>
      <c r="E20" s="1046"/>
      <c r="F20" s="1046"/>
      <c r="G20" s="1046"/>
      <c r="H20" s="1046"/>
      <c r="I20" s="1046"/>
      <c r="J20" s="1814">
        <f>IF(AND(G19&gt;0,J19&gt;0),(((J19-G19)/G19)),"Enter Budget Data")</f>
        <v>-3.6302435492235586E-3</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1983</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T16" sqref="T1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2084</v>
      </c>
    </row>
    <row r="6" spans="1:2" x14ac:dyDescent="0.2">
      <c r="A6" s="1068">
        <v>2</v>
      </c>
      <c r="B6" s="329" t="s">
        <v>2085</v>
      </c>
    </row>
    <row r="7" spans="1:2" x14ac:dyDescent="0.2">
      <c r="A7" s="1068">
        <v>3</v>
      </c>
      <c r="B7" s="329" t="s">
        <v>2089</v>
      </c>
    </row>
    <row r="8" spans="1:2" x14ac:dyDescent="0.2">
      <c r="A8" s="1068">
        <v>4</v>
      </c>
      <c r="B8" s="329" t="s">
        <v>2086</v>
      </c>
    </row>
    <row r="9" spans="1:2" x14ac:dyDescent="0.2">
      <c r="A9" s="1068">
        <v>5</v>
      </c>
      <c r="B9" s="329" t="s">
        <v>2087</v>
      </c>
    </row>
    <row r="10" spans="1:2" x14ac:dyDescent="0.2">
      <c r="A10" s="1068">
        <v>6</v>
      </c>
      <c r="B10" s="329" t="s">
        <v>2088</v>
      </c>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t="str">
        <f>COVER!A17</f>
        <v>Greenview CUSD 200</v>
      </c>
    </row>
    <row r="66" spans="1:2" x14ac:dyDescent="0.2">
      <c r="B66" s="1070">
        <f>COVER!A13</f>
        <v>51065200026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T16" sqref="T1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5: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228600</xdr:colOff>
                <xdr:row>2</xdr:row>
                <xdr:rowOff>104775</xdr:rowOff>
              </from>
              <to>
                <xdr:col>1</xdr:col>
                <xdr:colOff>1143000</xdr:colOff>
                <xdr:row>6</xdr:row>
                <xdr:rowOff>142875</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T16" sqref="T1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1987</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1988</v>
      </c>
      <c r="B4" s="2354"/>
      <c r="C4" s="2354"/>
      <c r="D4" s="2354"/>
      <c r="E4" s="2354"/>
      <c r="F4" s="2355"/>
      <c r="G4" s="1074"/>
      <c r="H4" s="1074"/>
    </row>
    <row r="5" spans="1:8" ht="14.25" customHeight="1" x14ac:dyDescent="0.2">
      <c r="A5" s="2356" t="s">
        <v>1984</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2323309</v>
      </c>
      <c r="C8" s="1815">
        <f>'Acct Summary 7-8'!D8</f>
        <v>254038</v>
      </c>
      <c r="D8" s="1815">
        <f>'Acct Summary 7-8'!F8</f>
        <v>260381</v>
      </c>
      <c r="E8" s="1815">
        <f>'Acct Summary 7-8'!I8</f>
        <v>17865</v>
      </c>
      <c r="F8" s="1815">
        <f>SUM(B8:E8)</f>
        <v>2855593</v>
      </c>
    </row>
    <row r="9" spans="1:8" s="1079" customFormat="1" ht="14.25" customHeight="1" thickBot="1" x14ac:dyDescent="0.25">
      <c r="A9" s="1078" t="s">
        <v>1369</v>
      </c>
      <c r="B9" s="1816">
        <f>'Acct Summary 7-8'!C17</f>
        <v>2277285</v>
      </c>
      <c r="C9" s="1816">
        <f>'Acct Summary 7-8'!D17</f>
        <v>387745</v>
      </c>
      <c r="D9" s="1816">
        <f>'Acct Summary 7-8'!F17</f>
        <v>462655</v>
      </c>
      <c r="E9" s="1815"/>
      <c r="F9" s="1815">
        <f>SUM(B9:E9)</f>
        <v>3127685</v>
      </c>
    </row>
    <row r="10" spans="1:8" s="1079" customFormat="1" ht="14.25" thickTop="1" thickBot="1" x14ac:dyDescent="0.25">
      <c r="A10" s="1080" t="s">
        <v>1370</v>
      </c>
      <c r="B10" s="1817">
        <f>(B8-B9)</f>
        <v>46024</v>
      </c>
      <c r="C10" s="1817">
        <f>(C8-C9)</f>
        <v>-133707</v>
      </c>
      <c r="D10" s="1817">
        <f>(D8-D9)</f>
        <v>-202274</v>
      </c>
      <c r="E10" s="1816">
        <f>(E8-E9)</f>
        <v>17865</v>
      </c>
      <c r="F10" s="1818">
        <f>SUM(F8-F9)</f>
        <v>-272092</v>
      </c>
    </row>
    <row r="11" spans="1:8" s="1079" customFormat="1" ht="14.25" thickTop="1" thickBot="1" x14ac:dyDescent="0.25">
      <c r="A11" s="1081" t="s">
        <v>1985</v>
      </c>
      <c r="B11" s="1819">
        <f>'Acct Summary 7-8'!C81</f>
        <v>1443087</v>
      </c>
      <c r="C11" s="1819">
        <f>'Acct Summary 7-8'!D81</f>
        <v>248600</v>
      </c>
      <c r="D11" s="1819">
        <f>'Acct Summary 7-8'!F81</f>
        <v>592733</v>
      </c>
      <c r="E11" s="1819">
        <f>'Acct Summary 7-8'!I81</f>
        <v>179649</v>
      </c>
      <c r="F11" s="1820">
        <f>SUM(B11:E11)</f>
        <v>2464069</v>
      </c>
    </row>
    <row r="12" spans="1:8" ht="16.5" customHeight="1" thickTop="1" x14ac:dyDescent="0.2">
      <c r="A12" s="1082"/>
      <c r="B12" s="1083"/>
      <c r="C12" s="2338" t="str">
        <f>IF(AND(F10&lt;0,F11&gt;=0,ABS(F10*3)&gt;ABS(F11)),A16,IF(AND(F10&lt;0,F11&gt;0,ABS(F10*3)&lt;=ABS(F11)),A17,IF(AND(F10&lt;0,F11&lt;0),A16,IF(F11=0,A19,A18))))</f>
        <v>Unbalanced -  however, a deficit reduction plan is not required at this time.</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7" colorId="8" zoomScale="110" zoomScaleNormal="110" workbookViewId="0">
      <selection activeCell="D78" sqref="D7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51065200026</v>
      </c>
    </row>
    <row r="3" spans="1:2" x14ac:dyDescent="0.2">
      <c r="A3" t="s">
        <v>956</v>
      </c>
      <c r="B3" s="138" t="str">
        <f>COVER!A15</f>
        <v xml:space="preserve">Menard                       </v>
      </c>
    </row>
    <row r="4" spans="1:2" x14ac:dyDescent="0.2">
      <c r="A4" t="s">
        <v>1007</v>
      </c>
      <c r="B4" s="138" t="str">
        <f>COVER!A17</f>
        <v>Greenview CUSD 200</v>
      </c>
    </row>
    <row r="5" spans="1:2" x14ac:dyDescent="0.2">
      <c r="A5" t="s">
        <v>704</v>
      </c>
      <c r="B5" s="138" t="str">
        <f>COVER!A38</f>
        <v>Ryan Heavner, Superintendent</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f>IF(COVER!J31="x","Yes",IF(COVER!L31="x","No",0))</f>
        <v>0</v>
      </c>
    </row>
    <row r="15" spans="1:2" x14ac:dyDescent="0.2">
      <c r="A15" t="s">
        <v>577</v>
      </c>
      <c r="B15" s="138" t="str">
        <f>COVER!T23</f>
        <v>060-004845</v>
      </c>
    </row>
    <row r="16" spans="1:2" x14ac:dyDescent="0.2">
      <c r="A16" t="s">
        <v>422</v>
      </c>
      <c r="B16" s="138" t="str">
        <f>COVER!T13</f>
        <v>Pehlman and Dold, P.C.</v>
      </c>
    </row>
    <row r="17" spans="1:2" x14ac:dyDescent="0.2">
      <c r="A17" t="s">
        <v>884</v>
      </c>
      <c r="B17" s="138" t="str">
        <f>COVER!T15</f>
        <v>Dorinda L Fitzgerald</v>
      </c>
    </row>
    <row r="18" spans="1:2" x14ac:dyDescent="0.2">
      <c r="A18" t="s">
        <v>1150</v>
      </c>
      <c r="B18" s="138" t="str">
        <f>COVER!T17</f>
        <v>100 North Amos Avenue</v>
      </c>
    </row>
    <row r="19" spans="1:2" x14ac:dyDescent="0.2">
      <c r="A19" t="s">
        <v>886</v>
      </c>
      <c r="B19" s="138" t="str">
        <f>COVER!T25</f>
        <v>dfitzgerald@p-dcpas.com</v>
      </c>
    </row>
    <row r="20" spans="1:2" x14ac:dyDescent="0.2">
      <c r="A20" t="s">
        <v>887</v>
      </c>
      <c r="B20" s="138" t="str">
        <f>COVER!T19</f>
        <v>Springfield</v>
      </c>
    </row>
    <row r="21" spans="1:2" x14ac:dyDescent="0.2">
      <c r="A21" t="s">
        <v>479</v>
      </c>
      <c r="B21" s="138" t="str">
        <f>COVER!X19</f>
        <v>IL</v>
      </c>
    </row>
    <row r="22" spans="1:2" x14ac:dyDescent="0.2">
      <c r="A22" t="s">
        <v>888</v>
      </c>
      <c r="B22" s="138">
        <f>COVER!Z19</f>
        <v>62702</v>
      </c>
    </row>
    <row r="23" spans="1:2" x14ac:dyDescent="0.2">
      <c r="A23" t="s">
        <v>1152</v>
      </c>
      <c r="B23" s="138" t="str">
        <f>COVER!T21</f>
        <v>(217) 787-0563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35431</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398124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1445363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2276</v>
      </c>
      <c r="C91" s="2" t="s">
        <v>573</v>
      </c>
      <c r="D91" s="2" t="str">
        <f t="shared" si="0"/>
        <v>Error?</v>
      </c>
    </row>
    <row r="92" spans="1:4" x14ac:dyDescent="0.2">
      <c r="A92" s="5">
        <v>31</v>
      </c>
      <c r="B92" s="138">
        <f>'Assets-Liab 5-6'!C39</f>
        <v>1418621</v>
      </c>
      <c r="D92" s="2" t="str">
        <f t="shared" si="0"/>
        <v>Error?</v>
      </c>
    </row>
    <row r="93" spans="1:4" x14ac:dyDescent="0.2">
      <c r="A93" s="5">
        <v>32</v>
      </c>
      <c r="B93" s="138">
        <f>'Assets-Liab 5-6'!C41</f>
        <v>1445363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158704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248600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248600</v>
      </c>
      <c r="D123" s="2" t="str">
        <f t="shared" si="0"/>
        <v>Error?</v>
      </c>
    </row>
    <row r="124" spans="1:4" x14ac:dyDescent="0.2">
      <c r="A124" s="5">
        <v>63</v>
      </c>
      <c r="B124" s="138">
        <f>'Assets-Liab 5-6'!D41</f>
        <v>248600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260760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592733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592733</v>
      </c>
      <c r="D170" s="2" t="str">
        <f t="shared" si="1"/>
        <v>Error?</v>
      </c>
    </row>
    <row r="171" spans="1:4" x14ac:dyDescent="0.2">
      <c r="A171" s="5">
        <v>110</v>
      </c>
      <c r="B171" s="138">
        <f>'Assets-Liab 5-6'!F41</f>
        <v>592733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151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10728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23</v>
      </c>
      <c r="C188" s="2" t="s">
        <v>573</v>
      </c>
      <c r="D188" s="2" t="str">
        <f t="shared" si="1"/>
        <v>Error?</v>
      </c>
    </row>
    <row r="189" spans="1:4" x14ac:dyDescent="0.2">
      <c r="A189" s="5">
        <v>128</v>
      </c>
      <c r="B189" s="138">
        <f>'Assets-Liab 5-6'!G39</f>
        <v>10705</v>
      </c>
      <c r="D189" s="2" t="str">
        <f t="shared" si="1"/>
        <v>Error?</v>
      </c>
    </row>
    <row r="190" spans="1:4" x14ac:dyDescent="0.2">
      <c r="A190" s="5">
        <v>129</v>
      </c>
      <c r="B190" s="138">
        <f>'Assets-Liab 5-6'!G41</f>
        <v>10728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7500</v>
      </c>
      <c r="D273" s="2" t="str">
        <f t="shared" si="3"/>
        <v>Error?</v>
      </c>
    </row>
    <row r="274" spans="1:4" x14ac:dyDescent="0.2">
      <c r="A274" s="5">
        <v>213</v>
      </c>
      <c r="B274" s="138">
        <f>'Assets-Liab 5-6'!M17</f>
        <v>2905876</v>
      </c>
      <c r="D274" s="2" t="str">
        <f t="shared" si="3"/>
        <v>Error?</v>
      </c>
    </row>
    <row r="275" spans="1:4" x14ac:dyDescent="0.2">
      <c r="A275" s="5">
        <v>214</v>
      </c>
      <c r="B275" s="138">
        <f>'Assets-Liab 5-6'!M18</f>
        <v>41861</v>
      </c>
      <c r="D275" s="2" t="str">
        <f t="shared" si="3"/>
        <v>Error?</v>
      </c>
    </row>
    <row r="276" spans="1:4" x14ac:dyDescent="0.2">
      <c r="A276" s="5">
        <v>215</v>
      </c>
      <c r="B276" s="138">
        <f>'Assets-Liab 5-6'!M19</f>
        <v>273198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3228435</v>
      </c>
      <c r="C279" s="2" t="s">
        <v>573</v>
      </c>
      <c r="D279" s="2" t="str">
        <f t="shared" si="3"/>
        <v>Error?</v>
      </c>
    </row>
    <row r="280" spans="1:4" x14ac:dyDescent="0.2">
      <c r="A280" s="5">
        <v>219</v>
      </c>
      <c r="B280" s="138">
        <f>'Assets-Liab 5-6'!M40</f>
        <v>3228435</v>
      </c>
      <c r="D280" s="2" t="str">
        <f t="shared" si="3"/>
        <v>Error?</v>
      </c>
    </row>
    <row r="281" spans="1:4" x14ac:dyDescent="0.2">
      <c r="A281" s="5">
        <v>220</v>
      </c>
      <c r="B281" s="138">
        <f>'Assets-Liab 5-6'!M41</f>
        <v>3228435</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1121204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31432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1176605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41470</v>
      </c>
      <c r="D722" s="2" t="str">
        <f t="shared" si="10"/>
        <v>Error?</v>
      </c>
    </row>
    <row r="723" spans="1:4" x14ac:dyDescent="0.2">
      <c r="A723" s="5">
        <v>662</v>
      </c>
      <c r="B723" s="138">
        <f>'Expenditures 15-22'!C38</f>
        <v>36901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78371</v>
      </c>
      <c r="C727" s="2" t="s">
        <v>573</v>
      </c>
      <c r="D727" s="2" t="str">
        <f t="shared" si="10"/>
        <v>Error?</v>
      </c>
    </row>
    <row r="728" spans="1:4" x14ac:dyDescent="0.2">
      <c r="A728" s="5">
        <v>667</v>
      </c>
      <c r="B728" s="138">
        <f>'Expenditures 15-22'!C44</f>
        <v>2000</v>
      </c>
      <c r="D728" s="2" t="str">
        <f t="shared" si="10"/>
        <v>Error?</v>
      </c>
    </row>
    <row r="729" spans="1:4" x14ac:dyDescent="0.2">
      <c r="A729" s="5">
        <v>668</v>
      </c>
      <c r="B729" s="138">
        <f>'Expenditures 15-22'!C45</f>
        <v>6239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8239</v>
      </c>
      <c r="C731" s="2" t="s">
        <v>573</v>
      </c>
      <c r="D731" s="2" t="str">
        <f t="shared" si="10"/>
        <v>Error?</v>
      </c>
    </row>
    <row r="732" spans="1:4" x14ac:dyDescent="0.2">
      <c r="A732" s="5">
        <v>671</v>
      </c>
      <c r="B732" s="138">
        <f>'Expenditures 15-22'!C49</f>
        <v>4000</v>
      </c>
      <c r="D732" s="2" t="str">
        <f t="shared" si="10"/>
        <v>Error?</v>
      </c>
    </row>
    <row r="733" spans="1:4" x14ac:dyDescent="0.2">
      <c r="A733" s="5">
        <v>672</v>
      </c>
      <c r="B733" s="138">
        <f>'Expenditures 15-22'!C50</f>
        <v>88065</v>
      </c>
      <c r="D733" s="2" t="str">
        <f t="shared" si="10"/>
        <v>Error?</v>
      </c>
    </row>
    <row r="734" spans="1:4" x14ac:dyDescent="0.2">
      <c r="A734" s="5">
        <v>673</v>
      </c>
      <c r="B734" s="138">
        <f>'Expenditures 15-22'!C53</f>
        <v>92065</v>
      </c>
      <c r="C734" s="2" t="s">
        <v>573</v>
      </c>
      <c r="D734" s="2" t="str">
        <f t="shared" si="10"/>
        <v>Error?</v>
      </c>
    </row>
    <row r="735" spans="1:4" x14ac:dyDescent="0.2">
      <c r="A735" s="5">
        <v>674</v>
      </c>
      <c r="B735" s="138">
        <f>'Expenditures 15-22'!C55</f>
        <v>129348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129348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120414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52862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173276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481299</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1657904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89859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75</v>
      </c>
      <c r="D775" s="2" t="str">
        <f t="shared" si="11"/>
        <v>Error?</v>
      </c>
    </row>
    <row r="776" spans="1:4" x14ac:dyDescent="0.2">
      <c r="A776" s="5">
        <v>715</v>
      </c>
      <c r="B776" s="138">
        <f>'Expenditures 15-22'!D14</f>
        <v>252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92670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3322</v>
      </c>
      <c r="D780" s="2" t="str">
        <f t="shared" si="11"/>
        <v>Error?</v>
      </c>
    </row>
    <row r="781" spans="1:4" x14ac:dyDescent="0.2">
      <c r="A781" s="5">
        <v>720</v>
      </c>
      <c r="B781" s="138">
        <f>'Expenditures 15-22'!D38</f>
        <v>2079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5401</v>
      </c>
      <c r="C785" s="2" t="s">
        <v>573</v>
      </c>
      <c r="D785" s="2" t="str">
        <f t="shared" si="11"/>
        <v>Error?</v>
      </c>
    </row>
    <row r="786" spans="1:4" x14ac:dyDescent="0.2">
      <c r="A786" s="5">
        <v>725</v>
      </c>
      <c r="B786" s="138">
        <f>'Expenditures 15-22'!D44</f>
        <v>144</v>
      </c>
      <c r="D786" s="2" t="str">
        <f t="shared" si="11"/>
        <v>Error?</v>
      </c>
    </row>
    <row r="787" spans="1:4" x14ac:dyDescent="0.2">
      <c r="A787" s="5">
        <v>726</v>
      </c>
      <c r="B787" s="138">
        <f>'Expenditures 15-22'!D45</f>
        <v>1098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1242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13762</v>
      </c>
      <c r="D791" s="2" t="str">
        <f t="shared" si="11"/>
        <v>Error?</v>
      </c>
    </row>
    <row r="792" spans="1:4" x14ac:dyDescent="0.2">
      <c r="A792" s="5">
        <v>731</v>
      </c>
      <c r="B792" s="138">
        <f>'Expenditures 15-22'!D53</f>
        <v>13762</v>
      </c>
      <c r="C792" s="2" t="s">
        <v>573</v>
      </c>
      <c r="D792" s="2" t="str">
        <f t="shared" si="11"/>
        <v>Error?</v>
      </c>
    </row>
    <row r="793" spans="1:4" x14ac:dyDescent="0.2">
      <c r="A793" s="5">
        <v>732</v>
      </c>
      <c r="B793" s="138">
        <f>'Expenditures 15-22'!D55</f>
        <v>15106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15106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5462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5420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10882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46393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139063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18082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561</v>
      </c>
      <c r="D833" s="2" t="str">
        <f t="shared" si="12"/>
        <v>Error?</v>
      </c>
    </row>
    <row r="834" spans="1:4" x14ac:dyDescent="0.2">
      <c r="A834" s="5">
        <v>773</v>
      </c>
      <c r="B834" s="138">
        <f>'Expenditures 15-22'!E14</f>
        <v>25749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44392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60</v>
      </c>
      <c r="C843" s="2" t="s">
        <v>573</v>
      </c>
      <c r="D843" s="2" t="str">
        <f t="shared" si="12"/>
        <v>Error?</v>
      </c>
    </row>
    <row r="844" spans="1:4" x14ac:dyDescent="0.2">
      <c r="A844" s="5">
        <v>783</v>
      </c>
      <c r="B844" s="138">
        <f>'Expenditures 15-22'!E44</f>
        <v>25668</v>
      </c>
      <c r="D844" s="2" t="str">
        <f t="shared" si="12"/>
        <v>Error?</v>
      </c>
    </row>
    <row r="845" spans="1:4" x14ac:dyDescent="0.2">
      <c r="A845" s="5">
        <v>784</v>
      </c>
      <c r="B845" s="138">
        <f>'Expenditures 15-22'!E45</f>
        <v>742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26410</v>
      </c>
      <c r="C847" s="2" t="s">
        <v>573</v>
      </c>
      <c r="D847" s="2" t="str">
        <f t="shared" si="12"/>
        <v>Error?</v>
      </c>
    </row>
    <row r="848" spans="1:4" x14ac:dyDescent="0.2">
      <c r="A848" s="5">
        <v>787</v>
      </c>
      <c r="B848" s="138">
        <f>'Expenditures 15-22'!E49</f>
        <v>69456</v>
      </c>
      <c r="D848" s="2" t="str">
        <f t="shared" si="12"/>
        <v>Error?</v>
      </c>
    </row>
    <row r="849" spans="1:4" x14ac:dyDescent="0.2">
      <c r="A849" s="5">
        <v>788</v>
      </c>
      <c r="B849" s="138">
        <f>'Expenditures 15-22'!E50</f>
        <v>0</v>
      </c>
      <c r="D849" s="2" t="str">
        <f t="shared" si="12"/>
        <v>Error?</v>
      </c>
    </row>
    <row r="850" spans="1:4" x14ac:dyDescent="0.2">
      <c r="A850" s="5">
        <v>789</v>
      </c>
      <c r="B850" s="138">
        <f>'Expenditures 15-22'!E53</f>
        <v>69456</v>
      </c>
      <c r="C850" s="2" t="s">
        <v>573</v>
      </c>
      <c r="D850" s="2" t="str">
        <f t="shared" si="12"/>
        <v>Error?</v>
      </c>
    </row>
    <row r="851" spans="1:4" x14ac:dyDescent="0.2">
      <c r="A851" s="5">
        <v>790</v>
      </c>
      <c r="B851" s="138">
        <f>'Expenditures 15-22'!E55</f>
        <v>1439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1439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6180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451</v>
      </c>
      <c r="D857" s="2" t="str">
        <f t="shared" si="12"/>
        <v>Error?</v>
      </c>
    </row>
    <row r="858" spans="1:4" x14ac:dyDescent="0.2">
      <c r="A858" s="5">
        <v>797</v>
      </c>
      <c r="B858" s="138">
        <f>'Expenditures 15-22'!E63</f>
        <v>0</v>
      </c>
      <c r="D858" s="2" t="str">
        <f t="shared" si="12"/>
        <v>Error?</v>
      </c>
    </row>
    <row r="859" spans="1:4" x14ac:dyDescent="0.2">
      <c r="A859" s="5">
        <v>798</v>
      </c>
      <c r="B859" s="138">
        <f>'Expenditures 15-22'!E64</f>
        <v>260</v>
      </c>
      <c r="D859" s="2" t="str">
        <f t="shared" si="12"/>
        <v>Error?</v>
      </c>
    </row>
    <row r="860" spans="1:4" x14ac:dyDescent="0.2">
      <c r="A860" s="10">
        <v>799</v>
      </c>
      <c r="D860" s="2" t="str">
        <f t="shared" si="12"/>
        <v>OK</v>
      </c>
    </row>
    <row r="861" spans="1:4" x14ac:dyDescent="0.2">
      <c r="A861" s="5">
        <v>800</v>
      </c>
      <c r="B861" s="138">
        <f>'Expenditures 15-22'!E65</f>
        <v>6891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104256</v>
      </c>
      <c r="C871" s="2" t="s">
        <v>573</v>
      </c>
      <c r="D871" s="2" t="str">
        <f t="shared" si="12"/>
        <v>Error?</v>
      </c>
    </row>
    <row r="872" spans="1:4" x14ac:dyDescent="0.2">
      <c r="A872" s="5">
        <v>811</v>
      </c>
      <c r="B872" s="138">
        <f>'Expenditures 15-22'!E75</f>
        <v>1500</v>
      </c>
      <c r="D872" s="2" t="str">
        <f t="shared" si="12"/>
        <v>Error?</v>
      </c>
    </row>
    <row r="873" spans="1:4" x14ac:dyDescent="0.2">
      <c r="A873" s="5">
        <v>812</v>
      </c>
      <c r="B873" s="138">
        <f>'Expenditures 15-22'!E114</f>
        <v>391023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13334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1803</v>
      </c>
      <c r="D891" s="2" t="str">
        <f t="shared" si="12"/>
        <v>Error?</v>
      </c>
    </row>
    <row r="892" spans="1:4" x14ac:dyDescent="0.2">
      <c r="A892" s="5">
        <v>831</v>
      </c>
      <c r="B892" s="138">
        <f>'Expenditures 15-22'!F14</f>
        <v>2351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17488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650</v>
      </c>
      <c r="D896" s="2" t="str">
        <f t="shared" si="13"/>
        <v>Error?</v>
      </c>
    </row>
    <row r="897" spans="1:4" x14ac:dyDescent="0.2">
      <c r="A897" s="5">
        <v>836</v>
      </c>
      <c r="B897" s="138">
        <f>'Expenditures 15-22'!F38</f>
        <v>3073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3723</v>
      </c>
      <c r="C901" s="2" t="s">
        <v>573</v>
      </c>
      <c r="D901" s="2" t="str">
        <f t="shared" si="13"/>
        <v>Error?</v>
      </c>
    </row>
    <row r="902" spans="1:4" x14ac:dyDescent="0.2">
      <c r="A902" s="5">
        <v>841</v>
      </c>
      <c r="B902" s="138">
        <f>'Expenditures 15-22'!F44</f>
        <v>488</v>
      </c>
      <c r="D902" s="2" t="str">
        <f t="shared" si="13"/>
        <v>Error?</v>
      </c>
    </row>
    <row r="903" spans="1:4" x14ac:dyDescent="0.2">
      <c r="A903" s="5">
        <v>842</v>
      </c>
      <c r="B903" s="138">
        <f>'Expenditures 15-22'!F45</f>
        <v>4950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5438</v>
      </c>
      <c r="C905" s="2" t="s">
        <v>573</v>
      </c>
      <c r="D905" s="2" t="str">
        <f t="shared" si="13"/>
        <v>Error?</v>
      </c>
    </row>
    <row r="906" spans="1:4" x14ac:dyDescent="0.2">
      <c r="A906" s="5">
        <v>845</v>
      </c>
      <c r="B906" s="138">
        <f>'Expenditures 15-22'!F49</f>
        <v>40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40</v>
      </c>
      <c r="C908" s="2" t="s">
        <v>573</v>
      </c>
      <c r="D908" s="2" t="str">
        <f t="shared" si="13"/>
        <v>Error?</v>
      </c>
    </row>
    <row r="909" spans="1:4" x14ac:dyDescent="0.2">
      <c r="A909" s="5">
        <v>848</v>
      </c>
      <c r="B909" s="138">
        <f>'Expenditures 15-22'!F55</f>
        <v>3006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3006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3328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38421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41749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53956</v>
      </c>
      <c r="C929" s="2" t="s">
        <v>573</v>
      </c>
      <c r="D929" s="2" t="str">
        <f t="shared" si="13"/>
        <v>Error?</v>
      </c>
    </row>
    <row r="930" spans="1:4" x14ac:dyDescent="0.2">
      <c r="A930" s="5">
        <v>869</v>
      </c>
      <c r="B930" s="138">
        <f>'Expenditures 15-22'!F75</f>
        <v>277</v>
      </c>
      <c r="D930" s="2" t="str">
        <f t="shared" si="13"/>
        <v>Error?</v>
      </c>
    </row>
    <row r="931" spans="1:4" x14ac:dyDescent="0.2">
      <c r="A931" s="5">
        <v>870</v>
      </c>
      <c r="B931" s="138">
        <f>'Expenditures 15-22'!F114</f>
        <v>71721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6448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6448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769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769</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769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7217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1074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1074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909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909</v>
      </c>
      <c r="C1021" s="2" t="s">
        <v>573</v>
      </c>
      <c r="D1021" s="2" t="str">
        <f t="shared" si="14"/>
        <v>Error?</v>
      </c>
    </row>
    <row r="1022" spans="1:4" x14ac:dyDescent="0.2">
      <c r="A1022" s="5">
        <v>961</v>
      </c>
      <c r="B1022" s="138">
        <f>'Expenditures 15-22'!H49</f>
        <v>7174</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7174</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110</v>
      </c>
      <c r="D1028" s="2" t="str">
        <f t="shared" si="15"/>
        <v>Error?</v>
      </c>
    </row>
    <row r="1029" spans="1:4" x14ac:dyDescent="0.2">
      <c r="A1029" s="5">
        <v>968</v>
      </c>
      <c r="B1029" s="138">
        <f>'Expenditures 15-22'!H60</f>
        <v>1090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1200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9283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10357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1242479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2439</v>
      </c>
      <c r="C1105" s="2" t="s">
        <v>573</v>
      </c>
      <c r="D1105" s="2" t="str">
        <f t="shared" si="16"/>
        <v>Error?</v>
      </c>
    </row>
    <row r="1106" spans="1:4" x14ac:dyDescent="0.2">
      <c r="A1106" s="5">
        <v>1045</v>
      </c>
      <c r="B1106" s="138">
        <f>'Expenditures 15-22'!K14</f>
        <v>67306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1338677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45502</v>
      </c>
      <c r="C1110" s="2" t="s">
        <v>573</v>
      </c>
      <c r="D1110" s="2" t="str">
        <f t="shared" si="16"/>
        <v>Error?</v>
      </c>
    </row>
    <row r="1111" spans="1:4" x14ac:dyDescent="0.2">
      <c r="A1111" s="5">
        <v>1050</v>
      </c>
      <c r="B1111" s="138">
        <f>'Expenditures 15-22'!K38</f>
        <v>42053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87555</v>
      </c>
      <c r="C1115" s="2" t="s">
        <v>573</v>
      </c>
      <c r="D1115" s="2" t="str">
        <f t="shared" si="16"/>
        <v>Error?</v>
      </c>
    </row>
    <row r="1116" spans="1:4" x14ac:dyDescent="0.2">
      <c r="A1116" s="5">
        <v>1055</v>
      </c>
      <c r="B1116" s="138">
        <f>'Expenditures 15-22'!K44</f>
        <v>29209</v>
      </c>
      <c r="C1116" s="2" t="s">
        <v>573</v>
      </c>
      <c r="D1116" s="2" t="str">
        <f t="shared" si="16"/>
        <v>Error?</v>
      </c>
    </row>
    <row r="1117" spans="1:4" x14ac:dyDescent="0.2">
      <c r="A1117" s="5">
        <v>1056</v>
      </c>
      <c r="B1117" s="138">
        <f>'Expenditures 15-22'!K45</f>
        <v>13798</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43007</v>
      </c>
      <c r="C1119" s="2" t="s">
        <v>573</v>
      </c>
      <c r="D1119" s="2" t="str">
        <f t="shared" si="16"/>
        <v>Error?</v>
      </c>
    </row>
    <row r="1120" spans="1:4" x14ac:dyDescent="0.2">
      <c r="A1120" s="5">
        <v>1059</v>
      </c>
      <c r="B1120" s="138">
        <f>'Expenditures 15-22'!K49</f>
        <v>80670</v>
      </c>
      <c r="C1120" s="2" t="s">
        <v>573</v>
      </c>
      <c r="D1120" s="2" t="str">
        <f t="shared" si="16"/>
        <v>Error?</v>
      </c>
    </row>
    <row r="1121" spans="1:4" x14ac:dyDescent="0.2">
      <c r="A1121" s="5">
        <v>1060</v>
      </c>
      <c r="B1121" s="138">
        <f>'Expenditures 15-22'!K50</f>
        <v>101827</v>
      </c>
      <c r="C1121" s="2" t="s">
        <v>573</v>
      </c>
      <c r="D1121" s="2" t="str">
        <f t="shared" si="16"/>
        <v>Error?</v>
      </c>
    </row>
    <row r="1122" spans="1:4" x14ac:dyDescent="0.2">
      <c r="A1122" s="5">
        <v>1061</v>
      </c>
      <c r="B1122" s="138">
        <f>'Expenditures 15-22'!K53</f>
        <v>182497</v>
      </c>
      <c r="C1122" s="2" t="s">
        <v>573</v>
      </c>
      <c r="D1122" s="2" t="str">
        <f t="shared" si="16"/>
        <v>Error?</v>
      </c>
    </row>
    <row r="1123" spans="1:4" x14ac:dyDescent="0.2">
      <c r="A1123" s="5">
        <v>1062</v>
      </c>
      <c r="B1123" s="138">
        <f>'Expenditures 15-22'!K55</f>
        <v>148899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148899</v>
      </c>
      <c r="C1125" s="2" t="s">
        <v>573</v>
      </c>
      <c r="D1125" s="2" t="str">
        <f t="shared" si="16"/>
        <v>Error?</v>
      </c>
    </row>
    <row r="1126" spans="1:4" x14ac:dyDescent="0.2">
      <c r="A1126" s="5">
        <v>1065</v>
      </c>
      <c r="B1126" s="138">
        <f>'Expenditures 15-22'!K59</f>
        <v>110</v>
      </c>
      <c r="C1126" s="2" t="s">
        <v>573</v>
      </c>
      <c r="D1126" s="2" t="str">
        <f t="shared" si="16"/>
        <v>Error?</v>
      </c>
    </row>
    <row r="1127" spans="1:4" x14ac:dyDescent="0.2">
      <c r="A1127" s="5">
        <v>1066</v>
      </c>
      <c r="B1127" s="138">
        <f>'Expenditures 15-22'!K60</f>
        <v>136474</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451</v>
      </c>
      <c r="C1129" s="2" t="s">
        <v>573</v>
      </c>
      <c r="D1129" s="2" t="str">
        <f t="shared" si="16"/>
        <v>Error?</v>
      </c>
    </row>
    <row r="1130" spans="1:4" x14ac:dyDescent="0.2">
      <c r="A1130" s="5">
        <v>1069</v>
      </c>
      <c r="B1130" s="138">
        <f>'Expenditures 15-22'!K63</f>
        <v>96703</v>
      </c>
      <c r="C1130" s="2" t="s">
        <v>573</v>
      </c>
      <c r="D1130" s="2" t="str">
        <f t="shared" si="16"/>
        <v>Error?</v>
      </c>
    </row>
    <row r="1131" spans="1:4" x14ac:dyDescent="0.2">
      <c r="A1131" s="5">
        <v>1070</v>
      </c>
      <c r="B1131" s="138">
        <f>'Expenditures 15-22'!K64</f>
        <v>260</v>
      </c>
      <c r="C1131" s="2" t="s">
        <v>573</v>
      </c>
      <c r="D1131" s="2" t="str">
        <f t="shared" si="16"/>
        <v>Error?</v>
      </c>
    </row>
    <row r="1132" spans="1:4" x14ac:dyDescent="0.2">
      <c r="A1132" s="10">
        <v>1071</v>
      </c>
      <c r="D1132" s="2" t="str">
        <f t="shared" si="16"/>
        <v>OK</v>
      </c>
    </row>
    <row r="1133" spans="1:4" x14ac:dyDescent="0.2">
      <c r="A1133" s="5">
        <v>1072</v>
      </c>
      <c r="B1133" s="138">
        <f>'Expenditures 15-22'!K65</f>
        <v>233998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695956</v>
      </c>
      <c r="C1143" s="2" t="s">
        <v>573</v>
      </c>
      <c r="D1143" s="2" t="str">
        <f t="shared" si="16"/>
        <v>Error?</v>
      </c>
    </row>
    <row r="1144" spans="1:4" x14ac:dyDescent="0.2">
      <c r="A1144" s="5">
        <v>1083</v>
      </c>
      <c r="B1144" s="138">
        <f>'Expenditures 15-22'!K75</f>
        <v>1777</v>
      </c>
      <c r="C1144" s="2" t="s">
        <v>573</v>
      </c>
      <c r="D1144" s="2" t="str">
        <f t="shared" si="16"/>
        <v>Error?</v>
      </c>
    </row>
    <row r="1145" spans="1:4" x14ac:dyDescent="0.2">
      <c r="A1145" s="5">
        <v>1084</v>
      </c>
      <c r="B1145" s="138">
        <f>'Expenditures 15-22'!K102</f>
        <v>240875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2277285</v>
      </c>
      <c r="C1152" s="2" t="s">
        <v>573</v>
      </c>
      <c r="D1152" s="2" t="str">
        <f t="shared" si="17"/>
        <v>Error?</v>
      </c>
    </row>
    <row r="1153" spans="1:4" x14ac:dyDescent="0.2">
      <c r="A1153" s="5">
        <v>1092</v>
      </c>
      <c r="B1153" s="138">
        <f>'Expenditures 15-22'!K115</f>
        <v>46024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116494</v>
      </c>
      <c r="D1221" s="2" t="str">
        <f t="shared" si="18"/>
        <v>Error?</v>
      </c>
    </row>
    <row r="1222" spans="1:4" x14ac:dyDescent="0.2">
      <c r="A1222" s="10">
        <v>1161</v>
      </c>
      <c r="D1222" s="2" t="str">
        <f t="shared" si="18"/>
        <v>OK</v>
      </c>
    </row>
    <row r="1223" spans="1:4" x14ac:dyDescent="0.2">
      <c r="A1223" s="5">
        <v>1162</v>
      </c>
      <c r="B1223" s="138">
        <f>'Expenditures 15-22'!C127</f>
        <v>116494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116494</v>
      </c>
      <c r="C1225" s="2" t="s">
        <v>573</v>
      </c>
      <c r="D1225" s="2" t="str">
        <f t="shared" si="18"/>
        <v>Error?</v>
      </c>
    </row>
    <row r="1226" spans="1:4" x14ac:dyDescent="0.2">
      <c r="A1226" s="5">
        <v>1165</v>
      </c>
      <c r="B1226" s="138">
        <f>'Expenditures 15-22'!C151</f>
        <v>116494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8458</v>
      </c>
      <c r="D1229" s="2" t="str">
        <f t="shared" si="18"/>
        <v>Error?</v>
      </c>
    </row>
    <row r="1230" spans="1:4" x14ac:dyDescent="0.2">
      <c r="A1230" s="10">
        <v>1169</v>
      </c>
      <c r="D1230" s="2" t="str">
        <f t="shared" si="18"/>
        <v>OK</v>
      </c>
    </row>
    <row r="1231" spans="1:4" x14ac:dyDescent="0.2">
      <c r="A1231" s="5">
        <v>1170</v>
      </c>
      <c r="B1231" s="138">
        <f>'Expenditures 15-22'!D127</f>
        <v>8458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8458</v>
      </c>
      <c r="C1233" s="2" t="s">
        <v>573</v>
      </c>
      <c r="D1233" s="2" t="str">
        <f t="shared" si="18"/>
        <v>Error?</v>
      </c>
    </row>
    <row r="1234" spans="1:4" x14ac:dyDescent="0.2">
      <c r="A1234" s="5">
        <v>1173</v>
      </c>
      <c r="B1234" s="138">
        <f>'Expenditures 15-22'!D151</f>
        <v>8458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62793</v>
      </c>
      <c r="D1237" s="2" t="str">
        <f t="shared" si="18"/>
        <v>Error?</v>
      </c>
    </row>
    <row r="1238" spans="1:4" x14ac:dyDescent="0.2">
      <c r="A1238" s="10">
        <v>1177</v>
      </c>
      <c r="D1238" s="2" t="str">
        <f t="shared" si="18"/>
        <v>OK</v>
      </c>
    </row>
    <row r="1239" spans="1:4" x14ac:dyDescent="0.2">
      <c r="A1239" s="5">
        <v>1178</v>
      </c>
      <c r="B1239" s="138">
        <f>'Expenditures 15-22'!E127</f>
        <v>62793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62793</v>
      </c>
      <c r="C1241" s="2" t="s">
        <v>573</v>
      </c>
      <c r="D1241" s="2" t="str">
        <f t="shared" si="18"/>
        <v>Error?</v>
      </c>
    </row>
    <row r="1242" spans="1:4" x14ac:dyDescent="0.2">
      <c r="A1242" s="5">
        <v>1181</v>
      </c>
      <c r="B1242" s="138">
        <f>'Expenditures 15-22'!E151</f>
        <v>62793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69285</v>
      </c>
      <c r="D1245" s="2" t="str">
        <f t="shared" si="18"/>
        <v>Error?</v>
      </c>
    </row>
    <row r="1246" spans="1:4" x14ac:dyDescent="0.2">
      <c r="A1246" s="10">
        <v>1185</v>
      </c>
      <c r="D1246" s="2" t="str">
        <f t="shared" si="18"/>
        <v>OK</v>
      </c>
    </row>
    <row r="1247" spans="1:4" x14ac:dyDescent="0.2">
      <c r="A1247" s="5">
        <v>1186</v>
      </c>
      <c r="B1247" s="138">
        <f>'Expenditures 15-22'!F127</f>
        <v>69285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69285</v>
      </c>
      <c r="C1249" s="2" t="s">
        <v>573</v>
      </c>
      <c r="D1249" s="2" t="str">
        <f t="shared" si="18"/>
        <v>Error?</v>
      </c>
    </row>
    <row r="1250" spans="1:4" x14ac:dyDescent="0.2">
      <c r="A1250" s="5">
        <v>1189</v>
      </c>
      <c r="B1250" s="138">
        <f>'Expenditures 15-22'!F151</f>
        <v>69285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5727</v>
      </c>
      <c r="D1252" s="2" t="str">
        <f t="shared" si="18"/>
        <v>Error?</v>
      </c>
    </row>
    <row r="1253" spans="1:4" x14ac:dyDescent="0.2">
      <c r="A1253" s="5">
        <v>1192</v>
      </c>
      <c r="B1253" s="138">
        <f>'Expenditures 15-22'!G124</f>
        <v>124988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130715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130715</v>
      </c>
      <c r="C1258" s="2" t="s">
        <v>573</v>
      </c>
      <c r="D1258" s="2" t="str">
        <f t="shared" si="18"/>
        <v>Error?</v>
      </c>
    </row>
    <row r="1259" spans="1:4" x14ac:dyDescent="0.2">
      <c r="A1259" s="5">
        <v>1198</v>
      </c>
      <c r="B1259" s="138">
        <f>'Expenditures 15-22'!G151</f>
        <v>130715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5727</v>
      </c>
      <c r="C1275" s="2" t="s">
        <v>573</v>
      </c>
      <c r="D1275" s="2" t="str">
        <f t="shared" si="18"/>
        <v>Error?</v>
      </c>
    </row>
    <row r="1276" spans="1:4" x14ac:dyDescent="0.2">
      <c r="A1276" s="5">
        <v>1215</v>
      </c>
      <c r="B1276" s="138">
        <f>'Expenditures 15-22'!K124</f>
        <v>382018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387745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387745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387745</v>
      </c>
      <c r="C1288" s="2" t="s">
        <v>573</v>
      </c>
      <c r="D1288" s="2" t="str">
        <f t="shared" si="19"/>
        <v>Error?</v>
      </c>
    </row>
    <row r="1289" spans="1:4" x14ac:dyDescent="0.2">
      <c r="A1289" s="5">
        <v>1228</v>
      </c>
      <c r="B1289" s="138">
        <f>'Expenditures 15-22'!K152</f>
        <v>-133707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81963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81963</v>
      </c>
      <c r="C1339" s="2" t="s">
        <v>573</v>
      </c>
      <c r="D1339" s="2" t="str">
        <f t="shared" si="19"/>
        <v>Error?</v>
      </c>
    </row>
    <row r="1340" spans="1:4" x14ac:dyDescent="0.2">
      <c r="A1340" s="5">
        <v>1279</v>
      </c>
      <c r="B1340" s="138">
        <f>'Expenditures 15-22'!C210</f>
        <v>81963</v>
      </c>
      <c r="C1340" s="2" t="s">
        <v>573</v>
      </c>
      <c r="D1340" s="2" t="str">
        <f t="shared" si="19"/>
        <v>Error?</v>
      </c>
    </row>
    <row r="1341" spans="1:4" x14ac:dyDescent="0.2">
      <c r="A1341" s="5">
        <v>1280</v>
      </c>
      <c r="B1341" s="138">
        <f>'Expenditures 15-22'!D182</f>
        <v>6662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6662</v>
      </c>
      <c r="C1345" s="2" t="s">
        <v>573</v>
      </c>
      <c r="D1345" s="2" t="str">
        <f t="shared" si="20"/>
        <v>Error?</v>
      </c>
    </row>
    <row r="1346" spans="1:4" x14ac:dyDescent="0.2">
      <c r="A1346" s="5">
        <v>1285</v>
      </c>
      <c r="B1346" s="138">
        <f>'Expenditures 15-22'!D210</f>
        <v>6662</v>
      </c>
      <c r="C1346" s="2" t="s">
        <v>573</v>
      </c>
      <c r="D1346" s="2" t="str">
        <f t="shared" si="20"/>
        <v>Error?</v>
      </c>
    </row>
    <row r="1347" spans="1:4" x14ac:dyDescent="0.2">
      <c r="A1347" s="5">
        <v>1286</v>
      </c>
      <c r="B1347" s="138">
        <f>'Expenditures 15-22'!E182</f>
        <v>6651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6651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6651</v>
      </c>
      <c r="C1353" s="2" t="s">
        <v>573</v>
      </c>
      <c r="D1353" s="2" t="str">
        <f t="shared" si="20"/>
        <v>Error?</v>
      </c>
    </row>
    <row r="1354" spans="1:4" x14ac:dyDescent="0.2">
      <c r="A1354" s="5">
        <v>1293</v>
      </c>
      <c r="B1354" s="138">
        <f>'Expenditures 15-22'!F182</f>
        <v>24163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24163</v>
      </c>
      <c r="C1358" s="2" t="s">
        <v>573</v>
      </c>
      <c r="D1358" s="2" t="str">
        <f t="shared" si="20"/>
        <v>Error?</v>
      </c>
    </row>
    <row r="1359" spans="1:4" x14ac:dyDescent="0.2">
      <c r="A1359" s="5">
        <v>1298</v>
      </c>
      <c r="B1359" s="138">
        <f>'Expenditures 15-22'!F210</f>
        <v>24163</v>
      </c>
      <c r="C1359" s="2" t="s">
        <v>573</v>
      </c>
      <c r="D1359" s="2" t="str">
        <f t="shared" si="20"/>
        <v>Error?</v>
      </c>
    </row>
    <row r="1360" spans="1:4" x14ac:dyDescent="0.2">
      <c r="A1360" s="5">
        <v>1299</v>
      </c>
      <c r="B1360" s="138">
        <f>'Expenditures 15-22'!G182</f>
        <v>340323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340323</v>
      </c>
      <c r="C1364" s="2" t="s">
        <v>573</v>
      </c>
      <c r="D1364" s="2" t="str">
        <f t="shared" si="20"/>
        <v>Error?</v>
      </c>
    </row>
    <row r="1365" spans="1:4" x14ac:dyDescent="0.2">
      <c r="A1365" s="5">
        <v>1304</v>
      </c>
      <c r="B1365" s="138">
        <f>'Expenditures 15-22'!G210</f>
        <v>340323</v>
      </c>
      <c r="C1365" s="2" t="s">
        <v>573</v>
      </c>
      <c r="D1365" s="2" t="str">
        <f t="shared" si="20"/>
        <v>Error?</v>
      </c>
    </row>
    <row r="1366" spans="1:4" x14ac:dyDescent="0.2">
      <c r="A1366" s="5">
        <v>1305</v>
      </c>
      <c r="B1366" s="138">
        <f>'Expenditures 15-22'!H182</f>
        <v>2893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2893</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2893</v>
      </c>
      <c r="C1376" s="2" t="s">
        <v>573</v>
      </c>
      <c r="D1376" s="2" t="str">
        <f t="shared" si="20"/>
        <v>Error?</v>
      </c>
    </row>
    <row r="1377" spans="1:4" x14ac:dyDescent="0.2">
      <c r="A1377" s="5">
        <v>1316</v>
      </c>
      <c r="B1377" s="138">
        <f>'Expenditures 15-22'!K182</f>
        <v>462655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462655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462655</v>
      </c>
      <c r="C1388" s="2" t="s">
        <v>573</v>
      </c>
      <c r="D1388" s="2" t="str">
        <f t="shared" si="20"/>
        <v>Error?</v>
      </c>
    </row>
    <row r="1389" spans="1:4" x14ac:dyDescent="0.2">
      <c r="A1389" s="5">
        <v>1328</v>
      </c>
      <c r="B1389" s="138">
        <f>'Expenditures 15-22'!K211</f>
        <v>-202274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35</v>
      </c>
      <c r="D1407" s="2" t="str">
        <f t="shared" ref="D1407:D1470" si="21">IF(ISBLANK(B1407),"OK",IF(A1407-B1407=0,"OK","Error?"))</f>
        <v>Error?</v>
      </c>
    </row>
    <row r="1408" spans="1:4" x14ac:dyDescent="0.2">
      <c r="A1408" s="5">
        <v>1347</v>
      </c>
      <c r="B1408" s="138">
        <f>'Expenditures 15-22'!D223</f>
        <v>1575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22281</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601</v>
      </c>
      <c r="D1412" s="2" t="str">
        <f t="shared" si="21"/>
        <v>Error?</v>
      </c>
    </row>
    <row r="1413" spans="1:4" x14ac:dyDescent="0.2">
      <c r="A1413" s="5">
        <v>1352</v>
      </c>
      <c r="B1413" s="138">
        <f>'Expenditures 15-22'!D234</f>
        <v>6089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6690</v>
      </c>
      <c r="C1417" s="2" t="s">
        <v>573</v>
      </c>
      <c r="D1417" s="2" t="str">
        <f t="shared" si="21"/>
        <v>Error?</v>
      </c>
    </row>
    <row r="1418" spans="1:4" x14ac:dyDescent="0.2">
      <c r="A1418" s="5">
        <v>1357</v>
      </c>
      <c r="B1418" s="138">
        <f>'Expenditures 15-22'!D240</f>
        <v>7</v>
      </c>
      <c r="D1418" s="2" t="str">
        <f t="shared" si="21"/>
        <v>Error?</v>
      </c>
    </row>
    <row r="1419" spans="1:4" x14ac:dyDescent="0.2">
      <c r="A1419" s="5">
        <v>1358</v>
      </c>
      <c r="B1419" s="138">
        <f>'Expenditures 15-22'!D241</f>
        <v>955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962</v>
      </c>
      <c r="C1421" s="2" t="s">
        <v>573</v>
      </c>
      <c r="D1421" s="2" t="str">
        <f t="shared" si="21"/>
        <v>Error?</v>
      </c>
    </row>
    <row r="1422" spans="1:4" x14ac:dyDescent="0.2">
      <c r="A1422" s="5">
        <v>1361</v>
      </c>
      <c r="B1422" s="138">
        <f>'Expenditures 15-22'!D245</f>
        <v>306</v>
      </c>
      <c r="D1422" s="2" t="str">
        <f t="shared" si="21"/>
        <v>Error?</v>
      </c>
    </row>
    <row r="1423" spans="1:4" x14ac:dyDescent="0.2">
      <c r="A1423" s="5">
        <v>1362</v>
      </c>
      <c r="B1423" s="138">
        <f>'Expenditures 15-22'!D246</f>
        <v>1277</v>
      </c>
      <c r="D1423" s="2" t="str">
        <f t="shared" si="21"/>
        <v>Error?</v>
      </c>
    </row>
    <row r="1424" spans="1:4" x14ac:dyDescent="0.2">
      <c r="A1424" s="5">
        <v>1363</v>
      </c>
      <c r="B1424" s="138">
        <f>'Expenditures 15-22'!D257</f>
        <v>1583</v>
      </c>
      <c r="C1424" s="2" t="s">
        <v>573</v>
      </c>
      <c r="D1424" s="2" t="str">
        <f t="shared" si="21"/>
        <v>Error?</v>
      </c>
    </row>
    <row r="1425" spans="1:4" x14ac:dyDescent="0.2">
      <c r="A1425" s="5">
        <v>1364</v>
      </c>
      <c r="B1425" s="138">
        <f>'Expenditures 15-22'!D259</f>
        <v>8285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8285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15923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18927</v>
      </c>
      <c r="D1431" s="2" t="str">
        <f t="shared" si="21"/>
        <v>Error?</v>
      </c>
    </row>
    <row r="1432" spans="1:4" x14ac:dyDescent="0.2">
      <c r="A1432" s="5">
        <v>1371</v>
      </c>
      <c r="B1432" s="138">
        <f>'Expenditures 15-22'!D267</f>
        <v>13187</v>
      </c>
      <c r="D1432" s="2" t="str">
        <f t="shared" si="21"/>
        <v>Error?</v>
      </c>
    </row>
    <row r="1433" spans="1:4" x14ac:dyDescent="0.2">
      <c r="A1433" s="5">
        <v>1372</v>
      </c>
      <c r="B1433" s="138">
        <f>'Expenditures 15-22'!D268</f>
        <v>8341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56378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73898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96179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35</v>
      </c>
      <c r="C1471" s="2" t="s">
        <v>573</v>
      </c>
      <c r="D1471" s="2" t="str">
        <f t="shared" ref="D1471:D1534" si="22">IF(ISBLANK(B1471),"OK",IF(A1471-B1471=0,"OK","Error?"))</f>
        <v>Error?</v>
      </c>
    </row>
    <row r="1472" spans="1:4" x14ac:dyDescent="0.2">
      <c r="A1472" s="5">
        <v>1411</v>
      </c>
      <c r="B1472" s="138">
        <f>'Expenditures 15-22'!K223</f>
        <v>1575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22281</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601</v>
      </c>
      <c r="C1476" s="2" t="s">
        <v>573</v>
      </c>
      <c r="D1476" s="2" t="str">
        <f t="shared" si="22"/>
        <v>Error?</v>
      </c>
    </row>
    <row r="1477" spans="1:4" x14ac:dyDescent="0.2">
      <c r="A1477" s="5">
        <v>1416</v>
      </c>
      <c r="B1477" s="138">
        <f>'Expenditures 15-22'!K234</f>
        <v>6089</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6690</v>
      </c>
      <c r="C1481" s="2" t="s">
        <v>573</v>
      </c>
      <c r="D1481" s="2" t="str">
        <f t="shared" si="22"/>
        <v>Error?</v>
      </c>
    </row>
    <row r="1482" spans="1:4" x14ac:dyDescent="0.2">
      <c r="A1482" s="5">
        <v>1421</v>
      </c>
      <c r="B1482" s="138">
        <f>'Expenditures 15-22'!K240</f>
        <v>7</v>
      </c>
      <c r="C1482" s="2" t="s">
        <v>573</v>
      </c>
      <c r="D1482" s="2" t="str">
        <f t="shared" si="22"/>
        <v>Error?</v>
      </c>
    </row>
    <row r="1483" spans="1:4" x14ac:dyDescent="0.2">
      <c r="A1483" s="5">
        <v>1422</v>
      </c>
      <c r="B1483" s="138">
        <f>'Expenditures 15-22'!K241</f>
        <v>955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962</v>
      </c>
      <c r="C1485" s="2" t="s">
        <v>573</v>
      </c>
      <c r="D1485" s="2" t="str">
        <f t="shared" si="22"/>
        <v>Error?</v>
      </c>
    </row>
    <row r="1486" spans="1:4" x14ac:dyDescent="0.2">
      <c r="A1486" s="5">
        <v>1425</v>
      </c>
      <c r="B1486" s="138">
        <f>'Expenditures 15-22'!K245</f>
        <v>306</v>
      </c>
      <c r="C1486" s="2" t="s">
        <v>573</v>
      </c>
      <c r="D1486" s="2" t="str">
        <f t="shared" si="22"/>
        <v>Error?</v>
      </c>
    </row>
    <row r="1487" spans="1:4" x14ac:dyDescent="0.2">
      <c r="A1487" s="5">
        <v>1426</v>
      </c>
      <c r="B1487" s="138">
        <f>'Expenditures 15-22'!K246</f>
        <v>1277</v>
      </c>
      <c r="C1487" s="2" t="s">
        <v>573</v>
      </c>
      <c r="D1487" s="2" t="str">
        <f t="shared" si="22"/>
        <v>Error?</v>
      </c>
    </row>
    <row r="1488" spans="1:4" x14ac:dyDescent="0.2">
      <c r="A1488" s="5">
        <v>1427</v>
      </c>
      <c r="B1488" s="138">
        <f>'Expenditures 15-22'!K257</f>
        <v>1583</v>
      </c>
      <c r="C1488" s="2" t="s">
        <v>573</v>
      </c>
      <c r="D1488" s="2" t="str">
        <f t="shared" si="22"/>
        <v>Error?</v>
      </c>
    </row>
    <row r="1489" spans="1:4" x14ac:dyDescent="0.2">
      <c r="A1489" s="5">
        <v>1428</v>
      </c>
      <c r="B1489" s="138">
        <f>'Expenditures 15-22'!K259</f>
        <v>8285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8285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15923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18927</v>
      </c>
      <c r="C1495" s="2" t="s">
        <v>573</v>
      </c>
      <c r="D1495" s="2" t="str">
        <f t="shared" si="22"/>
        <v>Error?</v>
      </c>
    </row>
    <row r="1496" spans="1:4" x14ac:dyDescent="0.2">
      <c r="A1496" s="5">
        <v>1435</v>
      </c>
      <c r="B1496" s="138">
        <f>'Expenditures 15-22'!K267</f>
        <v>13187</v>
      </c>
      <c r="C1496" s="2" t="s">
        <v>573</v>
      </c>
      <c r="D1496" s="2" t="str">
        <f t="shared" si="22"/>
        <v>Error?</v>
      </c>
    </row>
    <row r="1497" spans="1:4" x14ac:dyDescent="0.2">
      <c r="A1497" s="5">
        <v>1436</v>
      </c>
      <c r="B1497" s="138">
        <f>'Expenditures 15-22'!K268</f>
        <v>8341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56378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73898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96179</v>
      </c>
      <c r="C1517" s="2" t="s">
        <v>573</v>
      </c>
      <c r="D1517" s="2" t="str">
        <f t="shared" si="22"/>
        <v>Error?</v>
      </c>
    </row>
    <row r="1518" spans="1:4" x14ac:dyDescent="0.2">
      <c r="A1518" s="5">
        <v>1457</v>
      </c>
      <c r="B1518" s="138">
        <f>'Expenditures 15-22'!K296</f>
        <v>-23603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1397063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1443087</v>
      </c>
      <c r="C1630" s="2" t="s">
        <v>573</v>
      </c>
      <c r="D1630" s="2" t="str">
        <f t="shared" si="24"/>
        <v>Error?</v>
      </c>
    </row>
    <row r="1631" spans="1:4" x14ac:dyDescent="0.2">
      <c r="A1631" s="5">
        <v>1570</v>
      </c>
      <c r="B1631" s="138">
        <f>'Acct Summary 7-8'!D79</f>
        <v>382307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248600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795007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592733</v>
      </c>
      <c r="C1672" s="2" t="s">
        <v>573</v>
      </c>
      <c r="D1672" s="2" t="str">
        <f t="shared" si="25"/>
        <v>Error?</v>
      </c>
    </row>
    <row r="1673" spans="1:4" x14ac:dyDescent="0.2">
      <c r="A1673" s="5">
        <v>1612</v>
      </c>
      <c r="B1673" s="138">
        <f>'Acct Summary 7-8'!G79</f>
        <v>34308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10705</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1395833</v>
      </c>
      <c r="C1744" s="2" t="s">
        <v>573</v>
      </c>
      <c r="D1744" s="2" t="str">
        <f t="shared" si="26"/>
        <v>Error?</v>
      </c>
    </row>
    <row r="1745" spans="1:5" x14ac:dyDescent="0.2">
      <c r="A1745" s="5">
        <v>1684</v>
      </c>
      <c r="B1745" s="138">
        <f>'Tax Sched 23'!B5</f>
        <v>231469</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169110</v>
      </c>
      <c r="C1747" s="2" t="s">
        <v>573</v>
      </c>
      <c r="D1747" s="2" t="str">
        <f t="shared" si="26"/>
        <v>Error?</v>
      </c>
    </row>
    <row r="1748" spans="1:5" x14ac:dyDescent="0.2">
      <c r="A1748" s="5">
        <v>1687</v>
      </c>
      <c r="B1748" s="138">
        <f>'Tax Sched 23'!B8</f>
        <v>35627</v>
      </c>
      <c r="C1748" s="2" t="s">
        <v>573</v>
      </c>
      <c r="D1748" s="2" t="str">
        <f t="shared" si="26"/>
        <v>Error?</v>
      </c>
    </row>
    <row r="1749" spans="1:5" x14ac:dyDescent="0.2">
      <c r="A1749" s="5">
        <v>1688</v>
      </c>
      <c r="B1749" s="138">
        <f>'Tax Sched 23'!B10</f>
        <v>14259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32052</v>
      </c>
      <c r="C1753" s="2" t="s">
        <v>573</v>
      </c>
      <c r="D1753" s="2" t="str">
        <f t="shared" si="26"/>
        <v>Error?</v>
      </c>
    </row>
    <row r="1754" spans="1:5" x14ac:dyDescent="0.2">
      <c r="A1754" s="5">
        <v>1693</v>
      </c>
      <c r="B1754" s="138">
        <f>'Tax Sched 23'!B14</f>
        <v>53420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1980719</v>
      </c>
      <c r="C1759" s="2" t="s">
        <v>573</v>
      </c>
      <c r="D1759" s="2" t="str">
        <f t="shared" si="26"/>
        <v>Error?</v>
      </c>
    </row>
    <row r="1760" spans="1:5" x14ac:dyDescent="0.2">
      <c r="A1760" s="5">
        <v>1699</v>
      </c>
      <c r="B1760" s="138">
        <f>'Tax Sched 23'!D4</f>
        <v>1395833</v>
      </c>
      <c r="C1760" s="2" t="s">
        <v>573</v>
      </c>
      <c r="D1760" s="2" t="str">
        <f t="shared" si="26"/>
        <v>Error?</v>
      </c>
    </row>
    <row r="1761" spans="1:5" x14ac:dyDescent="0.2">
      <c r="A1761" s="5">
        <v>1700</v>
      </c>
      <c r="B1761" s="138">
        <f>'Tax Sched 23'!D5</f>
        <v>231469</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169110</v>
      </c>
      <c r="C1763" s="2" t="s">
        <v>573</v>
      </c>
      <c r="D1763" s="2" t="str">
        <f t="shared" si="26"/>
        <v>Error?</v>
      </c>
    </row>
    <row r="1764" spans="1:5" x14ac:dyDescent="0.2">
      <c r="A1764" s="5">
        <v>1703</v>
      </c>
      <c r="B1764" s="138">
        <f>'Tax Sched 23'!D8</f>
        <v>35627</v>
      </c>
      <c r="C1764" s="2" t="s">
        <v>573</v>
      </c>
      <c r="D1764" s="2" t="str">
        <f t="shared" si="26"/>
        <v>Error?</v>
      </c>
    </row>
    <row r="1765" spans="1:5" x14ac:dyDescent="0.2">
      <c r="A1765" s="5">
        <v>1704</v>
      </c>
      <c r="B1765" s="138">
        <f>'Tax Sched 23'!D10</f>
        <v>14259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32052</v>
      </c>
      <c r="C1769" s="2" t="s">
        <v>573</v>
      </c>
      <c r="D1769" s="2" t="str">
        <f t="shared" si="26"/>
        <v>Error?</v>
      </c>
    </row>
    <row r="1770" spans="1:5" x14ac:dyDescent="0.2">
      <c r="A1770" s="5">
        <v>1709</v>
      </c>
      <c r="B1770" s="138">
        <f>'Tax Sched 23'!D14</f>
        <v>53420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1980719</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1482565</v>
      </c>
      <c r="C1792" s="2" t="s">
        <v>573</v>
      </c>
      <c r="D1792" s="2" t="str">
        <f t="shared" si="27"/>
        <v>Error?</v>
      </c>
    </row>
    <row r="1793" spans="1:4" x14ac:dyDescent="0.2">
      <c r="A1793" s="5">
        <v>1732</v>
      </c>
      <c r="B1793" s="138">
        <f>'Tax Sched 23'!F5</f>
        <v>244260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117610</v>
      </c>
      <c r="C1795" s="2" t="s">
        <v>573</v>
      </c>
      <c r="D1795" s="2" t="str">
        <f t="shared" si="27"/>
        <v>Error?</v>
      </c>
    </row>
    <row r="1796" spans="1:4" x14ac:dyDescent="0.2">
      <c r="A1796" s="5">
        <v>1735</v>
      </c>
      <c r="B1796" s="138">
        <f>'Tax Sched 23'!F8</f>
        <v>47035</v>
      </c>
      <c r="C1796" s="2" t="s">
        <v>573</v>
      </c>
      <c r="D1796" s="2" t="str">
        <f t="shared" si="27"/>
        <v>Error?</v>
      </c>
    </row>
    <row r="1797" spans="1:4" x14ac:dyDescent="0.2">
      <c r="A1797" s="5">
        <v>1736</v>
      </c>
      <c r="B1797" s="138">
        <f>'Tax Sched 23'!F10</f>
        <v>13157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29582</v>
      </c>
      <c r="C1801" s="2" t="s">
        <v>573</v>
      </c>
      <c r="D1801" s="2" t="str">
        <f t="shared" si="27"/>
        <v>Error?</v>
      </c>
    </row>
    <row r="1802" spans="1:4" x14ac:dyDescent="0.2">
      <c r="A1802" s="5">
        <v>1741</v>
      </c>
      <c r="B1802" s="138">
        <f>'Tax Sched 23'!F14</f>
        <v>49362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2023759</v>
      </c>
      <c r="C1807" s="2" t="s">
        <v>573</v>
      </c>
      <c r="D1807" s="2" t="str">
        <f t="shared" si="27"/>
        <v>Error?</v>
      </c>
    </row>
    <row r="1808" spans="1:4" x14ac:dyDescent="0.2">
      <c r="A1808" s="5">
        <v>1747</v>
      </c>
      <c r="B1808" s="138">
        <f>'Tax Sched 23'!E4</f>
        <v>1482565</v>
      </c>
      <c r="D1808" s="2" t="str">
        <f t="shared" si="27"/>
        <v>Error?</v>
      </c>
    </row>
    <row r="1809" spans="1:4" x14ac:dyDescent="0.2">
      <c r="A1809" s="5">
        <v>1748</v>
      </c>
      <c r="B1809" s="138">
        <f>'Tax Sched 23'!E5</f>
        <v>244260</v>
      </c>
      <c r="D1809" s="2" t="str">
        <f t="shared" si="27"/>
        <v>Error?</v>
      </c>
    </row>
    <row r="1810" spans="1:4" x14ac:dyDescent="0.2">
      <c r="A1810" s="5">
        <v>1749</v>
      </c>
      <c r="B1810" s="138">
        <f>'Tax Sched 23'!E6</f>
        <v>0</v>
      </c>
      <c r="D1810" s="2" t="str">
        <f t="shared" si="27"/>
        <v>Error?</v>
      </c>
    </row>
    <row r="1811" spans="1:4" x14ac:dyDescent="0.2">
      <c r="A1811" s="5">
        <v>1750</v>
      </c>
      <c r="B1811" s="138">
        <f>'Tax Sched 23'!E7</f>
        <v>117610</v>
      </c>
      <c r="D1811" s="2" t="str">
        <f t="shared" si="27"/>
        <v>Error?</v>
      </c>
    </row>
    <row r="1812" spans="1:4" x14ac:dyDescent="0.2">
      <c r="A1812" s="5">
        <v>1751</v>
      </c>
      <c r="B1812" s="138">
        <f>'Tax Sched 23'!E8</f>
        <v>47035</v>
      </c>
      <c r="D1812" s="2" t="str">
        <f t="shared" si="27"/>
        <v>Error?</v>
      </c>
    </row>
    <row r="1813" spans="1:4" x14ac:dyDescent="0.2">
      <c r="A1813" s="5">
        <v>1752</v>
      </c>
      <c r="B1813" s="138">
        <f>'Tax Sched 23'!E10</f>
        <v>13157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29582</v>
      </c>
      <c r="D1817" s="2" t="str">
        <f t="shared" si="27"/>
        <v>Error?</v>
      </c>
    </row>
    <row r="1818" spans="1:4" x14ac:dyDescent="0.2">
      <c r="A1818" s="5">
        <v>1757</v>
      </c>
      <c r="B1818" s="138">
        <f>'Tax Sched 23'!E14</f>
        <v>49362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2023759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53420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53420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53420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7500</v>
      </c>
      <c r="D2008" s="2" t="str">
        <f t="shared" si="30"/>
        <v>Error?</v>
      </c>
    </row>
    <row r="2009" spans="1:4" x14ac:dyDescent="0.2">
      <c r="A2009" s="5">
        <v>1948</v>
      </c>
      <c r="B2009" s="138">
        <f>'Cap Outlay Deprec 26'!C8</f>
        <v>2660610</v>
      </c>
      <c r="D2009" s="2" t="str">
        <f t="shared" si="30"/>
        <v>Error?</v>
      </c>
    </row>
    <row r="2010" spans="1:4" x14ac:dyDescent="0.2">
      <c r="A2010" s="5">
        <v>1949</v>
      </c>
      <c r="B2010" s="138">
        <f>'Cap Outlay Deprec 26'!C10</f>
        <v>41861</v>
      </c>
      <c r="D2010" s="2" t="str">
        <f t="shared" si="30"/>
        <v>Error?</v>
      </c>
    </row>
    <row r="2011" spans="1:4" x14ac:dyDescent="0.2">
      <c r="A2011" s="5">
        <v>1950</v>
      </c>
      <c r="B2011" s="138">
        <f>'Cap Outlay Deprec 26'!C12</f>
        <v>271269</v>
      </c>
      <c r="D2011" s="2" t="str">
        <f t="shared" si="30"/>
        <v>Error?</v>
      </c>
    </row>
    <row r="2012" spans="1:4" x14ac:dyDescent="0.2">
      <c r="A2012" s="5">
        <v>1951</v>
      </c>
      <c r="B2012" s="138">
        <f>'Cap Outlay Deprec 26'!C13</f>
        <v>86284</v>
      </c>
      <c r="D2012" s="2" t="str">
        <f t="shared" si="30"/>
        <v>Error?</v>
      </c>
    </row>
    <row r="2013" spans="1:4" x14ac:dyDescent="0.2">
      <c r="A2013" s="5">
        <v>1952</v>
      </c>
      <c r="B2013" s="138">
        <f>'Cap Outlay Deprec 26'!C16</f>
        <v>3067524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245267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26459</v>
      </c>
      <c r="D2017" s="2" t="str">
        <f t="shared" si="30"/>
        <v>Error?</v>
      </c>
    </row>
    <row r="2018" spans="1:4" x14ac:dyDescent="0.2">
      <c r="A2018" s="5">
        <v>1957</v>
      </c>
      <c r="B2018" s="138">
        <f>'Cap Outlay Deprec 26'!D13</f>
        <v>321081</v>
      </c>
      <c r="D2018" s="2" t="str">
        <f t="shared" si="30"/>
        <v>Error?</v>
      </c>
    </row>
    <row r="2019" spans="1:4" x14ac:dyDescent="0.2">
      <c r="A2019" s="5">
        <v>1958</v>
      </c>
      <c r="B2019" s="138">
        <f>'Cap Outlay Deprec 26'!D16</f>
        <v>592807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7500</v>
      </c>
      <c r="C2026" s="2" t="s">
        <v>573</v>
      </c>
      <c r="D2026" s="2" t="str">
        <f t="shared" si="30"/>
        <v>Error?</v>
      </c>
    </row>
    <row r="2027" spans="1:4" x14ac:dyDescent="0.2">
      <c r="A2027" s="5">
        <v>1966</v>
      </c>
      <c r="B2027" s="138">
        <f>'Cap Outlay Deprec 26'!F8</f>
        <v>2905877</v>
      </c>
      <c r="C2027" s="2" t="s">
        <v>573</v>
      </c>
      <c r="D2027" s="2" t="str">
        <f t="shared" si="30"/>
        <v>Error?</v>
      </c>
    </row>
    <row r="2028" spans="1:4" x14ac:dyDescent="0.2">
      <c r="A2028" s="5">
        <v>1967</v>
      </c>
      <c r="B2028" s="138">
        <f>'Cap Outlay Deprec 26'!F10</f>
        <v>41861</v>
      </c>
      <c r="C2028" s="2" t="s">
        <v>573</v>
      </c>
      <c r="D2028" s="2" t="str">
        <f t="shared" si="30"/>
        <v>Error?</v>
      </c>
    </row>
    <row r="2029" spans="1:4" x14ac:dyDescent="0.2">
      <c r="A2029" s="5">
        <v>1968</v>
      </c>
      <c r="B2029" s="138">
        <f>'Cap Outlay Deprec 26'!F12</f>
        <v>297728</v>
      </c>
      <c r="C2029" s="2" t="s">
        <v>573</v>
      </c>
      <c r="D2029" s="2" t="str">
        <f t="shared" si="30"/>
        <v>Error?</v>
      </c>
    </row>
    <row r="2030" spans="1:4" x14ac:dyDescent="0.2">
      <c r="A2030" s="5">
        <v>1969</v>
      </c>
      <c r="B2030" s="138">
        <f>'Cap Outlay Deprec 26'!F13</f>
        <v>407365</v>
      </c>
      <c r="C2030" s="2" t="s">
        <v>573</v>
      </c>
      <c r="D2030" s="2" t="str">
        <f t="shared" si="30"/>
        <v>Error?</v>
      </c>
    </row>
    <row r="2031" spans="1:4" x14ac:dyDescent="0.2">
      <c r="A2031" s="5">
        <v>1970</v>
      </c>
      <c r="B2031" s="138">
        <f>'Cap Outlay Deprec 26'!F16</f>
        <v>3660331</v>
      </c>
      <c r="C2031" s="2" t="s">
        <v>573</v>
      </c>
      <c r="D2031" s="2" t="str">
        <f t="shared" si="30"/>
        <v>Error?</v>
      </c>
    </row>
    <row r="2032" spans="1:4" x14ac:dyDescent="0.2">
      <c r="A2032" s="10">
        <v>1971</v>
      </c>
      <c r="D2032" s="2" t="str">
        <f t="shared" si="30"/>
        <v>OK</v>
      </c>
    </row>
    <row r="2033" spans="1:4" x14ac:dyDescent="0.2">
      <c r="A2033" s="5">
        <v>1972</v>
      </c>
      <c r="B2033" s="138">
        <f>'Cap Outlay Deprec 26'!H8</f>
        <v>1649851</v>
      </c>
      <c r="D2033" s="2" t="str">
        <f t="shared" si="30"/>
        <v>Error?</v>
      </c>
    </row>
    <row r="2034" spans="1:4" x14ac:dyDescent="0.2">
      <c r="A2034" s="5">
        <v>1973</v>
      </c>
      <c r="B2034" s="138">
        <f>'Cap Outlay Deprec 26'!H10</f>
        <v>25684</v>
      </c>
      <c r="D2034" s="2" t="str">
        <f t="shared" si="30"/>
        <v>Error?</v>
      </c>
    </row>
    <row r="2035" spans="1:4" x14ac:dyDescent="0.2">
      <c r="A2035" s="5">
        <v>1974</v>
      </c>
      <c r="B2035" s="138">
        <f>'Cap Outlay Deprec 26'!H12</f>
        <v>146531</v>
      </c>
      <c r="D2035" s="2" t="str">
        <f t="shared" si="30"/>
        <v>Error?</v>
      </c>
    </row>
    <row r="2036" spans="1:4" x14ac:dyDescent="0.2">
      <c r="A2036" s="5">
        <v>1975</v>
      </c>
      <c r="B2036" s="138">
        <f>'Cap Outlay Deprec 26'!H13</f>
        <v>72288</v>
      </c>
      <c r="D2036" s="2" t="str">
        <f t="shared" si="30"/>
        <v>Error?</v>
      </c>
    </row>
    <row r="2037" spans="1:4" x14ac:dyDescent="0.2">
      <c r="A2037" s="5">
        <v>1976</v>
      </c>
      <c r="B2037" s="138">
        <f>'Cap Outlay Deprec 26'!H16</f>
        <v>1894354</v>
      </c>
      <c r="C2037" s="2" t="s">
        <v>573</v>
      </c>
      <c r="D2037" s="2" t="str">
        <f t="shared" si="30"/>
        <v>Error?</v>
      </c>
    </row>
    <row r="2038" spans="1:4" x14ac:dyDescent="0.2">
      <c r="A2038" s="10">
        <v>1977</v>
      </c>
      <c r="D2038" s="2" t="str">
        <f t="shared" si="30"/>
        <v>OK</v>
      </c>
    </row>
    <row r="2039" spans="1:4" x14ac:dyDescent="0.2">
      <c r="A2039" s="5">
        <v>1978</v>
      </c>
      <c r="B2039" s="138">
        <f>'Cap Outlay Deprec 26'!I8</f>
        <v>33368</v>
      </c>
      <c r="D2039" s="2" t="str">
        <f t="shared" si="30"/>
        <v>Error?</v>
      </c>
    </row>
    <row r="2040" spans="1:4" x14ac:dyDescent="0.2">
      <c r="A2040" s="5">
        <v>1979</v>
      </c>
      <c r="B2040" s="138">
        <f>'Cap Outlay Deprec 26'!I10</f>
        <v>2093</v>
      </c>
      <c r="D2040" s="2" t="str">
        <f t="shared" si="30"/>
        <v>Error?</v>
      </c>
    </row>
    <row r="2041" spans="1:4" x14ac:dyDescent="0.2">
      <c r="A2041" s="5">
        <v>1980</v>
      </c>
      <c r="B2041" s="138">
        <f>'Cap Outlay Deprec 26'!I12</f>
        <v>29547</v>
      </c>
      <c r="D2041" s="2" t="str">
        <f t="shared" si="30"/>
        <v>Error?</v>
      </c>
    </row>
    <row r="2042" spans="1:4" x14ac:dyDescent="0.2">
      <c r="A2042" s="5">
        <v>1981</v>
      </c>
      <c r="B2042" s="138">
        <f>'Cap Outlay Deprec 26'!I13</f>
        <v>67725</v>
      </c>
      <c r="D2042" s="2" t="str">
        <f t="shared" si="30"/>
        <v>Error?</v>
      </c>
    </row>
    <row r="2043" spans="1:4" x14ac:dyDescent="0.2">
      <c r="A2043" s="5">
        <v>1982</v>
      </c>
      <c r="B2043" s="138">
        <f>'Cap Outlay Deprec 26'!I16</f>
        <v>132733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1683219</v>
      </c>
      <c r="C2051" s="2" t="s">
        <v>573</v>
      </c>
      <c r="D2051" s="2" t="str">
        <f t="shared" si="31"/>
        <v>Error?</v>
      </c>
    </row>
    <row r="2052" spans="1:4" x14ac:dyDescent="0.2">
      <c r="A2052" s="5">
        <v>1991</v>
      </c>
      <c r="B2052" s="138">
        <f>'Cap Outlay Deprec 26'!K10</f>
        <v>27777</v>
      </c>
      <c r="C2052" s="2" t="s">
        <v>573</v>
      </c>
      <c r="D2052" s="2" t="str">
        <f t="shared" si="31"/>
        <v>Error?</v>
      </c>
    </row>
    <row r="2053" spans="1:4" x14ac:dyDescent="0.2">
      <c r="A2053" s="5">
        <v>1992</v>
      </c>
      <c r="B2053" s="138">
        <f>'Cap Outlay Deprec 26'!K12</f>
        <v>176078</v>
      </c>
      <c r="C2053" s="2" t="s">
        <v>573</v>
      </c>
      <c r="D2053" s="2" t="str">
        <f t="shared" si="31"/>
        <v>Error?</v>
      </c>
    </row>
    <row r="2054" spans="1:4" x14ac:dyDescent="0.2">
      <c r="A2054" s="5">
        <v>1993</v>
      </c>
      <c r="B2054" s="138">
        <f>'Cap Outlay Deprec 26'!K13</f>
        <v>140013</v>
      </c>
      <c r="C2054" s="2" t="s">
        <v>573</v>
      </c>
      <c r="D2054" s="2" t="str">
        <f t="shared" si="31"/>
        <v>Error?</v>
      </c>
    </row>
    <row r="2055" spans="1:4" x14ac:dyDescent="0.2">
      <c r="A2055" s="5">
        <v>1994</v>
      </c>
      <c r="B2055" s="138">
        <f>'Cap Outlay Deprec 26'!K16</f>
        <v>2027087</v>
      </c>
      <c r="C2055" s="2" t="s">
        <v>573</v>
      </c>
      <c r="D2055" s="2" t="str">
        <f t="shared" si="31"/>
        <v>Error?</v>
      </c>
    </row>
    <row r="2056" spans="1:4" x14ac:dyDescent="0.2">
      <c r="A2056" s="5">
        <v>1995</v>
      </c>
      <c r="B2056" s="138">
        <f>'Cap Outlay Deprec 26'!L5</f>
        <v>7500</v>
      </c>
      <c r="C2056" s="2" t="s">
        <v>573</v>
      </c>
      <c r="D2056" s="2" t="str">
        <f t="shared" si="31"/>
        <v>Error?</v>
      </c>
    </row>
    <row r="2057" spans="1:4" x14ac:dyDescent="0.2">
      <c r="A2057" s="5">
        <v>1996</v>
      </c>
      <c r="B2057" s="138">
        <f>'Cap Outlay Deprec 26'!L8</f>
        <v>1222658</v>
      </c>
      <c r="C2057" s="2" t="s">
        <v>573</v>
      </c>
      <c r="D2057" s="2" t="str">
        <f t="shared" si="31"/>
        <v>Error?</v>
      </c>
    </row>
    <row r="2058" spans="1:4" x14ac:dyDescent="0.2">
      <c r="A2058" s="5">
        <v>1997</v>
      </c>
      <c r="B2058" s="138">
        <f>'Cap Outlay Deprec 26'!L10</f>
        <v>14084</v>
      </c>
      <c r="C2058" s="2" t="s">
        <v>573</v>
      </c>
      <c r="D2058" s="2" t="str">
        <f t="shared" si="31"/>
        <v>Error?</v>
      </c>
    </row>
    <row r="2059" spans="1:4" x14ac:dyDescent="0.2">
      <c r="A2059" s="5">
        <v>1998</v>
      </c>
      <c r="B2059" s="138">
        <f>'Cap Outlay Deprec 26'!L12</f>
        <v>121650</v>
      </c>
      <c r="C2059" s="2" t="s">
        <v>573</v>
      </c>
      <c r="D2059" s="2" t="str">
        <f t="shared" si="31"/>
        <v>Error?</v>
      </c>
    </row>
    <row r="2060" spans="1:4" x14ac:dyDescent="0.2">
      <c r="A2060" s="5">
        <v>1999</v>
      </c>
      <c r="B2060" s="138">
        <f>'Cap Outlay Deprec 26'!L13</f>
        <v>267352</v>
      </c>
      <c r="C2060" s="2" t="s">
        <v>573</v>
      </c>
      <c r="D2060" s="2" t="str">
        <f t="shared" si="31"/>
        <v>Error?</v>
      </c>
    </row>
    <row r="2061" spans="1:4" x14ac:dyDescent="0.2">
      <c r="A2061" s="5">
        <v>2000</v>
      </c>
      <c r="B2061" s="138">
        <f>'Cap Outlay Deprec 26'!L16</f>
        <v>1633244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240875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24466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1618158</v>
      </c>
      <c r="C2551" s="2" t="s">
        <v>573</v>
      </c>
      <c r="D2551" s="2" t="str">
        <f t="shared" si="38"/>
        <v>Error?</v>
      </c>
    </row>
    <row r="2552" spans="1:4" x14ac:dyDescent="0.2">
      <c r="A2552" s="10">
        <v>2491</v>
      </c>
      <c r="D2552" s="2" t="str">
        <f t="shared" si="38"/>
        <v>OK</v>
      </c>
    </row>
    <row r="2553" spans="1:4" x14ac:dyDescent="0.2">
      <c r="A2553" s="5">
        <v>2492</v>
      </c>
      <c r="B2553" s="138">
        <f>'Acct Summary 7-8'!C6</f>
        <v>577835</v>
      </c>
      <c r="C2553" s="2" t="s">
        <v>573</v>
      </c>
      <c r="D2553" s="2" t="str">
        <f t="shared" si="38"/>
        <v>Error?</v>
      </c>
    </row>
    <row r="2554" spans="1:4" x14ac:dyDescent="0.2">
      <c r="A2554" s="5">
        <v>2493</v>
      </c>
      <c r="B2554" s="138">
        <f>'Acct Summary 7-8'!C7</f>
        <v>104485</v>
      </c>
      <c r="C2554" s="2" t="s">
        <v>573</v>
      </c>
      <c r="D2554" s="2" t="str">
        <f t="shared" si="38"/>
        <v>Error?</v>
      </c>
    </row>
    <row r="2555" spans="1:4" x14ac:dyDescent="0.2">
      <c r="A2555" s="5">
        <v>2494</v>
      </c>
      <c r="B2555" s="138">
        <f>'Acct Summary 7-8'!C8</f>
        <v>2323309</v>
      </c>
      <c r="C2555" s="2" t="s">
        <v>573</v>
      </c>
      <c r="D2555" s="2" t="str">
        <f t="shared" si="38"/>
        <v>Error?</v>
      </c>
    </row>
    <row r="2556" spans="1:4" x14ac:dyDescent="0.2">
      <c r="A2556" s="5">
        <v>2495</v>
      </c>
      <c r="B2556" s="138">
        <f>'Acct Summary 7-8'!C12</f>
        <v>1338677</v>
      </c>
      <c r="C2556" s="2" t="s">
        <v>573</v>
      </c>
      <c r="D2556" s="2" t="str">
        <f t="shared" si="38"/>
        <v>Error?</v>
      </c>
    </row>
    <row r="2557" spans="1:4" x14ac:dyDescent="0.2">
      <c r="A2557" s="5">
        <v>2496</v>
      </c>
      <c r="B2557" s="138">
        <f>'Acct Summary 7-8'!C13</f>
        <v>695956</v>
      </c>
      <c r="C2557" s="2" t="s">
        <v>573</v>
      </c>
      <c r="D2557" s="2" t="str">
        <f t="shared" si="38"/>
        <v>Error?</v>
      </c>
    </row>
    <row r="2558" spans="1:4" x14ac:dyDescent="0.2">
      <c r="A2558" s="5">
        <v>2497</v>
      </c>
      <c r="B2558" s="138">
        <f>'Acct Summary 7-8'!C14</f>
        <v>1777</v>
      </c>
      <c r="C2558" s="2" t="s">
        <v>573</v>
      </c>
      <c r="D2558" s="2" t="str">
        <f t="shared" si="38"/>
        <v>Error?</v>
      </c>
    </row>
    <row r="2559" spans="1:4" x14ac:dyDescent="0.2">
      <c r="A2559" s="5">
        <v>2498</v>
      </c>
      <c r="B2559" s="138">
        <f>'Acct Summary 7-8'!C15</f>
        <v>240875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2277285</v>
      </c>
      <c r="C2561" s="2" t="s">
        <v>573</v>
      </c>
      <c r="D2561" s="2" t="str">
        <f t="shared" si="39"/>
        <v>Error?</v>
      </c>
    </row>
    <row r="2562" spans="1:4" x14ac:dyDescent="0.2">
      <c r="A2562" s="5">
        <v>2501</v>
      </c>
      <c r="B2562" s="138">
        <f>'Acct Summary 7-8'!C20</f>
        <v>46024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254038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254038</v>
      </c>
      <c r="C2568" s="2" t="s">
        <v>573</v>
      </c>
      <c r="D2568" s="2" t="str">
        <f t="shared" si="39"/>
        <v>Error?</v>
      </c>
    </row>
    <row r="2569" spans="1:4" x14ac:dyDescent="0.2">
      <c r="A2569" s="5">
        <v>2508</v>
      </c>
      <c r="B2569" s="138">
        <f>'Acct Summary 7-8'!D13</f>
        <v>387745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387745</v>
      </c>
      <c r="C2573" s="2" t="s">
        <v>573</v>
      </c>
      <c r="D2573" s="2" t="str">
        <f t="shared" si="39"/>
        <v>Error?</v>
      </c>
    </row>
    <row r="2574" spans="1:4" x14ac:dyDescent="0.2">
      <c r="A2574" s="5">
        <v>2513</v>
      </c>
      <c r="B2574" s="138">
        <f>'Acct Summary 7-8'!D20</f>
        <v>-133707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174274</v>
      </c>
      <c r="C2591" s="2" t="s">
        <v>573</v>
      </c>
      <c r="D2591" s="2" t="str">
        <f t="shared" si="39"/>
        <v>Error?</v>
      </c>
    </row>
    <row r="2592" spans="1:4" x14ac:dyDescent="0.2">
      <c r="A2592" s="10">
        <v>2531</v>
      </c>
      <c r="D2592" s="2" t="str">
        <f t="shared" si="39"/>
        <v>OK</v>
      </c>
    </row>
    <row r="2593" spans="1:4" x14ac:dyDescent="0.2">
      <c r="A2593" s="5">
        <v>2532</v>
      </c>
      <c r="B2593" s="138">
        <f>'Acct Summary 7-8'!F6</f>
        <v>86107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260381</v>
      </c>
      <c r="C2595" s="2" t="s">
        <v>573</v>
      </c>
      <c r="D2595" s="2" t="str">
        <f t="shared" si="39"/>
        <v>Error?</v>
      </c>
    </row>
    <row r="2596" spans="1:4" x14ac:dyDescent="0.2">
      <c r="A2596" s="5">
        <v>2535</v>
      </c>
      <c r="B2596" s="138">
        <f>'Acct Summary 7-8'!F13</f>
        <v>462655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462655</v>
      </c>
      <c r="C2600" s="2" t="s">
        <v>573</v>
      </c>
      <c r="D2600" s="2" t="str">
        <f t="shared" si="39"/>
        <v>Error?</v>
      </c>
    </row>
    <row r="2601" spans="1:4" x14ac:dyDescent="0.2">
      <c r="A2601" s="5">
        <v>2540</v>
      </c>
      <c r="B2601" s="138">
        <f>'Acct Summary 7-8'!F20</f>
        <v>-202274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72576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72576</v>
      </c>
      <c r="C2606" s="2" t="s">
        <v>573</v>
      </c>
      <c r="D2606" s="2" t="str">
        <f t="shared" si="39"/>
        <v>Error?</v>
      </c>
    </row>
    <row r="2607" spans="1:4" x14ac:dyDescent="0.2">
      <c r="A2607" s="5">
        <v>2546</v>
      </c>
      <c r="B2607" s="138">
        <f>'Acct Summary 7-8'!G12</f>
        <v>22281</v>
      </c>
      <c r="C2607" s="2" t="s">
        <v>573</v>
      </c>
      <c r="D2607" s="2" t="str">
        <f t="shared" si="39"/>
        <v>Error?</v>
      </c>
    </row>
    <row r="2608" spans="1:4" x14ac:dyDescent="0.2">
      <c r="A2608" s="5">
        <v>2547</v>
      </c>
      <c r="B2608" s="138">
        <f>'Acct Summary 7-8'!G13</f>
        <v>73898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96179</v>
      </c>
      <c r="C2612" s="2" t="s">
        <v>573</v>
      </c>
      <c r="D2612" s="2" t="str">
        <f t="shared" si="39"/>
        <v>Error?</v>
      </c>
    </row>
    <row r="2613" spans="1:4" x14ac:dyDescent="0.2">
      <c r="A2613" s="5">
        <v>2552</v>
      </c>
      <c r="B2613" s="138">
        <f>'Acct Summary 7-8'!G20</f>
        <v>-23603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240875</v>
      </c>
      <c r="C2789" s="2" t="s">
        <v>573</v>
      </c>
      <c r="D2789" s="2" t="str">
        <f t="shared" si="42"/>
        <v>Error?</v>
      </c>
    </row>
    <row r="2790" spans="1:4" x14ac:dyDescent="0.2">
      <c r="A2790" s="5">
        <v>2729</v>
      </c>
      <c r="B2790" s="138">
        <f>'Expenditures 15-22'!E102</f>
        <v>240875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164773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179649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43872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179649</v>
      </c>
      <c r="D2912" s="2" t="str">
        <f t="shared" si="44"/>
        <v>Error?</v>
      </c>
    </row>
    <row r="2913" spans="1:4" x14ac:dyDescent="0.2">
      <c r="A2913" s="5">
        <v>2852</v>
      </c>
      <c r="B2913" s="138">
        <f>'Assets-Liab 5-6'!I41</f>
        <v>179649</v>
      </c>
      <c r="C2913" s="2" t="s">
        <v>573</v>
      </c>
      <c r="D2913" s="2" t="str">
        <f t="shared" si="44"/>
        <v>Error?</v>
      </c>
    </row>
    <row r="2914" spans="1:4" x14ac:dyDescent="0.2">
      <c r="A2914" s="5">
        <v>2853</v>
      </c>
      <c r="B2914" s="138">
        <f>'Assets-Liab 5-6'!L33</f>
        <v>43872</v>
      </c>
      <c r="D2914" s="2" t="str">
        <f t="shared" si="44"/>
        <v>Error?</v>
      </c>
    </row>
    <row r="2915" spans="1:4" x14ac:dyDescent="0.2">
      <c r="A2915" s="10">
        <v>2854</v>
      </c>
      <c r="D2915" s="2" t="str">
        <f t="shared" si="44"/>
        <v>OK</v>
      </c>
    </row>
    <row r="2916" spans="1:4" x14ac:dyDescent="0.2">
      <c r="A2916" s="5">
        <v>2855</v>
      </c>
      <c r="B2916" s="138">
        <f>'Assets-Liab 5-6'!L34</f>
        <v>43872</v>
      </c>
      <c r="C2916" s="2" t="s">
        <v>573</v>
      </c>
      <c r="D2916" s="2" t="str">
        <f t="shared" si="44"/>
        <v>Error?</v>
      </c>
    </row>
    <row r="2917" spans="1:4" x14ac:dyDescent="0.2">
      <c r="A2917" s="5">
        <v>2856</v>
      </c>
      <c r="B2917" s="138">
        <f>'Assets-Liab 5-6'!L41</f>
        <v>43872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229175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7000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4700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229175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7000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4700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17865</v>
      </c>
      <c r="C3225" s="2" t="s">
        <v>573</v>
      </c>
      <c r="D3225" s="2" t="str">
        <f t="shared" si="49"/>
        <v>Error?</v>
      </c>
    </row>
    <row r="3226" spans="1:4" x14ac:dyDescent="0.2">
      <c r="A3226" s="5">
        <v>3165</v>
      </c>
      <c r="B3226" s="138">
        <f>'Acct Summary 7-8'!I8</f>
        <v>17865</v>
      </c>
      <c r="C3226" s="2" t="s">
        <v>573</v>
      </c>
      <c r="D3226" s="2" t="str">
        <f t="shared" si="49"/>
        <v>Error?</v>
      </c>
    </row>
    <row r="3227" spans="1:4" x14ac:dyDescent="0.2">
      <c r="A3227" s="5">
        <v>3166</v>
      </c>
      <c r="B3227" s="138">
        <f>'Acct Summary 7-8'!I20</f>
        <v>17865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46024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-133707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-202274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-23603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17865</v>
      </c>
      <c r="C3320" s="2" t="s">
        <v>573</v>
      </c>
      <c r="D3320" s="2" t="str">
        <f t="shared" si="50"/>
        <v>Error?</v>
      </c>
    </row>
    <row r="3321" spans="1:4" x14ac:dyDescent="0.2">
      <c r="A3321" s="5">
        <v>3260</v>
      </c>
      <c r="B3321" s="138">
        <f>'Acct Summary 7-8'!I79</f>
        <v>161784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179649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23969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2484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26453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17981</v>
      </c>
      <c r="D3387" s="2" t="str">
        <f t="shared" si="51"/>
        <v>Error?</v>
      </c>
    </row>
    <row r="3388" spans="1:4" x14ac:dyDescent="0.2">
      <c r="A3388" s="5">
        <v>3327</v>
      </c>
      <c r="B3388" s="138">
        <f>'Expenditures 15-22'!D217</f>
        <v>2690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17981</v>
      </c>
      <c r="C3390" s="2" t="s">
        <v>573</v>
      </c>
      <c r="D3390" s="2" t="str">
        <f t="shared" si="51"/>
        <v>Error?</v>
      </c>
    </row>
    <row r="3391" spans="1:4" x14ac:dyDescent="0.2">
      <c r="A3391" s="5">
        <v>3330</v>
      </c>
      <c r="B3391" s="138">
        <f>'Expenditures 15-22'!K217</f>
        <v>2690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22831</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1047239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89896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331973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10577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14876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43872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34690</v>
      </c>
      <c r="C3446" s="2" t="s">
        <v>573</v>
      </c>
      <c r="D3446" s="2" t="str">
        <f t="shared" si="52"/>
        <v>Error?</v>
      </c>
    </row>
    <row r="3447" spans="1:4" x14ac:dyDescent="0.2">
      <c r="A3447" s="5">
        <v>3386</v>
      </c>
      <c r="B3447" s="138">
        <f>'Tax Sched 23'!D16</f>
        <v>34690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32043</v>
      </c>
      <c r="C3449" s="2" t="s">
        <v>573</v>
      </c>
      <c r="D3449" s="2" t="str">
        <f t="shared" si="52"/>
        <v>Error?</v>
      </c>
    </row>
    <row r="3450" spans="1:4" x14ac:dyDescent="0.2">
      <c r="A3450" s="5">
        <v>3389</v>
      </c>
      <c r="B3450" s="138">
        <f>'Tax Sched 23'!E16</f>
        <v>32043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551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551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714</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-163</v>
      </c>
      <c r="D3567" s="2" t="str">
        <f t="shared" si="54"/>
        <v>Error?</v>
      </c>
    </row>
    <row r="3568" spans="1:4" x14ac:dyDescent="0.2">
      <c r="A3568" s="5">
        <v>3507</v>
      </c>
      <c r="B3568" s="138">
        <f>'Assets-Liab 5-6'!K41</f>
        <v>551</v>
      </c>
      <c r="C3568" s="2" t="s">
        <v>573</v>
      </c>
      <c r="D3568" s="2" t="str">
        <f t="shared" si="54"/>
        <v>Error?</v>
      </c>
    </row>
    <row r="3569" spans="1:4" x14ac:dyDescent="0.2">
      <c r="A3569" s="5">
        <v>3508</v>
      </c>
      <c r="B3569" s="138">
        <f>'Acct Summary 7-8'!K4</f>
        <v>33504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33504</v>
      </c>
      <c r="C3571" s="2" t="s">
        <v>573</v>
      </c>
      <c r="D3571" s="2" t="str">
        <f t="shared" si="54"/>
        <v>Error?</v>
      </c>
    </row>
    <row r="3572" spans="1:4" x14ac:dyDescent="0.2">
      <c r="A3572" s="5">
        <v>3511</v>
      </c>
      <c r="B3572" s="138">
        <f>'Acct Summary 7-8'!K13</f>
        <v>114552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114552</v>
      </c>
      <c r="C3575" s="2" t="s">
        <v>573</v>
      </c>
      <c r="D3575" s="2" t="str">
        <f t="shared" si="54"/>
        <v>Error?</v>
      </c>
    </row>
    <row r="3576" spans="1:4" x14ac:dyDescent="0.2">
      <c r="A3576" s="5">
        <v>3515</v>
      </c>
      <c r="B3576" s="138">
        <f>'Acct Summary 7-8'!K20</f>
        <v>-81048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-81048</v>
      </c>
      <c r="C3588" s="2" t="s">
        <v>573</v>
      </c>
      <c r="D3588" s="2" t="str">
        <f t="shared" si="55"/>
        <v>Error?</v>
      </c>
    </row>
    <row r="3589" spans="1:4" x14ac:dyDescent="0.2">
      <c r="A3589" s="5">
        <v>3528</v>
      </c>
      <c r="B3589" s="138">
        <f>'Acct Summary 7-8'!K79</f>
        <v>80885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114552</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114552</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114552</v>
      </c>
      <c r="C3649" s="2" t="s">
        <v>573</v>
      </c>
      <c r="D3649" s="2" t="str">
        <f t="shared" si="56"/>
        <v>Error?</v>
      </c>
    </row>
    <row r="3650" spans="1:4" x14ac:dyDescent="0.2">
      <c r="A3650" s="5">
        <v>3589</v>
      </c>
      <c r="B3650" s="138">
        <f>'Expenditures 15-22'!G367</f>
        <v>114552</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114552</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114552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114552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114552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-81048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14259</v>
      </c>
      <c r="C3725" s="2" t="s">
        <v>573</v>
      </c>
      <c r="D3725" s="2" t="str">
        <f t="shared" si="57"/>
        <v>Error?</v>
      </c>
    </row>
    <row r="3726" spans="1:4" x14ac:dyDescent="0.2">
      <c r="A3726" s="5">
        <v>3665</v>
      </c>
      <c r="B3726" s="138">
        <f>'Tax Sched 23'!D13</f>
        <v>14259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8145</v>
      </c>
      <c r="C3728" s="2" t="s">
        <v>573</v>
      </c>
      <c r="D3728" s="2" t="str">
        <f t="shared" si="57"/>
        <v>Error?</v>
      </c>
    </row>
    <row r="3729" spans="1:4" x14ac:dyDescent="0.2">
      <c r="A3729" s="5">
        <v>3668</v>
      </c>
      <c r="B3729" s="138">
        <f>'Tax Sched 23'!E13</f>
        <v>8145</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973086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3296395</v>
      </c>
      <c r="C4122" s="2" t="s">
        <v>573</v>
      </c>
      <c r="D4122" s="2" t="str">
        <f t="shared" si="63"/>
        <v>Error?</v>
      </c>
    </row>
    <row r="4123" spans="1:4" x14ac:dyDescent="0.2">
      <c r="A4123" s="5">
        <v>4062</v>
      </c>
      <c r="B4123" s="138">
        <f>'Acct Summary 7-8'!D10</f>
        <v>254038</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260381</v>
      </c>
      <c r="C4125" s="2" t="s">
        <v>573</v>
      </c>
      <c r="D4125" s="2" t="str">
        <f t="shared" si="63"/>
        <v>Error?</v>
      </c>
    </row>
    <row r="4126" spans="1:4" x14ac:dyDescent="0.2">
      <c r="A4126" s="5">
        <v>4065</v>
      </c>
      <c r="B4126" s="138">
        <f>'Acct Summary 7-8'!G10</f>
        <v>72576</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17865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33504</v>
      </c>
      <c r="C4130" s="2" t="s">
        <v>573</v>
      </c>
      <c r="D4130" s="2" t="str">
        <f t="shared" si="63"/>
        <v>Error?</v>
      </c>
    </row>
    <row r="4131" spans="1:4" x14ac:dyDescent="0.2">
      <c r="A4131" s="5">
        <v>4070</v>
      </c>
      <c r="B4131" s="138">
        <f>'Acct Summary 7-8'!C18</f>
        <v>973086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3250371</v>
      </c>
      <c r="C4136" s="2" t="s">
        <v>573</v>
      </c>
      <c r="D4136" s="2" t="str">
        <f t="shared" si="63"/>
        <v>Error?</v>
      </c>
    </row>
    <row r="4137" spans="1:4" x14ac:dyDescent="0.2">
      <c r="A4137" s="5">
        <v>4076</v>
      </c>
      <c r="B4137" s="138">
        <f>'Acct Summary 7-8'!D19</f>
        <v>387745</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462655</v>
      </c>
      <c r="C4139" s="2" t="s">
        <v>573</v>
      </c>
      <c r="D4139" s="2" t="str">
        <f t="shared" si="63"/>
        <v>Error?</v>
      </c>
    </row>
    <row r="4140" spans="1:4" x14ac:dyDescent="0.2">
      <c r="A4140" s="5">
        <v>4079</v>
      </c>
      <c r="B4140" s="138">
        <f>'Acct Summary 7-8'!G19</f>
        <v>96179</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114552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3312.7999999999997</v>
      </c>
      <c r="C4265" s="2" t="s">
        <v>573</v>
      </c>
      <c r="D4265" s="2" t="str">
        <f t="shared" si="65"/>
        <v>Error?</v>
      </c>
      <c r="E4265" s="128"/>
    </row>
    <row r="4266" spans="1:5" x14ac:dyDescent="0.2">
      <c r="A4266" s="12">
        <v>4205</v>
      </c>
      <c r="B4266" s="138">
        <f>('FP Info 3'!F10)*100000</f>
        <v>545.80000000000007</v>
      </c>
      <c r="C4266" s="2" t="s">
        <v>573</v>
      </c>
      <c r="D4266" s="2" t="str">
        <f t="shared" si="65"/>
        <v>Error?</v>
      </c>
      <c r="E4266" s="128"/>
    </row>
    <row r="4267" spans="1:5" x14ac:dyDescent="0.2">
      <c r="A4267" s="12">
        <v>4206</v>
      </c>
      <c r="B4267" s="138">
        <f>('FP Info 3'!H10)*100000</f>
        <v>262.8</v>
      </c>
      <c r="C4267" s="2" t="s">
        <v>573</v>
      </c>
      <c r="D4267" s="2" t="str">
        <f t="shared" si="65"/>
        <v>Error?</v>
      </c>
      <c r="E4267" s="128"/>
    </row>
    <row r="4268" spans="1:5" x14ac:dyDescent="0.2">
      <c r="A4268" s="12">
        <v>4207</v>
      </c>
      <c r="B4268" s="138">
        <f>('FP Info 3'!J10)*100000</f>
        <v>4121</v>
      </c>
      <c r="C4268" s="2" t="s">
        <v>573</v>
      </c>
      <c r="D4268" s="2" t="str">
        <f t="shared" si="65"/>
        <v>Error?</v>
      </c>
    </row>
    <row r="4269" spans="1:5" x14ac:dyDescent="0.2">
      <c r="A4269" s="12">
        <v>4208</v>
      </c>
      <c r="B4269" s="138">
        <f>'FP Info 3'!J16</f>
        <v>2464069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2869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2206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25738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29.4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4666</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1934</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44752641</v>
      </c>
      <c r="D4995" s="2" t="str">
        <f t="shared" si="77"/>
        <v>Error?</v>
      </c>
    </row>
    <row r="4996" spans="1:4" x14ac:dyDescent="0.2">
      <c r="A4996" s="12">
        <v>4935</v>
      </c>
      <c r="B4996" s="138">
        <f>'FP Info 3'!H31</f>
        <v>6175864.4580000006</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14259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1395833</v>
      </c>
      <c r="D5061" s="2" t="str">
        <f t="shared" si="78"/>
        <v>Error?</v>
      </c>
    </row>
    <row r="5062" spans="1:4" x14ac:dyDescent="0.2">
      <c r="A5062" s="10">
        <v>5001</v>
      </c>
      <c r="D5062" s="2" t="str">
        <f t="shared" si="78"/>
        <v>OK</v>
      </c>
    </row>
    <row r="5063" spans="1:4" x14ac:dyDescent="0.2">
      <c r="A5063" s="5">
        <v>5002</v>
      </c>
      <c r="B5063" s="138">
        <f>'Revenues 9-14'!C7</f>
        <v>53420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1463512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52707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52707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450</v>
      </c>
      <c r="C5087" s="2" t="s">
        <v>573</v>
      </c>
      <c r="D5087" s="2" t="str">
        <f t="shared" si="78"/>
        <v>Error?</v>
      </c>
    </row>
    <row r="5088" spans="1:4" x14ac:dyDescent="0.2">
      <c r="A5088" s="5">
        <v>5027</v>
      </c>
      <c r="B5088" s="138">
        <f>'Revenues 9-14'!C65</f>
        <v>28410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28410</v>
      </c>
      <c r="C5090" s="2" t="s">
        <v>573</v>
      </c>
      <c r="D5090" s="2" t="str">
        <f t="shared" si="78"/>
        <v>Error?</v>
      </c>
    </row>
    <row r="5091" spans="1:4" x14ac:dyDescent="0.2">
      <c r="A5091" s="5">
        <v>5030</v>
      </c>
      <c r="B5091" s="138">
        <f>'Revenues 9-14'!C70</f>
        <v>1442</v>
      </c>
      <c r="D5091" s="2" t="str">
        <f t="shared" si="78"/>
        <v>Error?</v>
      </c>
    </row>
    <row r="5092" spans="1:4" x14ac:dyDescent="0.2">
      <c r="A5092" s="5">
        <v>5031</v>
      </c>
      <c r="B5092" s="138">
        <f>'Revenues 9-14'!C71</f>
        <v>7388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594</v>
      </c>
      <c r="D5094" s="2" t="str">
        <f t="shared" si="78"/>
        <v>Error?</v>
      </c>
    </row>
    <row r="5095" spans="1:4" x14ac:dyDescent="0.2">
      <c r="A5095" s="5">
        <v>5034</v>
      </c>
      <c r="B5095" s="138">
        <f>'Revenues 9-14'!C74</f>
        <v>180</v>
      </c>
      <c r="D5095" s="2" t="str">
        <f t="shared" si="78"/>
        <v>Error?</v>
      </c>
    </row>
    <row r="5096" spans="1:4" x14ac:dyDescent="0.2">
      <c r="A5096" s="5">
        <v>5035</v>
      </c>
      <c r="B5096" s="138">
        <f>'Revenues 9-14'!C75</f>
        <v>36901</v>
      </c>
      <c r="C5096" s="2" t="s">
        <v>573</v>
      </c>
      <c r="D5096" s="2" t="str">
        <f t="shared" si="78"/>
        <v>Error?</v>
      </c>
    </row>
    <row r="5097" spans="1:4" x14ac:dyDescent="0.2">
      <c r="A5097" s="5">
        <v>5036</v>
      </c>
      <c r="B5097" s="138">
        <f>'Revenues 9-14'!C77</f>
        <v>10555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10555</v>
      </c>
      <c r="C5102" s="2" t="s">
        <v>573</v>
      </c>
      <c r="D5102" s="2" t="str">
        <f t="shared" si="78"/>
        <v>Error?</v>
      </c>
    </row>
    <row r="5103" spans="1:4" x14ac:dyDescent="0.2">
      <c r="A5103" s="5">
        <v>5042</v>
      </c>
      <c r="B5103" s="138">
        <f>'Revenues 9-14'!C84</f>
        <v>16064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16064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2202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2091</v>
      </c>
      <c r="D5119" s="2" t="str">
        <f t="shared" ref="D5119:D5182" si="79">IF(ISBLANK(B5119),"OK",IF(A5119-B5119=0,"OK","Error?"))</f>
        <v>Error?</v>
      </c>
    </row>
    <row r="5120" spans="1:4" x14ac:dyDescent="0.2">
      <c r="A5120" s="5">
        <v>5059</v>
      </c>
      <c r="B5120" s="138">
        <f>'Revenues 9-14'!C108</f>
        <v>9559</v>
      </c>
      <c r="C5120" s="2" t="s">
        <v>573</v>
      </c>
      <c r="D5120" s="2" t="str">
        <f t="shared" si="79"/>
        <v>Error?</v>
      </c>
    </row>
    <row r="5121" spans="1:4" x14ac:dyDescent="0.2">
      <c r="A5121" s="5">
        <v>5060</v>
      </c>
      <c r="B5121" s="138">
        <f>'Revenues 9-14'!C109</f>
        <v>1618158</v>
      </c>
      <c r="C5121" s="2" t="s">
        <v>573</v>
      </c>
      <c r="D5121" s="2" t="str">
        <f t="shared" si="79"/>
        <v>Error?</v>
      </c>
    </row>
    <row r="5122" spans="1:4" x14ac:dyDescent="0.2">
      <c r="A5122" s="5">
        <v>5061</v>
      </c>
      <c r="B5122" s="138">
        <f>'Revenues 9-14'!C111</f>
        <v>3000</v>
      </c>
      <c r="D5122" s="2" t="str">
        <f t="shared" si="79"/>
        <v>Error?</v>
      </c>
    </row>
    <row r="5123" spans="1:4" x14ac:dyDescent="0.2">
      <c r="A5123" s="5">
        <v>5062</v>
      </c>
      <c r="B5123" s="138">
        <f>'Revenues 9-14'!C112</f>
        <v>19831</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22831</v>
      </c>
      <c r="C5125" s="2" t="s">
        <v>573</v>
      </c>
      <c r="D5125" s="2" t="str">
        <f t="shared" si="79"/>
        <v>Error?</v>
      </c>
    </row>
    <row r="5126" spans="1:4" x14ac:dyDescent="0.2">
      <c r="A5126" s="5">
        <v>5065</v>
      </c>
      <c r="B5126" s="138">
        <f>'Revenues 9-14'!C117</f>
        <v>561529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561529</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5826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5826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7019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819</v>
      </c>
      <c r="D5167" s="2" t="str">
        <f t="shared" si="79"/>
        <v>Error?</v>
      </c>
    </row>
    <row r="5168" spans="1:4" x14ac:dyDescent="0.2">
      <c r="A5168" s="5">
        <v>5107</v>
      </c>
      <c r="B5168" s="138">
        <f>'Revenues 9-14'!C148</f>
        <v>2642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16306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577835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1934</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32714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4300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37014</v>
      </c>
      <c r="C5246" s="2" t="s">
        <v>573</v>
      </c>
      <c r="D5246" s="2" t="str">
        <f t="shared" si="80"/>
        <v>Error?</v>
      </c>
    </row>
    <row r="5247" spans="1:4" x14ac:dyDescent="0.2">
      <c r="A5247" s="5">
        <v>5186</v>
      </c>
      <c r="B5247" s="138">
        <f>'Revenues 9-14'!C200</f>
        <v>34724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34724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102551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104485</v>
      </c>
      <c r="C5326" s="2" t="s">
        <v>573</v>
      </c>
      <c r="D5326" s="2" t="str">
        <f t="shared" si="82"/>
        <v>Error?</v>
      </c>
    </row>
    <row r="5327" spans="1:5" x14ac:dyDescent="0.2">
      <c r="A5327" s="5">
        <v>5266</v>
      </c>
      <c r="B5327" s="138">
        <f>'Revenues 9-14'!C268</f>
        <v>2323309</v>
      </c>
      <c r="C5327" s="2" t="s">
        <v>573</v>
      </c>
      <c r="D5327" s="2" t="str">
        <f t="shared" si="82"/>
        <v>Error?</v>
      </c>
    </row>
    <row r="5328" spans="1:5" x14ac:dyDescent="0.2">
      <c r="A5328" s="5">
        <v>5267</v>
      </c>
      <c r="B5328" s="138">
        <f>'Revenues 9-14'!D5</f>
        <v>231469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231469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15000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15000</v>
      </c>
      <c r="C5339" s="2" t="s">
        <v>573</v>
      </c>
      <c r="D5339" s="2" t="str">
        <f t="shared" si="82"/>
        <v>Error?</v>
      </c>
    </row>
    <row r="5340" spans="1:4" x14ac:dyDescent="0.2">
      <c r="A5340" s="5">
        <v>5279</v>
      </c>
      <c r="B5340" s="138">
        <f>'Revenues 9-14'!D65</f>
        <v>5349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5349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2200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20</v>
      </c>
      <c r="D5354" s="2" t="str">
        <f t="shared" si="82"/>
        <v>Error?</v>
      </c>
    </row>
    <row r="5355" spans="1:4" x14ac:dyDescent="0.2">
      <c r="A5355" s="5">
        <v>5294</v>
      </c>
      <c r="B5355" s="138">
        <f>'Revenues 9-14'!D108</f>
        <v>2220</v>
      </c>
      <c r="C5355" s="2" t="s">
        <v>573</v>
      </c>
      <c r="D5355" s="2" t="str">
        <f t="shared" si="82"/>
        <v>Error?</v>
      </c>
    </row>
    <row r="5356" spans="1:4" x14ac:dyDescent="0.2">
      <c r="A5356" s="5">
        <v>5295</v>
      </c>
      <c r="B5356" s="138">
        <f>'Revenues 9-14'!D109</f>
        <v>254038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254038</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169110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169110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5164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5164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174274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65332</v>
      </c>
      <c r="D5615" s="2" t="str">
        <f t="shared" si="86"/>
        <v>Error?</v>
      </c>
    </row>
    <row r="5616" spans="1:4" x14ac:dyDescent="0.2">
      <c r="A5616" s="10">
        <v>5555</v>
      </c>
      <c r="D5616" s="2" t="str">
        <f t="shared" si="86"/>
        <v>OK</v>
      </c>
    </row>
    <row r="5617" spans="1:5" x14ac:dyDescent="0.2">
      <c r="A5617" s="5">
        <v>5556</v>
      </c>
      <c r="B5617" s="138">
        <f>'Revenues 9-14'!F153</f>
        <v>20775</v>
      </c>
      <c r="D5617" s="2" t="str">
        <f t="shared" si="86"/>
        <v>Error?</v>
      </c>
    </row>
    <row r="5618" spans="1:5" x14ac:dyDescent="0.2">
      <c r="A5618" s="5">
        <v>5557</v>
      </c>
      <c r="B5618" s="138">
        <f>'Revenues 9-14'!F155</f>
        <v>86107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86107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86107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260381</v>
      </c>
      <c r="C5720" s="2" t="s">
        <v>573</v>
      </c>
      <c r="D5720" s="2" t="str">
        <f t="shared" si="88"/>
        <v>Error?</v>
      </c>
    </row>
    <row r="5721" spans="1:4" x14ac:dyDescent="0.2">
      <c r="A5721" s="5">
        <v>5660</v>
      </c>
      <c r="B5721" s="138">
        <f>'Revenues 9-14'!G5</f>
        <v>35627</v>
      </c>
      <c r="D5721" s="2" t="str">
        <f t="shared" si="88"/>
        <v>Error?</v>
      </c>
    </row>
    <row r="5722" spans="1:4" x14ac:dyDescent="0.2">
      <c r="A5722" s="5">
        <v>5661</v>
      </c>
      <c r="B5722" s="138">
        <f>'Revenues 9-14'!G7</f>
        <v>0</v>
      </c>
      <c r="D5722" s="2" t="str">
        <f t="shared" si="88"/>
        <v>Error?</v>
      </c>
    </row>
    <row r="5723" spans="1:4" x14ac:dyDescent="0.2">
      <c r="A5723" s="5">
        <v>5662</v>
      </c>
      <c r="B5723" s="138">
        <f>'Revenues 9-14'!G8</f>
        <v>34690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70317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v>
      </c>
      <c r="C5730" s="2" t="s">
        <v>573</v>
      </c>
      <c r="D5730" s="2" t="str">
        <f t="shared" si="88"/>
        <v>Error?</v>
      </c>
    </row>
    <row r="5731" spans="1:4" x14ac:dyDescent="0.2">
      <c r="A5731" s="5">
        <v>5670</v>
      </c>
      <c r="B5731" s="138">
        <f>'Revenues 9-14'!G65</f>
        <v>259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259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72576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14259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14259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3606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3606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17865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32052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32052</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1452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1452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33504</v>
      </c>
      <c r="C6023" s="2" t="s">
        <v>573</v>
      </c>
      <c r="D6023" s="2" t="str">
        <f t="shared" si="93"/>
        <v>Error?</v>
      </c>
    </row>
    <row r="6024" spans="1:5" x14ac:dyDescent="0.2">
      <c r="A6024" s="5">
        <v>5963</v>
      </c>
      <c r="B6024" s="138">
        <f>'Revenues 9-14'!G109</f>
        <v>72576</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17865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33504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27297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206.88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714</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2276</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23</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46024</v>
      </c>
      <c r="D6267" s="2" t="str">
        <f t="shared" si="96"/>
        <v>Error?</v>
      </c>
      <c r="E6267" s="2" t="s">
        <v>190</v>
      </c>
    </row>
    <row r="6268" spans="1:5" x14ac:dyDescent="0.2">
      <c r="A6268">
        <v>6207</v>
      </c>
      <c r="B6268" s="138">
        <f>'Acct Summary 7-8'!D82</f>
        <v>-133707</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-202274</v>
      </c>
      <c r="D6270" s="2" t="str">
        <f t="shared" si="96"/>
        <v>Error?</v>
      </c>
      <c r="E6270" s="2" t="s">
        <v>190</v>
      </c>
    </row>
    <row r="6271" spans="1:5" x14ac:dyDescent="0.2">
      <c r="A6271">
        <v>6210</v>
      </c>
      <c r="B6271" s="138">
        <f>'Acct Summary 7-8'!G82</f>
        <v>-23603</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17865</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-81048</v>
      </c>
      <c r="D6275" s="2" t="str">
        <f t="shared" si="97"/>
        <v>Error?</v>
      </c>
      <c r="E6275" s="2" t="s">
        <v>190</v>
      </c>
    </row>
    <row r="6276" spans="1:5" x14ac:dyDescent="0.2">
      <c r="A6276">
        <v>6215</v>
      </c>
      <c r="B6276" s="138">
        <f>'Acct Summary 7-8'!C83</f>
        <v>3.1892741047490555E-2</v>
      </c>
      <c r="D6276" s="2" t="str">
        <f t="shared" si="97"/>
        <v>Error?</v>
      </c>
      <c r="E6276" s="2" t="s">
        <v>190</v>
      </c>
    </row>
    <row r="6277" spans="1:5" x14ac:dyDescent="0.2">
      <c r="A6277">
        <v>6216</v>
      </c>
      <c r="B6277" s="138">
        <f>'Acct Summary 7-8'!D83</f>
        <v>-0.53783990345937249</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-0.34125651853363992</v>
      </c>
      <c r="D6279" s="2" t="str">
        <f t="shared" si="97"/>
        <v>Error?</v>
      </c>
      <c r="E6279" s="2" t="s">
        <v>190</v>
      </c>
    </row>
    <row r="6280" spans="1:5" x14ac:dyDescent="0.2">
      <c r="A6280">
        <v>6219</v>
      </c>
      <c r="B6280" s="138">
        <f>'Acct Summary 7-8'!G83</f>
        <v>-2.2048575432041102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9.9443915635489211E-2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497.22699386503069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600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7019</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132733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600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2642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3242</v>
      </c>
      <c r="D7719" s="2" t="str">
        <f t="shared" si="126"/>
        <v>Error?</v>
      </c>
      <c r="E7719" s="2" t="s">
        <v>827</v>
      </c>
    </row>
    <row r="7720" spans="1:6" x14ac:dyDescent="0.2">
      <c r="A7720">
        <v>7659</v>
      </c>
      <c r="B7720" s="138">
        <f>'Rest Tax Levies-Tort Im 25'!H14</f>
        <v>53420</v>
      </c>
      <c r="D7720" s="2" t="str">
        <f t="shared" si="126"/>
        <v>Error?</v>
      </c>
      <c r="E7720" s="2" t="s">
        <v>827</v>
      </c>
    </row>
    <row r="7721" spans="1:6" x14ac:dyDescent="0.2">
      <c r="A7721">
        <v>7660</v>
      </c>
      <c r="B7721" s="138">
        <f>'Rest Tax Levies-Tort Im 25'!K14</f>
        <v>3242</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8" t="s">
        <v>1191</v>
      </c>
      <c r="B2" s="2378"/>
      <c r="C2" s="2378"/>
      <c r="D2" s="2378"/>
      <c r="E2" s="2378"/>
      <c r="F2" s="2378"/>
      <c r="G2" s="2378"/>
      <c r="H2" s="2378"/>
      <c r="I2" s="2378"/>
      <c r="J2" s="2378"/>
      <c r="K2" s="2378"/>
      <c r="L2" s="2378"/>
    </row>
    <row r="3" spans="1:29" ht="13.5" customHeight="1" x14ac:dyDescent="0.2">
      <c r="A3" s="2409" t="s">
        <v>1190</v>
      </c>
      <c r="B3" s="2409"/>
      <c r="C3" s="2409"/>
      <c r="D3" s="2409"/>
      <c r="E3" s="2409"/>
      <c r="F3" s="2409"/>
      <c r="G3" s="2409"/>
      <c r="H3" s="2409"/>
      <c r="I3" s="2409"/>
      <c r="J3" s="2409"/>
      <c r="K3" s="2409"/>
      <c r="L3" s="2409"/>
    </row>
    <row r="4" spans="1:29" ht="13.5" customHeight="1" x14ac:dyDescent="0.2">
      <c r="A4" s="2378" t="s">
        <v>1989</v>
      </c>
      <c r="B4" s="2399"/>
      <c r="C4" s="2399"/>
      <c r="D4" s="2399"/>
      <c r="E4" s="2399"/>
      <c r="F4" s="2399"/>
      <c r="G4" s="2399"/>
      <c r="H4" s="2399"/>
      <c r="I4" s="2399"/>
      <c r="J4" s="2399"/>
      <c r="K4" s="2399"/>
      <c r="L4" s="239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0" t="str">
        <f>COVER!A17</f>
        <v>Greenview CUSD 200</v>
      </c>
      <c r="B7" s="2401"/>
      <c r="C7" s="2401"/>
      <c r="D7" s="2402"/>
      <c r="E7" s="2403">
        <f>COVER!A13</f>
        <v>51065200026</v>
      </c>
      <c r="F7" s="2404"/>
      <c r="G7" s="2410" t="str">
        <f>COVER!T23</f>
        <v>060-004845</v>
      </c>
      <c r="H7" s="2411"/>
      <c r="I7" s="2411"/>
      <c r="J7" s="2411"/>
      <c r="K7" s="2411"/>
      <c r="L7" s="241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3"/>
      <c r="B9" s="2414"/>
      <c r="C9" s="2414"/>
      <c r="D9" s="2414"/>
      <c r="E9" s="2414"/>
      <c r="F9" s="2415"/>
      <c r="G9" s="2384" t="str">
        <f>COVER!T13</f>
        <v>Pehlman and Dold, P.C.</v>
      </c>
      <c r="H9" s="2416"/>
      <c r="I9" s="2416"/>
      <c r="J9" s="2416"/>
      <c r="K9" s="2416"/>
      <c r="L9" s="2417"/>
    </row>
    <row r="10" spans="1:29" ht="13.5" customHeight="1" x14ac:dyDescent="0.2">
      <c r="A10" s="2390" t="str">
        <f>COVER!A38</f>
        <v>Ryan Heavner, Superintendent</v>
      </c>
      <c r="B10" s="2391"/>
      <c r="C10" s="2391"/>
      <c r="D10" s="2391"/>
      <c r="E10" s="2391"/>
      <c r="F10" s="2392"/>
      <c r="G10" s="2384" t="str">
        <f>COVER!T17</f>
        <v>100 North Amos Avenue</v>
      </c>
      <c r="H10" s="2385"/>
      <c r="I10" s="2385"/>
      <c r="J10" s="2385"/>
      <c r="K10" s="2385"/>
      <c r="L10" s="2386"/>
    </row>
    <row r="11" spans="1:29" ht="13.5" customHeight="1" x14ac:dyDescent="0.2">
      <c r="A11" s="1184" t="s">
        <v>1519</v>
      </c>
      <c r="B11" s="1185"/>
      <c r="C11" s="1186"/>
      <c r="D11" s="1191"/>
      <c r="E11" s="1186"/>
      <c r="F11" s="1190"/>
      <c r="G11" s="2384" t="str">
        <f>COVER!T19</f>
        <v>Springfield</v>
      </c>
      <c r="H11" s="2385"/>
      <c r="I11" s="2385"/>
      <c r="J11" s="2385"/>
      <c r="K11" s="2385"/>
      <c r="L11" s="2386"/>
    </row>
    <row r="12" spans="1:29" ht="13.5" customHeight="1" x14ac:dyDescent="0.2">
      <c r="A12" s="2393" t="s">
        <v>1518</v>
      </c>
      <c r="B12" s="2394"/>
      <c r="C12" s="2394"/>
      <c r="D12" s="2394"/>
      <c r="E12" s="2394"/>
      <c r="F12" s="2395"/>
      <c r="G12" s="2387"/>
      <c r="H12" s="2388"/>
      <c r="I12" s="2388"/>
      <c r="J12" s="2388"/>
      <c r="K12" s="2388"/>
      <c r="L12" s="2389"/>
    </row>
    <row r="13" spans="1:29" ht="13.5" customHeight="1" x14ac:dyDescent="0.2">
      <c r="A13" s="2384"/>
      <c r="B13" s="2385"/>
      <c r="C13" s="2385"/>
      <c r="D13" s="2385"/>
      <c r="E13" s="2385"/>
      <c r="F13" s="2386"/>
      <c r="G13" s="2379" t="s">
        <v>1520</v>
      </c>
      <c r="H13" s="2380"/>
      <c r="I13" s="2396" t="str">
        <f>COVER!T25</f>
        <v>dfitzgerald@p-dcpas.com</v>
      </c>
      <c r="J13" s="2397"/>
      <c r="K13" s="2397"/>
      <c r="L13" s="2398"/>
    </row>
    <row r="14" spans="1:29" ht="13.5" customHeight="1" x14ac:dyDescent="0.2">
      <c r="A14" s="2384" t="str">
        <f>COVER!A19</f>
        <v>147 Palmer Street</v>
      </c>
      <c r="B14" s="2385"/>
      <c r="C14" s="2385"/>
      <c r="D14" s="2385"/>
      <c r="E14" s="2385"/>
      <c r="F14" s="2386"/>
      <c r="G14" s="1195" t="s">
        <v>1185</v>
      </c>
      <c r="H14" s="1193"/>
      <c r="I14" s="1193"/>
      <c r="J14" s="1193"/>
      <c r="K14" s="1193"/>
      <c r="L14" s="1194"/>
    </row>
    <row r="15" spans="1:29" ht="13.5" customHeight="1" x14ac:dyDescent="0.2">
      <c r="A15" s="2384" t="str">
        <f>COVER!A21</f>
        <v>Greenview</v>
      </c>
      <c r="B15" s="2385"/>
      <c r="C15" s="2385"/>
      <c r="D15" s="2385"/>
      <c r="E15" s="2385"/>
      <c r="F15" s="2386"/>
      <c r="G15" s="2381" t="str">
        <f>COVER!T15</f>
        <v>Dorinda L Fitzgerald</v>
      </c>
      <c r="H15" s="2382"/>
      <c r="I15" s="2382"/>
      <c r="J15" s="2382"/>
      <c r="K15" s="2382"/>
      <c r="L15" s="2383"/>
    </row>
    <row r="16" spans="1:29" ht="12.2" customHeight="1" x14ac:dyDescent="0.2">
      <c r="A16" s="2406">
        <f>COVER!A25</f>
        <v>62642</v>
      </c>
      <c r="B16" s="2407"/>
      <c r="C16" s="2407"/>
      <c r="D16" s="2407"/>
      <c r="E16" s="2407"/>
      <c r="F16" s="2408"/>
      <c r="G16" s="2418"/>
      <c r="H16" s="2419"/>
      <c r="I16" s="2419"/>
      <c r="J16" s="2419"/>
      <c r="K16" s="2419"/>
      <c r="L16" s="2420"/>
    </row>
    <row r="17" spans="1:13" ht="12.2" customHeight="1" x14ac:dyDescent="0.2">
      <c r="A17" s="2421"/>
      <c r="B17" s="2407"/>
      <c r="C17" s="2407"/>
      <c r="D17" s="2407"/>
      <c r="E17" s="2407"/>
      <c r="F17" s="2408"/>
      <c r="G17" s="1195" t="s">
        <v>1184</v>
      </c>
      <c r="H17" s="1193"/>
      <c r="I17" s="1193"/>
      <c r="J17" s="1193"/>
      <c r="K17" s="1197" t="s">
        <v>1183</v>
      </c>
      <c r="L17" s="1190"/>
      <c r="M17" s="1183"/>
    </row>
    <row r="18" spans="1:13" ht="12.2" customHeight="1" x14ac:dyDescent="0.2">
      <c r="A18" s="2390"/>
      <c r="B18" s="2391"/>
      <c r="C18" s="2391"/>
      <c r="D18" s="2391"/>
      <c r="E18" s="2391"/>
      <c r="F18" s="2392"/>
      <c r="G18" s="2400" t="str">
        <f>COVER!T21</f>
        <v>(217) 787-0563</v>
      </c>
      <c r="H18" s="2401"/>
      <c r="I18" s="2401"/>
      <c r="J18" s="2401"/>
      <c r="K18" s="2400" t="str">
        <f>COVER!X21</f>
        <v>(217) 787-9266</v>
      </c>
      <c r="L18" s="240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Greenview CUSD 200</v>
      </c>
      <c r="B1" s="2399"/>
      <c r="C1" s="2399"/>
      <c r="D1" s="2399"/>
    </row>
    <row r="2" spans="1:11" s="1212" customFormat="1" ht="12.75" x14ac:dyDescent="0.2">
      <c r="A2" s="2423">
        <f>'Single Audit Cover'!E7</f>
        <v>51065200026</v>
      </c>
      <c r="B2" s="2424"/>
      <c r="C2" s="2424"/>
      <c r="D2" s="2424"/>
    </row>
    <row r="3" spans="1:11" s="1212" customFormat="1" ht="12.75" x14ac:dyDescent="0.2">
      <c r="A3" s="2422" t="s">
        <v>1513</v>
      </c>
      <c r="B3" s="2399"/>
      <c r="C3" s="2399"/>
      <c r="D3" s="239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Greenview CUSD 200</v>
      </c>
      <c r="B1" s="2426"/>
      <c r="C1" s="2426"/>
      <c r="D1" s="2426"/>
      <c r="E1" s="2426"/>
    </row>
    <row r="2" spans="1:5" x14ac:dyDescent="0.2">
      <c r="A2" s="2427">
        <f>'Single Audit Cover'!E7</f>
        <v>51065200026</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104485</v>
      </c>
    </row>
    <row r="11" spans="1:5" ht="18" customHeight="1" x14ac:dyDescent="0.2">
      <c r="A11" s="1258" t="s">
        <v>1240</v>
      </c>
      <c r="B11" s="1259"/>
      <c r="C11" s="1259"/>
    </row>
    <row r="12" spans="1:5" x14ac:dyDescent="0.2">
      <c r="A12" s="1258" t="s">
        <v>1239</v>
      </c>
      <c r="B12" s="1259" t="s">
        <v>1238</v>
      </c>
      <c r="C12" s="1259"/>
      <c r="D12" s="1261">
        <f>SUM('Revenues 9-14'!C112:D112,'Revenues 9-14'!F112:G112)</f>
        <v>19831</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-2206</v>
      </c>
    </row>
    <row r="19" spans="1:4" ht="13.5" thickBot="1" x14ac:dyDescent="0.25">
      <c r="A19" s="1262" t="s">
        <v>1235</v>
      </c>
      <c r="D19" s="1263">
        <f>SUM(D10:D17)</f>
        <v>122110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122110</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0</v>
      </c>
    </row>
    <row r="49" spans="2:4" x14ac:dyDescent="0.2">
      <c r="B49" s="1269" t="s">
        <v>1226</v>
      </c>
      <c r="C49" s="1269"/>
      <c r="D49" s="1270">
        <f>D32-D47</f>
        <v>122110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Greenview CUSD 200</v>
      </c>
      <c r="C1" s="2430"/>
      <c r="D1" s="2430"/>
      <c r="E1" s="2430"/>
      <c r="F1" s="2430"/>
      <c r="G1" s="2430"/>
      <c r="H1" s="2430"/>
      <c r="I1" s="2430"/>
      <c r="J1" s="2430"/>
      <c r="K1" s="2430"/>
      <c r="L1" s="2430"/>
      <c r="M1" s="2430"/>
    </row>
    <row r="2" spans="2:14" ht="15" x14ac:dyDescent="0.2">
      <c r="B2" s="2431">
        <f>'Single Audit Cover'!E7</f>
        <v>51065200026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Greenview CUSD 200</v>
      </c>
      <c r="B1" s="2443"/>
      <c r="C1" s="2443"/>
      <c r="D1" s="2443"/>
      <c r="E1" s="2443"/>
      <c r="F1" s="2443"/>
    </row>
    <row r="2" spans="1:7" ht="13.5" customHeight="1" x14ac:dyDescent="0.2">
      <c r="A2" s="2431">
        <f>'Single Audit Cover'!E7</f>
        <v>51065200026</v>
      </c>
      <c r="B2" s="2431"/>
      <c r="C2" s="2431"/>
      <c r="D2" s="2431"/>
      <c r="E2" s="2431"/>
      <c r="F2" s="2431"/>
      <c r="G2" s="1272"/>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3" t="s">
        <v>1728</v>
      </c>
      <c r="C6" s="317"/>
      <c r="D6" s="317"/>
    </row>
    <row r="7" spans="1:7" ht="60.95" customHeight="1" x14ac:dyDescent="0.2">
      <c r="A7" s="2442" t="s">
        <v>1729</v>
      </c>
      <c r="B7" s="2442"/>
      <c r="C7" s="2442"/>
      <c r="D7" s="2442"/>
      <c r="E7" s="2442"/>
      <c r="F7" s="2442"/>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2" t="s">
        <v>1731</v>
      </c>
      <c r="B13" s="2442"/>
      <c r="C13" s="2442"/>
      <c r="D13" s="2442"/>
      <c r="E13" s="2442"/>
      <c r="F13" s="2442"/>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5"/>
      <c r="E17" s="2435"/>
      <c r="F17" s="2435"/>
    </row>
    <row r="18" spans="1:6" ht="20.65" customHeight="1" x14ac:dyDescent="0.2">
      <c r="A18" s="1280"/>
      <c r="B18" s="1281"/>
      <c r="C18" s="1282"/>
      <c r="D18" s="2435"/>
      <c r="E18" s="2435"/>
      <c r="F18" s="2435"/>
    </row>
    <row r="19" spans="1:6" ht="20.65" customHeight="1" x14ac:dyDescent="0.2">
      <c r="A19" s="1280"/>
      <c r="B19" s="1281"/>
      <c r="C19" s="1282"/>
      <c r="D19" s="2435"/>
      <c r="E19" s="2435"/>
      <c r="F19" s="2435"/>
    </row>
    <row r="20" spans="1:6" ht="20.65" customHeight="1" x14ac:dyDescent="0.2">
      <c r="A20" s="1280"/>
      <c r="B20" s="1281"/>
      <c r="C20" s="1282"/>
      <c r="D20" s="2435"/>
      <c r="E20" s="2435"/>
      <c r="F20" s="2435"/>
    </row>
    <row r="21" spans="1:6" ht="20.65" customHeight="1" x14ac:dyDescent="0.2">
      <c r="A21" s="1280"/>
      <c r="B21" s="1281"/>
      <c r="C21" s="1282"/>
      <c r="D21" s="2435"/>
      <c r="E21" s="2435"/>
      <c r="F21" s="2435"/>
    </row>
    <row r="22" spans="1:6" ht="20.65" customHeight="1" x14ac:dyDescent="0.2">
      <c r="A22" s="1280"/>
      <c r="B22" s="1281"/>
      <c r="C22" s="1282"/>
      <c r="D22" s="2435"/>
      <c r="E22" s="2435"/>
      <c r="F22" s="2435"/>
    </row>
    <row r="23" spans="1:6" ht="20.65" customHeight="1" x14ac:dyDescent="0.2">
      <c r="A23" s="1280"/>
      <c r="B23" s="1281"/>
      <c r="C23" s="1282"/>
      <c r="D23" s="2435"/>
      <c r="E23" s="2435"/>
      <c r="F23" s="2435"/>
    </row>
    <row r="24" spans="1:6" ht="20.65" customHeight="1" x14ac:dyDescent="0.2">
      <c r="A24" s="1280"/>
      <c r="B24" s="1281"/>
      <c r="C24" s="1282"/>
      <c r="D24" s="2435"/>
      <c r="E24" s="2435"/>
      <c r="F24" s="2435"/>
    </row>
    <row r="25" spans="1:6" ht="20.65" customHeight="1" x14ac:dyDescent="0.2">
      <c r="A25" s="1280"/>
      <c r="B25" s="1281"/>
      <c r="C25" s="1282"/>
      <c r="D25" s="2435"/>
      <c r="E25" s="2435"/>
      <c r="F25" s="2435"/>
    </row>
    <row r="26" spans="1:6" ht="20.65" customHeight="1" x14ac:dyDescent="0.2">
      <c r="A26" s="1280"/>
      <c r="B26" s="1281"/>
      <c r="C26" s="1282"/>
      <c r="D26" s="2435"/>
      <c r="E26" s="2435"/>
      <c r="F26" s="2435"/>
    </row>
    <row r="27" spans="1:6" ht="20.65" customHeight="1" x14ac:dyDescent="0.2">
      <c r="A27" s="1280"/>
      <c r="B27" s="1281"/>
      <c r="C27" s="1282"/>
      <c r="D27" s="2435"/>
      <c r="E27" s="2435"/>
      <c r="F27" s="2435"/>
    </row>
    <row r="28" spans="1:6" ht="20.65" customHeight="1" x14ac:dyDescent="0.2">
      <c r="A28" s="1280"/>
      <c r="B28" s="1281"/>
      <c r="C28" s="1282"/>
      <c r="D28" s="2435"/>
      <c r="E28" s="2435"/>
      <c r="F28" s="2435"/>
    </row>
    <row r="29" spans="1:6" ht="20.65" customHeight="1" x14ac:dyDescent="0.2">
      <c r="A29" s="1280"/>
      <c r="B29" s="1281"/>
      <c r="C29" s="1282"/>
      <c r="D29" s="2435"/>
      <c r="E29" s="2435"/>
      <c r="F29" s="243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6" t="s">
        <v>1732</v>
      </c>
      <c r="B32" s="2436"/>
      <c r="C32" s="2436"/>
      <c r="D32" s="2436"/>
      <c r="E32" s="2436"/>
      <c r="F32" s="2436"/>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7">
        <f>+C33+C34</f>
        <v>0</v>
      </c>
      <c r="F34" s="2438"/>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9" t="s">
        <v>1590</v>
      </c>
      <c r="C49" s="2439"/>
      <c r="D49" s="2439"/>
      <c r="E49" s="1396"/>
    </row>
    <row r="50" spans="1:5" s="1297" customFormat="1" ht="3.75" customHeight="1" x14ac:dyDescent="0.2">
      <c r="A50" s="1296"/>
      <c r="B50" s="1845"/>
      <c r="C50" s="1845"/>
      <c r="D50" s="1845"/>
      <c r="E50" s="1396"/>
    </row>
    <row r="51" spans="1:5" s="1297" customFormat="1" ht="20.25" customHeight="1" x14ac:dyDescent="0.2">
      <c r="A51" s="1298">
        <v>6</v>
      </c>
      <c r="B51" s="2434" t="s">
        <v>1551</v>
      </c>
      <c r="C51" s="2434"/>
      <c r="D51" s="2434"/>
    </row>
    <row r="52" spans="1:5" ht="14.25" customHeight="1" x14ac:dyDescent="0.2">
      <c r="A52" s="1298"/>
      <c r="B52" s="2434"/>
      <c r="C52" s="2434"/>
      <c r="D52" s="2434"/>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Greenview CUSD 200</v>
      </c>
      <c r="C1" s="2458"/>
      <c r="D1" s="2458"/>
      <c r="E1" s="2458"/>
      <c r="F1" s="2458"/>
      <c r="G1" s="2458"/>
      <c r="H1" s="2458"/>
      <c r="I1" s="2458"/>
      <c r="J1" s="1406"/>
    </row>
    <row r="2" spans="2:10" s="317" customFormat="1" ht="12.75" customHeight="1" x14ac:dyDescent="0.2">
      <c r="B2" s="2459">
        <f>'Single Audit Cover'!E7</f>
        <v>51065200026</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46" t="s">
        <v>1593</v>
      </c>
      <c r="D43" s="2447"/>
      <c r="E43" s="2447"/>
      <c r="F43" s="2448"/>
      <c r="G43" s="2449">
        <f>SUM(G38:I42)</f>
        <v>0</v>
      </c>
      <c r="H43" s="2449"/>
      <c r="I43" s="2449"/>
    </row>
    <row r="44" spans="2:9" ht="12.75" customHeight="1" x14ac:dyDescent="0.2"/>
    <row r="45" spans="2:9" ht="12.75" customHeight="1" x14ac:dyDescent="0.2">
      <c r="B45" s="1419" t="s">
        <v>1841</v>
      </c>
      <c r="D45" s="2450">
        <v>0</v>
      </c>
      <c r="E45" s="245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2"/>
      <c r="F49" s="2452"/>
      <c r="G49" s="245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Greenview CUSD 200</v>
      </c>
      <c r="C1" s="2457"/>
      <c r="D1" s="2457"/>
      <c r="E1" s="2457"/>
      <c r="F1" s="2457"/>
      <c r="G1" s="2457"/>
      <c r="H1" s="2457"/>
      <c r="I1" s="2457"/>
      <c r="J1" s="2457"/>
      <c r="K1" s="2457"/>
      <c r="L1" s="1371"/>
      <c r="M1" s="1371"/>
    </row>
    <row r="2" spans="1:13" ht="12" customHeight="1" x14ac:dyDescent="0.2">
      <c r="B2" s="2459">
        <f>'Single Audit Cover'!E7</f>
        <v>51065200026</v>
      </c>
      <c r="C2" s="2459"/>
      <c r="D2" s="2459"/>
      <c r="E2" s="2459"/>
      <c r="F2" s="2459"/>
      <c r="G2" s="2459"/>
      <c r="H2" s="2459"/>
      <c r="I2" s="2459"/>
      <c r="J2" s="2459"/>
      <c r="K2" s="2459"/>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6"/>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1"/>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Greenview CUSD 200</v>
      </c>
      <c r="C1" s="2480"/>
      <c r="D1" s="2480"/>
      <c r="E1" s="2480"/>
      <c r="F1" s="2480"/>
      <c r="G1" s="2480"/>
      <c r="H1" s="2480"/>
      <c r="I1" s="2480"/>
      <c r="J1" s="2480"/>
      <c r="K1" s="2480"/>
      <c r="L1" s="1449"/>
    </row>
    <row r="2" spans="1:12" ht="12.75" customHeight="1" x14ac:dyDescent="0.2">
      <c r="B2" s="2481">
        <f>'Single Audit Cover'!E7</f>
        <v>51065200026</v>
      </c>
      <c r="C2" s="2481"/>
      <c r="D2" s="2481"/>
      <c r="E2" s="2481"/>
      <c r="F2" s="2481"/>
      <c r="G2" s="2481"/>
      <c r="H2" s="2481"/>
      <c r="I2" s="2481"/>
      <c r="J2" s="2481"/>
      <c r="K2" s="2481"/>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82" t="s">
        <v>1308</v>
      </c>
      <c r="C6" s="2482"/>
      <c r="D6" s="2482"/>
      <c r="E6" s="2482"/>
      <c r="F6" s="2482"/>
      <c r="G6" s="2482"/>
      <c r="H6" s="2482"/>
      <c r="I6" s="2482"/>
      <c r="J6" s="2482"/>
      <c r="K6" s="2482"/>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7"/>
      <c r="E14" s="2477"/>
      <c r="F14" s="2477"/>
      <c r="H14" s="1459" t="s">
        <v>1303</v>
      </c>
      <c r="I14" s="2478"/>
      <c r="J14" s="2478"/>
      <c r="K14" s="247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8"/>
      <c r="E16" s="2478"/>
      <c r="F16" s="2478"/>
      <c r="G16" s="2478"/>
      <c r="H16" s="2478"/>
      <c r="I16" s="2478"/>
      <c r="J16" s="2478"/>
      <c r="K16" s="2478"/>
      <c r="L16" s="322"/>
    </row>
    <row r="17" spans="2:12" ht="13.5" customHeight="1" x14ac:dyDescent="0.2">
      <c r="B17" s="1384" t="s">
        <v>1301</v>
      </c>
      <c r="C17" s="1384"/>
      <c r="D17" s="2479"/>
      <c r="E17" s="2479"/>
      <c r="F17" s="2479"/>
      <c r="G17" s="2479"/>
      <c r="H17" s="2479"/>
      <c r="I17" s="2479"/>
      <c r="J17" s="2479"/>
      <c r="K17" s="247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Greenview CUSD 200</v>
      </c>
      <c r="C1" s="2457"/>
      <c r="D1" s="2457"/>
      <c r="E1" s="1469"/>
    </row>
    <row r="2" spans="2:5" s="1279" customFormat="1" ht="12.75" customHeight="1" x14ac:dyDescent="0.2">
      <c r="B2" s="2459">
        <f>'Single Audit Cover'!E7</f>
        <v>51065200026</v>
      </c>
      <c r="C2" s="2459"/>
      <c r="D2" s="2459"/>
      <c r="E2" s="1470"/>
    </row>
    <row r="3" spans="2:5" ht="12.75" customHeight="1" x14ac:dyDescent="0.2">
      <c r="B3" s="2473" t="s">
        <v>1766</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purl.org/dc/terms/"/>
    <ds:schemaRef ds:uri="http://www.w3.org/XML/1998/namespace"/>
    <ds:schemaRef ds:uri="http://schemas.microsoft.com/office/2006/documentManagement/types"/>
    <ds:schemaRef ds:uri="d21dc803-237d-4c68-8692-8d731fd29118"/>
    <ds:schemaRef ds:uri="4d435f69-8686-490b-bd6d-b153bf22ab50"/>
    <ds:schemaRef ds:uri="http://schemas.microsoft.com/sharepoint/v3"/>
    <ds:schemaRef ds:uri="http://schemas.microsoft.com/office/infopath/2007/PartnerControls"/>
    <ds:schemaRef ds:uri="http://schemas.microsoft.com/office/2006/metadata/properties"/>
    <ds:schemaRef ds:uri="http://schemas.openxmlformats.org/package/2006/metadata/core-properties"/>
    <ds:schemaRef ds:uri="6ce3111e-7420-4802-b50a-75d4e9a0b980"/>
    <ds:schemaRef ds:uri="http://purl.org/dc/elements/1.1/"/>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2019-10-15T14:37:02Z</cp:lastPrinted>
  <dcterms:created xsi:type="dcterms:W3CDTF">2003-10-29T19:06:34Z</dcterms:created>
  <dcterms:modified xsi:type="dcterms:W3CDTF">2019-12-19T14:45:45Z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