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2B0C180A-CCC0-48EB-8196-D2B941028779}"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12" i="127" l="1"/>
  <c r="F24" i="179" l="1"/>
  <c r="F17" i="183"/>
  <c r="F11" i="184" s="1"/>
  <c r="I17" i="183"/>
  <c r="L17" i="183" s="1"/>
  <c r="G11" i="184"/>
  <c r="E11" i="184"/>
  <c r="E14" i="183"/>
  <c r="F13" i="183"/>
  <c r="F14" i="183" s="1"/>
  <c r="G13" i="183"/>
  <c r="I13" i="183"/>
  <c r="I14" i="183" s="1"/>
  <c r="E13" i="183"/>
  <c r="E12" i="183"/>
  <c r="F21" i="179"/>
  <c r="F25" i="179" s="1"/>
  <c r="G21" i="179"/>
  <c r="G25" i="179" s="1"/>
  <c r="I21" i="179"/>
  <c r="I25" i="179" s="1"/>
  <c r="E21" i="179"/>
  <c r="E25" i="179" s="1"/>
  <c r="L27" i="184"/>
  <c r="L26" i="184"/>
  <c r="L25" i="184"/>
  <c r="L24" i="184"/>
  <c r="L23" i="184"/>
  <c r="L22" i="184"/>
  <c r="L21" i="184"/>
  <c r="L20" i="184"/>
  <c r="L19" i="184"/>
  <c r="L18" i="184"/>
  <c r="L17" i="184"/>
  <c r="L16" i="184"/>
  <c r="L15" i="184"/>
  <c r="L14" i="184"/>
  <c r="L12" i="184"/>
  <c r="B4" i="184"/>
  <c r="L27" i="183"/>
  <c r="L26" i="183"/>
  <c r="L25" i="183"/>
  <c r="L24" i="183"/>
  <c r="L23" i="183"/>
  <c r="L22" i="183"/>
  <c r="L21" i="183"/>
  <c r="L20" i="183"/>
  <c r="L19" i="183"/>
  <c r="L18" i="183"/>
  <c r="L16" i="183"/>
  <c r="L15" i="183"/>
  <c r="L12" i="183"/>
  <c r="L11" i="183"/>
  <c r="B4" i="183"/>
  <c r="I11" i="184" l="1"/>
  <c r="E13" i="184"/>
  <c r="I13" i="184"/>
  <c r="L13" i="183"/>
  <c r="G14" i="183"/>
  <c r="L14" i="183" s="1"/>
  <c r="F13" i="184"/>
  <c r="L11" i="184"/>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G13" i="184" l="1"/>
  <c r="L13" i="184" s="1"/>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4"/>
  <c r="B2" i="183"/>
  <c r="B1" i="184"/>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D7768" i="106" s="1"/>
  <c r="B7766" i="106"/>
  <c r="B7765" i="106"/>
  <c r="D7765" i="106" s="1"/>
  <c r="B7764" i="106"/>
  <c r="D7764" i="106" s="1"/>
  <c r="J85" i="28"/>
  <c r="B7758" i="106" s="1"/>
  <c r="D7758" i="106" s="1"/>
  <c r="J88" i="28"/>
  <c r="K6" i="29"/>
  <c r="B7763" i="106" s="1"/>
  <c r="D7763" i="106" s="1"/>
  <c r="B7762" i="106"/>
  <c r="K12" i="12"/>
  <c r="K23" i="12"/>
  <c r="J12" i="12"/>
  <c r="B7718" i="106" s="1"/>
  <c r="D7718" i="106" s="1"/>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B2977" i="106" s="1"/>
  <c r="D2977" i="106" s="1"/>
  <c r="K83" i="29"/>
  <c r="B2978" i="106" s="1"/>
  <c r="D2978" i="106" s="1"/>
  <c r="K93" i="29"/>
  <c r="K94" i="29"/>
  <c r="B6999" i="106" s="1"/>
  <c r="D6999" i="106" s="1"/>
  <c r="K95" i="29"/>
  <c r="B7001" i="106" s="1"/>
  <c r="D7001" i="106" s="1"/>
  <c r="K96" i="29"/>
  <c r="B7003" i="106" s="1"/>
  <c r="D7003" i="106" s="1"/>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5" i="106"/>
  <c r="D7005"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E26" i="108"/>
  <c r="E27" i="108"/>
  <c r="G27" i="108"/>
  <c r="G28" i="108"/>
  <c r="D36" i="108"/>
  <c r="E31" i="108"/>
  <c r="G31" i="108"/>
  <c r="E33" i="108"/>
  <c r="G33"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C67" i="34"/>
  <c r="D67" i="34"/>
  <c r="C68" i="34"/>
  <c r="D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G14" i="4" l="1"/>
  <c r="B2609" i="106" s="1"/>
  <c r="D2609" i="106" s="1"/>
  <c r="F72" i="34"/>
  <c r="H112" i="29"/>
  <c r="B7018" i="106" s="1"/>
  <c r="D7018" i="106" s="1"/>
  <c r="L15" i="11"/>
  <c r="B3459" i="106" s="1"/>
  <c r="D3459" i="106" s="1"/>
  <c r="B7231" i="106"/>
  <c r="D7231" i="106" s="1"/>
  <c r="F36" i="34"/>
  <c r="F56" i="34"/>
  <c r="F46" i="34"/>
  <c r="C342" i="29"/>
  <c r="B7216" i="106" s="1"/>
  <c r="D7216" i="106" s="1"/>
  <c r="I210" i="29"/>
  <c r="B7071" i="106" s="1"/>
  <c r="D7071" i="106" s="1"/>
  <c r="C352" i="29"/>
  <c r="K76" i="4"/>
  <c r="B3586" i="106" s="1"/>
  <c r="D3586" i="106" s="1"/>
  <c r="D54" i="36"/>
  <c r="F38" i="34"/>
  <c r="B7047" i="106"/>
  <c r="D7047" i="106" s="1"/>
  <c r="D24" i="37"/>
  <c r="B4270" i="106" s="1"/>
  <c r="D4270" i="106" s="1"/>
  <c r="F69" i="34"/>
  <c r="G34" i="108"/>
  <c r="B6289" i="106"/>
  <c r="D6289" i="106" s="1"/>
  <c r="B1126" i="106"/>
  <c r="D1126" i="106" s="1"/>
  <c r="B7074" i="106"/>
  <c r="D7074" i="106" s="1"/>
  <c r="F71" i="34"/>
  <c r="F26" i="108"/>
  <c r="B3647" i="106"/>
  <c r="D3647" i="106" s="1"/>
  <c r="F34" i="34"/>
  <c r="J367" i="29"/>
  <c r="B7245" i="106" s="1"/>
  <c r="B7235" i="106"/>
  <c r="D7235" i="106" s="1"/>
  <c r="G26" i="108"/>
  <c r="D17" i="7"/>
  <c r="B4104" i="106" s="1"/>
  <c r="D4104" i="106" s="1"/>
  <c r="D68" i="36"/>
  <c r="B281" i="106"/>
  <c r="D281" i="106" s="1"/>
  <c r="F44" i="34"/>
  <c r="F37" i="34"/>
  <c r="H76" i="4"/>
  <c r="B3298" i="106" s="1"/>
  <c r="D3298" i="106" s="1"/>
  <c r="B1274" i="106"/>
  <c r="D1274" i="106" s="1"/>
  <c r="B1124" i="106"/>
  <c r="D1124" i="106" s="1"/>
  <c r="G15" i="145"/>
  <c r="F68" i="34"/>
  <c r="E30" i="108"/>
  <c r="D22" i="37"/>
  <c r="F36" i="108"/>
  <c r="H365" i="29"/>
  <c r="B7242" i="106" s="1"/>
  <c r="D7242" i="106" s="1"/>
  <c r="J210" i="29"/>
  <c r="B7072" i="106" s="1"/>
  <c r="D7072" i="106" s="1"/>
  <c r="B2724" i="106"/>
  <c r="D2724" i="106" s="1"/>
  <c r="J22" i="37"/>
  <c r="H33" i="118"/>
  <c r="J77" i="4"/>
  <c r="B6262" i="106" s="1"/>
  <c r="D6262" i="106" s="1"/>
  <c r="F77" i="4"/>
  <c r="B3255" i="106" s="1"/>
  <c r="D3255" i="106" s="1"/>
  <c r="B2836" i="106"/>
  <c r="D2836" i="106" s="1"/>
  <c r="B4211" i="106"/>
  <c r="D4211" i="106" s="1"/>
  <c r="B6995" i="106"/>
  <c r="D6995" i="106" s="1"/>
  <c r="F52" i="34"/>
  <c r="G30" i="108"/>
  <c r="D27" i="108"/>
  <c r="L13" i="11"/>
  <c r="B2060" i="106" s="1"/>
  <c r="D2060" i="106" s="1"/>
  <c r="D69" i="36"/>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B3622" i="106" s="1"/>
  <c r="D3622" i="106" s="1"/>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2" i="106" l="1"/>
  <c r="D7255" i="106"/>
  <c r="D7251" i="106"/>
  <c r="D7256" i="106"/>
  <c r="B5527" i="106"/>
  <c r="D5527" i="106" s="1"/>
  <c r="N23" i="3"/>
  <c r="B284" i="106" s="1"/>
  <c r="D284" i="106" s="1"/>
  <c r="L114" i="29"/>
  <c r="B1317" i="106"/>
  <c r="D1317" i="106" s="1"/>
  <c r="D52" i="36"/>
  <c r="D41" i="108"/>
  <c r="E43" i="108"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43" i="106" l="1"/>
  <c r="D7243" i="106" s="1"/>
  <c r="K367" i="29"/>
  <c r="B7224" i="106"/>
  <c r="D7224" i="106" s="1"/>
  <c r="B1145" i="106"/>
  <c r="D1145" i="106" s="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J20" i="4"/>
  <c r="B6223" i="106"/>
  <c r="D6223" i="106" s="1"/>
  <c r="B6227" i="106"/>
  <c r="D6227" i="106" s="1"/>
  <c r="J19" i="4"/>
  <c r="B6229" i="106" s="1"/>
  <c r="D6229" i="106" s="1"/>
  <c r="D8" i="146"/>
  <c r="K17" i="4"/>
  <c r="B3575" i="106" s="1"/>
  <c r="D357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20" i="4" l="1"/>
  <c r="K19" i="4"/>
  <c r="B4144" i="106" s="1"/>
  <c r="D4144"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F175" i="34"/>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B3239" i="106"/>
  <c r="D3239" i="106" s="1"/>
  <c r="F177" i="34" l="1"/>
  <c r="F179"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<sst xmlns="http://schemas.openxmlformats.org/spreadsheetml/2006/main" count="5265" uniqueCount="2159">
  <si>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</si>
  <si>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</si>
  <si>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</si>
  <si>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</si>
  <si>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</si>
  <si>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</si>
  <si>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</si>
  <si>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</si>
  <si>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</si>
  <si>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</si>
  <si>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</si>
  <si>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</si>
  <si>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</si>
  <si>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</si>
  <si>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</si>
  <si>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</si>
  <si>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</si>
  <si>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</si>
  <si>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</si>
  <si>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</si>
  <si>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</si>
  <si>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</si>
  <si>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</si>
  <si>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</si>
  <si>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</si>
  <si>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</si>
  <si>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</si>
  <si>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</si>
  <si>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</si>
  <si>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</si>
  <si>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</si>
  <si>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</si>
  <si>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</si>
  <si>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</si>
  <si>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</si>
  <si>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</si>
  <si>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</si>
  <si>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</si>
  <si>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</si>
  <si>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</si>
  <si>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</si>
  <si>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</si>
  <si>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</si>
  <si>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</si>
  <si>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</si>
  <si>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</si>
  <si>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</si>
  <si>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</si>
  <si>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</si>
  <si>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</si>
  <si>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</si>
  <si>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</si>
  <si>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</si>
  <si>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</si>
  <si>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</si>
  <si>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</si>
  <si>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</si>
  <si>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</si>
  <si>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</si>
  <si>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</si>
  <si>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</si>
  <si>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</si>
  <si>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</si>
  <si>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</si>
  <si>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</si>
  <si>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</si>
  <si>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</si>
  <si>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</si>
  <si>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</si>
  <si>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</si>
  <si>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</si>
  <si>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</si>
  <si>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</si>
  <si>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</si>
  <si>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</si>
  <si>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</si>
  <si>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</si>
  <si>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</si>
  <si>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</si>
  <si>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</si>
  <si>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</si>
  <si>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</si>
  <si>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</si>
  <si>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</si>
  <si>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</si>
  <si>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</si>
  <si>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</si>
  <si>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</si>
  <si>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</si>
  <si>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</si>
  <si>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</si>
  <si>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</si>
  <si>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</si>
  <si>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</si>
  <si>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</si>
  <si>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</si>
  <si>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</si>
  <si>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</si>
  <si>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</si>
  <si>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</si>
  <si>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</si>
  <si>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</si>
  <si>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</si>
  <si>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</si>
  <si>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</si>
  <si>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</si>
  <si>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</si>
  <si>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</si>
  <si>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</si>
  <si>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</si>
  <si>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</si>
  <si>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</si>
  <si>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</si>
  <si>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</si>
  <si>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</si>
  <si>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</si>
  <si>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</si>
  <si>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</si>
  <si>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</si>
  <si>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</si>
  <si>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</si>
  <si>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</si>
  <si>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</si>
  <si>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</si>
  <si>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</si>
  <si>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</si>
  <si>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</si>
  <si>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</si>
  <si>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</si>
  <si>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</si>
  <si>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</si>
  <si>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</si>
  <si>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</si>
  <si>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</si>
  <si>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</si>
  <si>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</si>
  <si>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</si>
  <si>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</si>
  <si>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</si>
  <si>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</si>
  <si>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</si>
  <si>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</si>
  <si>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</si>
  <si>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</si>
  <si>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</si>
  <si>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</si>
  <si>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</si>
  <si>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</si>
  <si>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</si>
  <si>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</si>
  <si>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</si>
  <si>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</si>
  <si>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</si>
  <si>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</si>
  <si>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</si>
  <si>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</si>
  <si>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</si>
  <si>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</si>
  <si>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</si>
  <si>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</si>
  <si>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</si>
  <si>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</si>
  <si>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</si>
  <si>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</si>
  <si>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</si>
  <si>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</si>
  <si>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</si>
  <si>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</si>
  <si>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</si>
  <si>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</si>
  <si>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</si>
  <si>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</si>
  <si>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</si>
  <si>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</si>
  <si>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</si>
  <si>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</si>
  <si>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</si>
  <si>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</si>
  <si>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</si>
  <si>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</si>
  <si>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</si>
  <si>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</si>
  <si>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</si>
  <si>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</si>
  <si>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</si>
  <si>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</si>
  <si>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</si>
  <si>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</si>
  <si>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</si>
  <si>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</si>
  <si>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</si>
  <si>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</si>
  <si>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</si>
  <si>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</si>
  <si>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</si>
  <si>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</si>
  <si>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</si>
  <si>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</si>
  <si>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</si>
  <si>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</si>
  <si>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</si>
  <si>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</si>
  <si>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</si>
  <si>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</si>
  <si>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</si>
  <si>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</si>
  <si>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</si>
  <si>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</si>
  <si>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</si>
  <si>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</si>
  <si>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</si>
  <si>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</si>
  <si>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</si>
  <si>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</si>
  <si>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</si>
  <si>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</si>
  <si>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</si>
  <si>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</si>
  <si>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</si>
  <si>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</si>
  <si>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</si>
  <si>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</si>
  <si>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</si>
  <si>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</si>
  <si>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</si>
  <si>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</si>
  <si>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</si>
  <si>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</si>
  <si>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</si>
  <si>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</si>
  <si>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</si>
  <si>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</si>
  <si>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</si>
  <si>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</si>
  <si>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</si>
  <si>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</si>
  <si>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</si>
  <si>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</si>
  <si>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</si>
  <si>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</si>
  <si>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</si>
  <si>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</si>
  <si>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</si>
  <si>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</si>
  <si>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</si>
  <si>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</si>
  <si>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</si>
  <si>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</si>
  <si>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</si>
  <si>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</si>
  <si>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</si>
  <si>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</si>
  <si>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</si>
  <si>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</si>
  <si>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</si>
  <si>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</si>
  <si>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</si>
  <si>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</si>
  <si>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</si>
  <si>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</si>
  <si>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</si>
  <si>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</si>
  <si>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</si>
  <si>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</si>
  <si>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</si>
  <si>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</si>
  <si>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</si>
  <si>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</si>
  <si>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</si>
  <si>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</si>
  <si>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</si>
  <si>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</si>
  <si>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</si>
  <si>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</si>
  <si>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</si>
  <si>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</si>
  <si>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</si>
  <si>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</si>
  <si>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</si>
  <si>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</si>
  <si>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</si>
  <si>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</si>
  <si>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</si>
  <si>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</si>
  <si>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</si>
  <si>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</si>
  <si>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</si>
  <si>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</si>
  <si>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</si>
  <si>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</si>
  <si>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</si>
  <si>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</si>
  <si>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</si>
  <si>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</si>
  <si>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</si>
  <si>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</si>
  <si>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</si>
  <si>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</si>
  <si>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</si>
  <si>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</si>
  <si>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</si>
  <si>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</si>
  <si>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</si>
  <si>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</si>
  <si>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</si>
  <si>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</si>
  <si>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</si>
  <si>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</si>
  <si>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</si>
  <si>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</si>
  <si>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</si>
  <si>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</si>
  <si>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</si>
  <si>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</si>
  <si>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</si>
  <si>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</si>
  <si>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</si>
  <si>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</si>
  <si>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</si>
  <si>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</si>
  <si>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</si>
  <si>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</si>
  <si>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</si>
  <si>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</si>
  <si>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</si>
  <si>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</si>
  <si>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</si>
  <si>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</si>
  <si>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</si>
  <si>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</si>
  <si>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</si>
  <si>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</si>
  <si>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</si>
  <si>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</si>
  <si>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</si>
  <si>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</si>
  <si>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</si>
  <si>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</si>
  <si>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</si>
  <si>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</si>
  <si>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</si>
  <si>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</si>
  <si>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</si>
  <si>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</si>
  <si>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</si>
  <si>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</si>
  <si>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</si>
  <si>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</si>
  <si>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</si>
  <si>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</si>
  <si>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</si>
  <si>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</si>
  <si>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</si>
  <si>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</si>
  <si>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</si>
  <si>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</si>
  <si>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</si>
  <si>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</si>
  <si>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</si>
  <si>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</si>
  <si>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</si>
  <si>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</si>
  <si>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</si>
  <si>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</si>
  <si>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</si>
  <si>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</si>
  <si>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</si>
  <si>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</si>
  <si>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</si>
  <si>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</si>
  <si>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</si>
  <si>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</si>
  <si>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</si>
  <si>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</si>
  <si>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</si>
  <si>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</si>
  <si>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</si>
  <si>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</si>
  <si>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</si>
  <si>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</si>
  <si>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</si>
  <si>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</si>
  <si>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</si>
  <si>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</si>
  <si>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</si>
  <si>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</si>
  <si>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</si>
  <si>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</si>
  <si>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</si>
  <si>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</si>
  <si>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</si>
  <si>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</si>
  <si>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</si>
  <si>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</si>
  <si>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</si>
  <si>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</si>
  <si>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</si>
  <si>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</si>
  <si>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</si>
  <si>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</si>
  <si>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</si>
  <si>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</si>
  <si>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</si>
  <si>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</si>
  <si>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</si>
  <si>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</si>
  <si>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</si>
  <si>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</si>
  <si>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</si>
  <si>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</si>
  <si>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</si>
  <si>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</si>
  <si>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</si>
  <si>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</si>
  <si>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</si>
  <si>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</si>
  <si>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</si>
  <si>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</si>
  <si>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</si>
  <si>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</si>
  <si>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</si>
  <si>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</si>
  <si>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</si>
  <si>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</si>
  <si>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</si>
  <si>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</si>
  <si>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</si>
  <si>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</si>
  <si>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</si>
  <si>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</si>
  <si>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</si>
  <si>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</si>
  <si>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</si>
  <si>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</si>
  <si>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</si>
  <si>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</si>
  <si>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</si>
  <si>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</si>
  <si>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</si>
  <si>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</si>
  <si>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</si>
  <si>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</si>
  <si>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</si>
  <si>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</si>
  <si>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</si>
  <si>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</si>
  <si>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</si>
  <si>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</si>
  <si>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</si>
  <si>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</si>
  <si>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</si>
  <si>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</si>
  <si>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</si>
  <si>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</si>
  <si>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</si>
  <si>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</si>
  <si>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</si>
  <si>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</si>
  <si>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</si>
  <si>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</si>
  <si>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</si>
  <si>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</si>
  <si>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</si>
  <si>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</si>
  <si>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</si>
  <si>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</si>
  <si>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</si>
  <si>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</si>
  <si>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</si>
  <si>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</si>
  <si>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</si>
  <si>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</si>
  <si>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</si>
  <si>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</si>
  <si>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</si>
  <si>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</si>
  <si>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</si>
  <si>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</si>
  <si>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</si>
  <si>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</si>
  <si>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</si>
  <si>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</si>
  <si>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</si>
  <si>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</si>
  <si>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</si>
  <si>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</si>
  <si>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</si>
  <si>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</si>
  <si>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</si>
  <si>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</si>
  <si>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</si>
  <si>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</si>
  <si>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</si>
  <si>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</si>
  <si>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</si>
  <si>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</si>
  <si>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</si>
  <si>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</si>
  <si>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</si>
  <si>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</si>
  <si>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</si>
  <si>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</si>
  <si>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</si>
  <si>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</si>
  <si>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</si>
  <si>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</si>
  <si>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</si>
  <si>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</si>
  <si>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</si>
  <si>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</si>
  <si>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</si>
  <si>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</si>
  <si>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</si>
  <si>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</si>
  <si>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</si>
  <si>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</si>
  <si>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</si>
  <si>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</si>
  <si>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</si>
  <si>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</si>
  <si>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</si>
  <si>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</si>
  <si>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</si>
  <si>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</si>
  <si>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</si>
  <si>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</si>
  <si>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</si>
  <si>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</si>
  <si>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</si>
  <si>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</si>
  <si>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</si>
  <si>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</si>
  <si>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</si>
  <si>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</si>
  <si>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</si>
  <si>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</si>
  <si>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</si>
  <si>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</si>
  <si>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</si>
  <si>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</si>
  <si>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</si>
  <si>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</si>
  <si>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</si>
  <si>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</si>
  <si>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</si>
  <si>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</si>
  <si>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</si>
  <si>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</si>
  <si>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</si>
  <si>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</si>
  <si>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</si>
  <si>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</si>
  <si>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</si>
  <si>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</si>
  <si>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</si>
  <si>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</si>
  <si>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</si>
  <si>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</si>
  <si>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</si>
  <si>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</si>
  <si>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</si>
  <si>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</si>
  <si>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</si>
  <si>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</si>
  <si>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</si>
  <si>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</si>
  <si>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</si>
  <si>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</si>
  <si>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</si>
  <si>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</si>
  <si>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</si>
  <si>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</si>
  <si>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</si>
  <si>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</si>
  <si>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</si>
  <si>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</si>
  <si>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</si>
  <si>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</si>
  <si>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</si>
  <si>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</si>
  <si>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</si>
  <si>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</si>
  <si>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</si>
  <si>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</si>
  <si>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</si>
  <si>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</si>
  <si>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</si>
  <si>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</si>
  <si>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</si>
  <si>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</si>
  <si>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</si>
  <si>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</si>
  <si>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</si>
  <si>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</si>
  <si>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</si>
  <si>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</si>
  <si>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</si>
  <si>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</si>
  <si>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</si>
  <si>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</si>
  <si>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</si>
  <si>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</si>
  <si>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</si>
  <si>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</si>
  <si>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</si>
  <si>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</si>
  <si>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</si>
  <si>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</si>
  <si>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</si>
  <si>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</si>
  <si>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</si>
  <si>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</si>
  <si>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</si>
  <si>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</si>
  <si>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</si>
  <si>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</si>
  <si>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</si>
  <si>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</si>
  <si>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</si>
  <si>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</si>
  <si>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</si>
  <si>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</si>
  <si>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</si>
  <si>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</si>
  <si>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</si>
  <si>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</si>
  <si>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</si>
  <si>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</si>
  <si>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</si>
  <si>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</si>
  <si>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</si>
  <si>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</si>
  <si>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</si>
  <si>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</si>
  <si>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</si>
  <si>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</si>
  <si>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</si>
  <si>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</si>
  <si>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</si>
  <si>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</si>
  <si>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</si>
  <si>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</si>
  <si>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</si>
  <si>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</si>
  <si>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</si>
  <si>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</si>
  <si>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</si>
  <si>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</si>
  <si>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</si>
  <si>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</si>
  <si>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</si>
  <si>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</si>
  <si>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</si>
  <si>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</si>
  <si>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</si>
  <si>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</si>
  <si>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</si>
  <si>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</si>
  <si>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</si>
  <si>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</si>
  <si>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</si>
  <si>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</si>
  <si>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</si>
  <si>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</si>
  <si>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</si>
  <si>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</si>
  <si>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</si>
  <si>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</si>
  <si>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</si>
  <si>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</si>
  <si>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</si>
  <si>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</si>
  <si>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</si>
  <si>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</si>
  <si>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</si>
  <si>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</si>
  <si>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</si>
  <si>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</si>
  <si>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</si>
  <si>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</si>
  <si>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</si>
  <si>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</si>
  <si>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</si>
  <si>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</si>
  <si>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</si>
  <si>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</si>
  <si>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</si>
  <si>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</si>
  <si>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</si>
  <si>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</si>
  <si>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</si>
  <si>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</si>
  <si>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</si>
  <si>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</si>
  <si>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</si>
  <si>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</si>
  <si>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</si>
  <si>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</si>
  <si>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</si>
  <si>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</si>
  <si>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</si>
  <si>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</si>
  <si>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</si>
  <si>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</si>
  <si>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</si>
  <si>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</si>
  <si>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</si>
  <si>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</si>
  <si>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</si>
  <si>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</si>
  <si>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</si>
  <si>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</si>
  <si>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</si>
  <si>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</si>
  <si>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</si>
  <si>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</si>
  <si>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</si>
  <si>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</si>
  <si>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</si>
  <si>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</si>
  <si>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</si>
  <si>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</si>
  <si>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</si>
  <si>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</si>
  <si>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</si>
  <si>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</si>
  <si>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</si>
  <si>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</si>
  <si>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</si>
  <si>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</si>
  <si>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</si>
  <si>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</si>
  <si>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</si>
  <si>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</si>
  <si>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</si>
  <si>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</si>
  <si>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</si>
  <si>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</si>
  <si>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</si>
  <si>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</si>
  <si>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</si>
  <si>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</si>
  <si>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</si>
  <si>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</si>
  <si>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</si>
  <si>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</si>
  <si>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</si>
  <si>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</si>
  <si>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</si>
  <si>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</si>
  <si>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</si>
  <si>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</si>
  <si>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</si>
  <si>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</si>
  <si>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</si>
  <si>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</si>
  <si>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</si>
  <si>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</si>
  <si>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</si>
  <si>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</si>
  <si>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</si>
  <si>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</si>
  <si>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</si>
  <si>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</si>
  <si>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</si>
  <si>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</si>
  <si>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</si>
  <si>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</si>
  <si>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</si>
  <si>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</si>
  <si>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</si>
  <si>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</si>
  <si>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</si>
  <si>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</si>
  <si>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</si>
  <si>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</si>
  <si>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</si>
  <si>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</si>
  <si>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</si>
  <si>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</si>
  <si>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</si>
  <si>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</si>
  <si>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</si>
  <si>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</si>
  <si>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</si>
  <si>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</si>
  <si>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</si>
  <si>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</si>
  <si>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</si>
  <si>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</si>
  <si>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</si>
  <si>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</si>
  <si>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</si>
  <si>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</si>
  <si>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</si>
  <si>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</si>
  <si>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</si>
  <si>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</si>
  <si>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</si>
  <si>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</si>
  <si>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</si>
  <si>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</si>
  <si>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</si>
  <si>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</si>
  <si>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</si>
  <si>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</si>
  <si>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</si>
  <si>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</si>
  <si>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</si>
  <si>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</si>
  <si>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</si>
  <si>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</si>
  <si>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</si>
  <si>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</si>
  <si>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</si>
  <si>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</si>
  <si>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</si>
  <si>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</si>
  <si>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</si>
  <si>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</si>
  <si>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</si>
  <si>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</si>
  <si>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</si>
  <si>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</si>
  <si>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</si>
  <si>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</si>
  <si>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</si>
  <si>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</si>
  <si>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</si>
  <si>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</si>
  <si>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</si>
  <si>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</si>
  <si>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</si>
  <si>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</si>
  <si>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</si>
  <si>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</si>
  <si>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</si>
  <si>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</si>
  <si>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</si>
  <si>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</si>
  <si>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</si>
  <si>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</si>
  <si>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</si>
  <si>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</si>
  <si>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</si>
  <si>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</si>
  <si>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</si>
  <si>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</si>
  <si>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</si>
  <si>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</si>
  <si>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</si>
  <si>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</si>
  <si>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</si>
  <si>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</si>
  <si>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</si>
  <si>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</si>
  <si>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</si>
  <si>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</si>
  <si>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</si>
  <si>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</si>
  <si>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</si>
  <si>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</si>
  <si>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</si>
  <si>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</si>
  <si>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</si>
  <si>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</si>
  <si>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</si>
  <si>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</si>
  <si>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</si>
  <si>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</si>
  <si>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</si>
  <si>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</si>
  <si>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</si>
  <si>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</si>
  <si>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</si>
  <si>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</si>
  <si>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</si>
  <si>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</si>
  <si>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</si>
  <si>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</si>
  <si>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</si>
  <si>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</si>
  <si>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</si>
  <si>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</si>
  <si>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</si>
  <si>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</si>
  <si>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</si>
  <si>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</si>
  <si>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</si>
  <si>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</si>
  <si>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</si>
  <si>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</si>
  <si>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</si>
  <si>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</si>
  <si>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</si>
  <si>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</si>
  <si>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</si>
  <si>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</si>
  <si>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</si>
  <si>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</si>
  <si>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</si>
  <si>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</si>
  <si>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</si>
  <si>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</si>
  <si>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</si>
  <si>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</si>
  <si>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</si>
  <si>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</si>
  <si>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</si>
  <si>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</si>
  <si>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</si>
  <si>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</si>
  <si>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</si>
  <si>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</si>
  <si>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</si>
  <si>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</si>
  <si>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</si>
  <si>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</si>
  <si>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</si>
  <si>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</si>
  <si>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</si>
  <si>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</si>
  <si>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</si>
  <si>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</si>
  <si>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</si>
  <si>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</si>
  <si>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</si>
  <si>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</si>
  <si>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</si>
  <si>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</si>
  <si>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</si>
  <si>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</si>
  <si>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</si>
  <si>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</si>
  <si>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</si>
  <si>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</si>
  <si>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</si>
  <si>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</si>
  <si>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</si>
  <si>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</si>
  <si>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</si>
  <si>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</si>
  <si>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</si>
  <si>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</si>
  <si>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</si>
  <si>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</si>
  <si>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</si>
  <si>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</si>
  <si>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</si>
  <si>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</si>
  <si>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</si>
  <si>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</si>
  <si>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</si>
  <si>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</si>
  <si>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</si>
  <si>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</si>
  <si>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</si>
  <si>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</si>
  <si>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</si>
  <si>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</si>
  <si>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</si>
  <si>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</si>
  <si>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</si>
  <si>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</si>
  <si>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</si>
  <si>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</si>
  <si>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</si>
  <si>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</si>
  <si>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</si>
  <si>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</si>
  <si>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</si>
  <si>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</si>
  <si>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</si>
  <si>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</si>
  <si>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</si>
  <si>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</si>
  <si>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</si>
  <si>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</si>
  <si>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</si>
  <si>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</si>
  <si>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</si>
  <si>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</si>
  <si>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</si>
  <si>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</si>
  <si>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</si>
  <si>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</si>
  <si>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</si>
  <si>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</si>
  <si>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</si>
  <si>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</si>
  <si>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</si>
  <si>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</si>
  <si>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</si>
  <si>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</si>
  <si>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</si>
  <si>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</si>
  <si>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</si>
  <si>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</si>
  <si>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</si>
  <si>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</si>
  <si>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</si>
  <si>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</si>
  <si>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</si>
  <si>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</si>
  <si>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</si>
  <si>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</si>
  <si>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</si>
  <si>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</si>
  <si>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</si>
  <si>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</si>
  <si>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</si>
  <si>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</si>
  <si>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</si>
  <si>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</si>
  <si>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</si>
  <si>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</si>
  <si>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</si>
  <si>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</si>
  <si>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</si>
  <si>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</si>
  <si>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</si>
  <si>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</si>
  <si>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</si>
  <si>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</si>
  <si>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</si>
  <si>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</si>
  <si>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</si>
  <si>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</si>
  <si>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</si>
  <si>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</si>
  <si>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</si>
  <si>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</si>
  <si>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</si>
  <si>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</si>
  <si>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</si>
  <si>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</si>
  <si>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</si>
  <si>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</si>
  <si>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</si>
  <si>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</si>
  <si>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</si>
  <si>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</si>
  <si>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</si>
  <si>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</si>
  <si>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</si>
  <si>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</si>
  <si>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</si>
  <si>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</si>
  <si>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</si>
  <si>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</si>
  <si>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</si>
  <si>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</si>
  <si>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</si>
  <si>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</si>
  <si>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</si>
  <si>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</si>
  <si>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</si>
  <si>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</si>
  <si>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</si>
  <si>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</si>
  <si>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</si>
  <si>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</si>
  <si>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</si>
  <si>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</si>
  <si>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</si>
  <si>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</si>
  <si>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</si>
  <si>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</si>
  <si>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</si>
  <si>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</si>
  <si>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</si>
  <si>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</si>
  <si>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</si>
  <si>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</si>
  <si>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</si>
  <si>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</si>
  <si>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</si>
  <si>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</si>
  <si>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</si>
  <si>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</si>
  <si>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</si>
  <si>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</si>
  <si>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</si>
  <si>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</si>
  <si>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</si>
  <si>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</si>
  <si>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</si>
  <si>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</si>
  <si>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</si>
  <si>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</si>
  <si>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</si>
  <si>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</si>
  <si>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</si>
  <si>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</si>
  <si>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</si>
  <si>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</si>
  <si>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</si>
  <si>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</si>
  <si>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</si>
  <si>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</si>
  <si>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</si>
  <si>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</si>
  <si>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</si>
  <si>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</si>
  <si>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</si>
  <si>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</si>
  <si>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</si>
  <si>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</si>
  <si>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</si>
  <si>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</si>
  <si>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</si>
  <si>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</si>
  <si>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</si>
  <si>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</si>
  <si>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</si>
  <si>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</si>
  <si>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</si>
  <si>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</si>
  <si>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</si>
  <si>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</si>
  <si>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</si>
  <si>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</si>
  <si>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</si>
  <si>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</si>
  <si>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</si>
  <si>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</si>
  <si>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</si>
  <si>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</si>
  <si>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</si>
  <si>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</si>
  <si>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</si>
  <si>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</si>
  <si>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</si>
  <si>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</si>
  <si>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</si>
  <si>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</si>
  <si>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</si>
  <si>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</si>
  <si>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</si>
  <si>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</si>
  <si>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</si>
  <si>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</si>
  <si>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</si>
  <si>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</si>
  <si>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</si>
  <si>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</si>
  <si>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</si>
  <si>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</si>
  <si>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</si>
  <si>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</si>
  <si>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</si>
  <si>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</si>
  <si>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</si>
  <si>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</si>
  <si>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</si>
  <si>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</si>
  <si>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</si>
  <si>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</si>
  <si>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</si>
  <si>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</si>
  <si>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</si>
  <si>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</si>
  <si>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</si>
  <si>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</si>
  <si>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</si>
  <si>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</si>
  <si>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</si>
  <si>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</si>
  <si>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</si>
  <si>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</si>
  <si>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</si>
  <si>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</si>
  <si>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</si>
  <si>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</si>
  <si>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</si>
  <si>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</si>
  <si>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</si>
  <si>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</si>
  <si>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</si>
  <si>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</si>
  <si>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</si>
  <si>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</si>
  <si>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</si>
  <si>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</si>
  <si>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</si>
  <si>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</si>
  <si>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</si>
  <si>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</si>
  <si>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</si>
  <si>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</si>
  <si>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</si>
  <si>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</si>
  <si>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</si>
  <si>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</si>
  <si>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</si>
  <si>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</si>
  <si>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</si>
  <si>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</si>
  <si>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</si>
  <si>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</si>
  <si>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</si>
  <si>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</si>
  <si>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</si>
  <si>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</si>
  <si>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</si>
  <si>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</si>
  <si>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</si>
  <si>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</si>
  <si>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</si>
  <si>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</si>
  <si>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</si>
  <si>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</si>
  <si>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</si>
  <si>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</si>
  <si>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</si>
  <si>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</si>
  <si>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</si>
  <si>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</si>
  <si>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</si>
  <si>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</si>
  <si>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</si>
  <si>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</si>
  <si>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</si>
  <si>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</si>
  <si>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</si>
  <si>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</si>
  <si>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</si>
  <si>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</si>
  <si>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</si>
  <si>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</si>
  <si>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</si>
  <si>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</si>
  <si>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</si>
  <si>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</si>
  <si>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</si>
  <si>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</si>
  <si>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</si>
  <si>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</si>
  <si>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</si>
  <si>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</si>
  <si>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</si>
  <si>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</si>
  <si>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</si>
  <si>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</si>
  <si>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</si>
  <si>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</si>
  <si>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</si>
  <si>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</si>
  <si>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</si>
  <si>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</si>
  <si>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</si>
  <si>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</si>
  <si>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</si>
  <si>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</si>
  <si>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</si>
  <si>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</si>
  <si>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</si>
  <si>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</si>
  <si>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</si>
  <si>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</si>
  <si>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</si>
  <si>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</si>
  <si>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</si>
  <si>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</si>
  <si>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</si>
  <si>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</si>
  <si>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</si>
  <si>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</si>
  <si>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</si>
  <si>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</si>
  <si>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</si>
  <si>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</si>
  <si>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</si>
  <si>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</si>
  <si>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</si>
  <si>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</si>
  <si>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</si>
  <si>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</si>
  <si>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</si>
  <si>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</si>
  <si>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</si>
  <si>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</si>
  <si>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</si>
  <si>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</si>
  <si>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</si>
  <si>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</si>
  <si>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</si>
  <si>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</si>
  <si>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</si>
  <si>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</si>
  <si>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</si>
  <si>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</si>
  <si>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</si>
  <si>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</si>
  <si>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</si>
  <si>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</si>
  <si>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</si>
  <si>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</si>
  <si>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</si>
  <si>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</si>
  <si>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</si>
  <si>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</si>
  <si>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</si>
  <si>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</si>
  <si>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</si>
  <si>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</si>
  <si>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</si>
  <si>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</si>
  <si>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</si>
  <si>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</si>
  <si>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</si>
  <si>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</si>
  <si>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</si>
  <si>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</si>
  <si>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</si>
  <si>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</si>
  <si>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</si>
  <si>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</si>
  <si>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</si>
  <si>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</si>
  <si>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</si>
  <si>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</si>
  <si>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</si>
  <si>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</si>
  <si>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</si>
  <si>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</si>
  <si>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</si>
  <si>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</si>
  <si>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</si>
  <si>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</si>
  <si>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</si>
  <si>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</si>
  <si>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</si>
  <si>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</si>
  <si>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</si>
  <si>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</si>
  <si>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</si>
  <si>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</si>
  <si>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</si>
  <si>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</si>
  <si>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</si>
  <si>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</si>
  <si>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</si>
  <si>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</si>
  <si>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</si>
  <si>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</si>
  <si>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</si>
  <si>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</si>
  <si>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</si>
  <si>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</si>
  <si>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</si>
  <si>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</si>
  <si>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</si>
  <si>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</si>
  <si>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</si>
  <si>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</si>
  <si>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</si>
  <si>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</si>
  <si>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</si>
  <si>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</si>
  <si>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</si>
  <si>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</si>
  <si>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</si>
  <si>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</si>
  <si>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</si>
  <si>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</si>
  <si>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</si>
  <si>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</si>
  <si>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</si>
  <si>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</si>
  <si>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</si>
  <si>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</si>
  <si>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</si>
  <si>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</si>
  <si>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</si>
  <si>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</si>
  <si>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</si>
  <si>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</si>
  <si>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</si>
  <si>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</si>
  <si>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</si>
  <si>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</si>
  <si>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</si>
  <si>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</si>
  <si>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</si>
  <si>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</si>
  <si>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</si>
  <si>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</si>
  <si>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</si>
  <si>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</si>
  <si>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</si>
  <si>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</si>
  <si>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</si>
  <si>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</si>
  <si>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</si>
  <si>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</si>
  <si>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</si>
  <si>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</si>
  <si>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</si>
  <si>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</si>
  <si>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</si>
  <si>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</si>
  <si>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</si>
  <si>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</si>
  <si>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</si>
  <si>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</si>
  <si>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</si>
  <si>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</si>
  <si>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</si>
  <si>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</si>
  <si>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</si>
  <si>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</si>
  <si>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</si>
  <si>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</si>
  <si>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</si>
  <si>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</si>
  <si>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</si>
  <si>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</si>
  <si>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</si>
  <si>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</si>
  <si>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</si>
  <si>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</si>
  <si>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</si>
  <si>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</si>
  <si>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</si>
  <si>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</si>
  <si>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</si>
  <si>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</si>
  <si>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</si>
  <si>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</si>
  <si>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</si>
  <si>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</si>
  <si>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</si>
  <si>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</si>
  <si>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</si>
  <si>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</si>
  <si>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</si>
  <si>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</si>
  <si>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</si>
  <si>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</si>
  <si>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</si>
  <si>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</si>
  <si>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</si>
  <si>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</si>
  <si>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</si>
  <si>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</si>
  <si>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</si>
  <si>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</si>
  <si>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</si>
  <si>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</si>
  <si>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</si>
  <si>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</si>
  <si>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</si>
  <si>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</si>
  <si>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</si>
  <si>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</si>
  <si>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</si>
  <si>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</si>
  <si>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</si>
  <si>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</si>
  <si>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</si>
  <si>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</si>
  <si>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</si>
  <si>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</si>
  <si>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</si>
  <si>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</si>
  <si>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</si>
  <si>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</si>
  <si>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</si>
  <si>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</si>
  <si>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</si>
  <si>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</si>
  <si>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</si>
  <si>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</si>
  <si>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</si>
  <si>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</si>
  <si>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</si>
  <si>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</si>
  <si>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</si>
  <si>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</si>
  <si>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</si>
  <si>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</si>
  <si>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</si>
  <si>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</si>
  <si>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</si>
  <si>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</si>
  <si>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</si>
  <si>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</si>
  <si>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</si>
  <si>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</si>
  <si>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</si>
  <si>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</si>
  <si>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</si>
  <si>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</si>
  <si>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</si>
  <si>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</si>
  <si>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</si>
  <si>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</si>
  <si>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</si>
  <si>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</si>
  <si>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</si>
  <si>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</si>
  <si>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</si>
  <si>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</si>
  <si>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</si>
  <si>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</si>
  <si>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</si>
  <si>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</si>
  <si>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</si>
  <si>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</si>
  <si>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</si>
  <si>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</si>
  <si>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</si>
  <si>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</si>
  <si>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</si>
  <si>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</si>
  <si>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</si>
  <si>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</si>
  <si>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</si>
  <si>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</si>
  <si>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</si>
  <si>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</si>
  <si>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</si>
  <si>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</si>
  <si>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</si>
  <si>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</si>
  <si>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</si>
  <si>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</si>
  <si>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</si>
  <si>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</si>
  <si>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</si>
  <si>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</si>
  <si>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</si>
  <si>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</si>
  <si>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</si>
  <si>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</si>
  <si>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</si>
  <si>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</si>
  <si>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</si>
  <si>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</si>
  <si>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</si>
  <si>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</si>
  <si>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</si>
  <si>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</si>
  <si>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</si>
  <si>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</si>
  <si>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</si>
  <si>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</si>
  <si>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</si>
  <si>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</si>
  <si>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</si>
  <si>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</si>
  <si>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</si>
  <si>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</si>
  <si>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</si>
  <si>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</si>
  <si>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</si>
  <si>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</si>
  <si>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</si>
  <si>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</si>
  <si>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</si>
  <si>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</si>
  <si>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</si>
  <si>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</si>
  <si>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</si>
  <si>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</si>
  <si>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</si>
  <si>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</si>
  <si>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</si>
  <si>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</si>
  <si>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</si>
  <si>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</si>
  <si>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</si>
  <si>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</si>
  <si>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</si>
  <si>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</si>
  <si>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</si>
  <si>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</si>
  <si>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</si>
  <si>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</si>
  <si>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</si>
  <si>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</si>
  <si>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</si>
  <si>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</si>
  <si>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</si>
  <si>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</si>
  <si>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</si>
  <si>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</si>
  <si>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</si>
  <si>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</si>
  <si>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</si>
  <si>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</si>
  <si>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</si>
  <si>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</si>
  <si>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</si>
  <si>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</si>
  <si>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</si>
  <si>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</si>
  <si>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</si>
  <si>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</si>
  <si>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</si>
  <si>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</si>
  <si>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</si>
  <si>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</si>
  <si>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</si>
  <si>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</si>
  <si>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</si>
  <si>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</si>
  <si>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</si>
  <si>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</si>
  <si>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</si>
  <si>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</si>
  <si>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</si>
  <si>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</si>
  <si>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</si>
  <si>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</si>
  <si>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</si>
  <si>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</si>
  <si>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</si>
  <si>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</si>
  <si>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</si>
  <si>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</si>
  <si>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</si>
  <si>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</si>
  <si>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</si>
  <si>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</si>
  <si>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</si>
  <si>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</si>
  <si>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</si>
  <si>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</si>
  <si>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</si>
  <si>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</si>
  <si>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</si>
  <si>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</si>
  <si>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</si>
  <si>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</si>
  <si>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</si>
  <si>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</si>
  <si>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</si>
  <si>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</si>
  <si>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</si>
  <si>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</si>
  <si>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</si>
  <si>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</si>
  <si>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</si>
  <si>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</si>
  <si>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</si>
  <si>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</si>
  <si>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</si>
  <si>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</si>
  <si>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</si>
  <si>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</si>
  <si>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</si>
  <si>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</si>
  <si>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</si>
  <si>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</si>
  <si>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</si>
  <si>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</si>
  <si>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</si>
  <si>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</si>
  <si>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</si>
  <si>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</si>
  <si>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</si>
  <si>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</si>
  <si>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</si>
  <si>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</si>
  <si>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</si>
  <si>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</si>
  <si>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</si>
  <si>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</si>
  <si>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</si>
  <si>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</si>
  <si>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</si>
  <si>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</si>
  <si>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</si>
  <si>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</si>
  <si>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</si>
  <si>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</si>
  <si>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</si>
  <si>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</si>
  <si>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</si>
  <si>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</si>
  <si>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</si>
  <si>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</si>
  <si>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</si>
  <si>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</si>
  <si>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</si>
  <si>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</si>
  <si>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</si>
  <si>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</si>
  <si>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</si>
  <si>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</si>
  <si>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</si>
  <si>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</si>
  <si>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</si>
  <si>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</si>
  <si>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</si>
  <si>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</si>
  <si>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</si>
  <si>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</si>
  <si>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</si>
  <si>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</si>
  <si>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</si>
  <si>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</si>
  <si>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</si>
  <si>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</si>
  <si>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</si>
  <si>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</si>
  <si>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</si>
  <si>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</si>
  <si>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</si>
  <si>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</si>
  <si>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</si>
  <si>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</si>
  <si>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</si>
  <si>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</si>
  <si>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</si>
  <si>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</si>
  <si>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</si>
  <si>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</si>
  <si>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</si>
  <si>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</si>
  <si>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</si>
  <si>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</si>
  <si>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</si>
  <si>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</si>
  <si>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</si>
  <si>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</si>
  <si>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</si>
  <si>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</si>
  <si>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</si>
  <si>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</si>
  <si>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</si>
  <si>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</si>
  <si>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</si>
  <si>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</si>
  <si>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</si>
  <si>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</si>
  <si>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</si>
  <si>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</si>
  <si>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</si>
  <si>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</si>
  <si>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</si>
  <si>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</si>
  <si>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</si>
  <si>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</si>
  <si>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</si>
  <si>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</si>
  <si>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</si>
  <si>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</si>
  <si>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</si>
  <si>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</si>
  <si>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</si>
  <si>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</si>
  <si>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</si>
  <si>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</si>
  <si>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</si>
  <si>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</si>
  <si>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</si>
  <si>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</si>
  <si>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</si>
  <si>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</si>
  <si>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</si>
  <si>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</si>
  <si>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</si>
  <si>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</si>
  <si>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</si>
  <si>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</si>
  <si>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</si>
  <si>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</si>
  <si>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</si>
  <si>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</si>
  <si>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</si>
  <si>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</si>
  <si>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</si>
  <si>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</si>
  <si>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</si>
  <si>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</si>
  <si>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</si>
  <si>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</si>
  <si>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</si>
  <si>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</si>
  <si>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</si>
  <si>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</si>
  <si>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</si>
  <si>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</si>
  <si>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</si>
  <si>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</si>
  <si>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</si>
  <si>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</si>
  <si>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</si>
  <si>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</si>
  <si>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</si>
  <si>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</si>
  <si>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</si>
  <si>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</si>
  <si>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</si>
  <si>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</si>
  <si>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</si>
  <si>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</si>
  <si>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</si>
  <si>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</si>
  <si>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</si>
  <si>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</si>
  <si>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</si>
  <si>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</si>
  <si>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</si>
  <si>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</si>
  <si>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</si>
  <si>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</si>
  <si>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</si>
  <si>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</si>
  <si>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</si>
  <si>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</si>
  <si>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</si>
  <si>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</si>
  <si>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</si>
  <si>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</si>
  <si>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</si>
  <si>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</si>
  <si>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</si>
  <si>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</si>
  <si>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</si>
  <si>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</si>
  <si>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</si>
  <si>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</si>
  <si>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</si>
  <si>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</si>
  <si>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</si>
  <si>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</si>
  <si>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</si>
  <si>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</si>
  <si>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</si>
  <si>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</si>
  <si>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</si>
  <si>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</si>
  <si>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</si>
  <si>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</si>
  <si>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</si>
  <si>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</si>
  <si>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</si>
  <si>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</si>
  <si>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</si>
  <si>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</si>
  <si>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</si>
  <si>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</si>
  <si>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</si>
  <si>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</si>
  <si>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</si>
  <si>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</si>
  <si>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</si>
  <si>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</si>
  <si>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</si>
  <si>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</si>
  <si>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</si>
  <si>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</si>
  <si>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</si>
  <si>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</si>
  <si>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</si>
  <si>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</si>
  <si>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</si>
  <si>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</si>
  <si>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</si>
  <si>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</si>
  <si>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</si>
  <si>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</si>
  <si>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</si>
  <si>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</si>
  <si>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</si>
  <si>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</si>
  <si>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</si>
  <si>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</si>
  <si>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</si>
  <si>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</si>
  <si>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</si>
  <si>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</si>
  <si>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</si>
  <si>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</si>
  <si>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</si>
  <si>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</si>
  <si>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</si>
  <si>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</si>
  <si>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</si>
  <si>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</si>
  <si>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</si>
  <si>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</si>
  <si>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</si>
  <si>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</si>
  <si>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</si>
  <si>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</si>
  <si>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</si>
  <si>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</si>
  <si>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</si>
  <si>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</si>
  <si>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</si>
  <si>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</si>
  <si>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</si>
  <si>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</si>
  <si>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</si>
  <si>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</si>
  <si>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</si>
  <si>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</si>
  <si>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</si>
  <si>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</si>
  <si>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</si>
  <si>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</si>
  <si>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</si>
  <si>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</si>
  <si>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</si>
  <si>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</si>
  <si>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</si>
  <si>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</si>
  <si>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</si>
  <si>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</si>
  <si>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</si>
  <si>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</si>
  <si>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</si>
  <si>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</si>
  <si>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</si>
  <si>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</si>
  <si>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</si>
  <si>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</si>
  <si>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</si>
  <si>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</si>
  <si>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</si>
  <si>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</si>
  <si>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</si>
  <si>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</si>
  <si>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</si>
  <si>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</si>
  <si>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</si>
  <si>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</si>
  <si>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</si>
  <si>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</si>
  <si>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</si>
  <si>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</si>
  <si>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</si>
  <si>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</si>
  <si>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</si>
  <si>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</si>
  <si>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</si>
  <si>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</si>
  <si>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</si>
  <si>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</si>
  <si>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</si>
  <si>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</si>
  <si>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</si>
  <si>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</si>
  <si>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</si>
  <si>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</si>
  <si>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</si>
  <si>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</si>
  <si>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</si>
  <si>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</si>
  <si>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</si>
  <si>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</si>
  <si>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</si>
  <si>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</si>
  <si>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</si>
  <si>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</si>
  <si>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</si>
  <si>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</si>
  <si>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</si>
  <si>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</si>
  <si>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</si>
  <si>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</si>
  <si>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</si>
  <si>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</si>
  <si>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</si>
  <si>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</si>
  <si>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</si>
  <si>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</si>
  <si>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</si>
  <si>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</si>
  <si>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</si>
  <si>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</si>
  <si>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</si>
  <si>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</si>
  <si>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</si>
  <si>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</si>
  <si>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</si>
  <si>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</si>
  <si>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</si>
  <si>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</si>
  <si>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</si>
  <si>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</si>
  <si>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</si>
  <si>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</si>
  <si>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</si>
  <si>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</si>
  <si>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</si>
  <si>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</si>
  <si>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</si>
  <si>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</si>
  <si>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</si>
  <si>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</si>
  <si>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</si>
  <si>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</si>
  <si>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</si>
  <si>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</si>
  <si>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</si>
  <si>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</si>
  <si>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</si>
  <si>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</si>
  <si>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</si>
  <si>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</si>
  <si>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</si>
  <si>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</si>
  <si>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</si>
  <si>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</si>
  <si>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</si>
  <si>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</si>
  <si>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</si>
  <si>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</si>
  <si>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</si>
  <si>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</si>
  <si>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</si>
  <si>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</si>
  <si>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</si>
  <si>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</si>
  <si>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</si>
  <si>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</si>
  <si>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</si>
  <si>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</si>
  <si>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</si>
  <si>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</si>
  <si>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</si>
  <si>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</si>
  <si>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</si>
  <si>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</si>
  <si>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</si>
  <si>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</si>
  <si>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</si>
  <si>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</si>
  <si>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</si>
  <si>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</si>
  <si>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</si>
  <si>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</si>
  <si>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</si>
  <si>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</si>
  <si>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</si>
  <si>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</si>
  <si>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</si>
  <si>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</si>
  <si>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</si>
  <si>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</si>
  <si>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</si>
  <si>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</si>
  <si>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</si>
  <si>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</si>
  <si>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</si>
  <si>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</si>
  <si>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</si>
  <si>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</si>
  <si>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</si>
  <si>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</si>
  <si>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</si>
  <si>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</si>
  <si>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</si>
  <si>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</si>
  <si>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</si>
  <si>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</si>
  <si>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</si>
  <si>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222 EAST MAIN STREET</t>
  </si>
  <si>
    <t>800 MADISON STREET</t>
  </si>
  <si>
    <t>BELLEVILLE</t>
  </si>
  <si>
    <t>IL</t>
  </si>
  <si>
    <t>LOVEJOY</t>
  </si>
  <si>
    <t>618-277-8100</t>
  </si>
  <si>
    <t>dale.holtmann@scheffelboyle.com</t>
  </si>
  <si>
    <t>DALE HOLTMANN</t>
  </si>
  <si>
    <t>SCHEFFEL BOYLE</t>
  </si>
  <si>
    <t>rferrell@lovejoyschool.org</t>
  </si>
  <si>
    <t>DR. RONALD FERRELL</t>
  </si>
  <si>
    <t>SUSAN SARFATY</t>
  </si>
  <si>
    <t>ssarfaty@stclair.k12.il.us</t>
  </si>
  <si>
    <t>618-825-3900</t>
  </si>
  <si>
    <t>618-271-1014</t>
  </si>
  <si>
    <t>618-271-7643</t>
  </si>
  <si>
    <t>The School District is required to stay within their legal debt margin per 105 ILCS 5/19-1.</t>
  </si>
  <si>
    <t>Management agrees to continue making the annual debt payments.</t>
  </si>
  <si>
    <t>The School District was not in compliance with the legal debt margin requirements for the year.</t>
  </si>
  <si>
    <t>Taxable Working Cash Bonds</t>
  </si>
  <si>
    <t>Taxable Funding Bonds</t>
  </si>
  <si>
    <t>Venice CUSD #3</t>
  </si>
  <si>
    <t>Illinois School District Liquid Asset Funds</t>
  </si>
  <si>
    <t>East St. Louis Area Joint Agreement</t>
  </si>
  <si>
    <t>East St. Louis Regional Vocational System</t>
  </si>
  <si>
    <t>Page #</t>
  </si>
  <si>
    <t>Account #</t>
  </si>
  <si>
    <t>Fees from Sports Coop with Venice CUSD #3</t>
  </si>
  <si>
    <t>ST. CLAIR</t>
  </si>
  <si>
    <t>065-026956</t>
  </si>
  <si>
    <t>618-277-9307</t>
  </si>
  <si>
    <t>618-825-3999</t>
  </si>
  <si>
    <t>Fees on Bonds</t>
  </si>
  <si>
    <t>ED-Food Services-Purchased Services</t>
  </si>
  <si>
    <t>10-2560-300</t>
  </si>
  <si>
    <t>Aramark</t>
  </si>
  <si>
    <t>ED-Food Services-Supplies</t>
  </si>
  <si>
    <t>10-2560-400</t>
  </si>
  <si>
    <t>School Lunch Commodities (Non Cash)</t>
  </si>
  <si>
    <t>17-4220</t>
  </si>
  <si>
    <t>18-4220</t>
  </si>
  <si>
    <t>19-4220</t>
  </si>
  <si>
    <t>17-4210</t>
  </si>
  <si>
    <t>18-4210</t>
  </si>
  <si>
    <t>19-4210</t>
  </si>
  <si>
    <t>Summer Food Service Program for Children</t>
  </si>
  <si>
    <t>17-4225</t>
  </si>
  <si>
    <t>18-4225</t>
  </si>
  <si>
    <t>Total Child Nutrition Cluster</t>
  </si>
  <si>
    <t xml:space="preserve">Fresh Fruit and Vegetable Program </t>
  </si>
  <si>
    <t>17-4240</t>
  </si>
  <si>
    <t>18-4240</t>
  </si>
  <si>
    <t>19-4240</t>
  </si>
  <si>
    <t>TOTAL U.S. DEPARTMENT OF AGRICULTURE- PASSED THROUGH IL STATE BOARD OF ED</t>
  </si>
  <si>
    <t>DEPARTMENT OF HEALTH AND HUMAN SERVICES</t>
  </si>
  <si>
    <t>Medical Assistance Program</t>
  </si>
  <si>
    <t>Total Medicaid Cluster</t>
  </si>
  <si>
    <t>TOTAL DEPARTMENT OF HEALTH AND HUMAN SERVICES</t>
  </si>
  <si>
    <t xml:space="preserve">Special Education Grants to States </t>
  </si>
  <si>
    <t>18-4625</t>
  </si>
  <si>
    <t>U.S. DEPARTMENT OF AGRICULTURE- PASSED THROUGH IL STATE BOARD OF ED</t>
  </si>
  <si>
    <t>DEPARTMENT OF EDUCATION-PASSED THROUGH IL STATE BOARD OF ED</t>
  </si>
  <si>
    <t xml:space="preserve">TOTAL SPECIAL EDUCATION CLUSTER (IDEA) </t>
  </si>
  <si>
    <t>18-4300</t>
  </si>
  <si>
    <t>17-4300</t>
  </si>
  <si>
    <t>19-4300</t>
  </si>
  <si>
    <t>17-4932</t>
  </si>
  <si>
    <t>18-4932</t>
  </si>
  <si>
    <t>19-4932</t>
  </si>
  <si>
    <t>Title 1 Grants to Local Educational Agencies</t>
  </si>
  <si>
    <t>Supprting Effective Instruction State Grants (Title II)</t>
  </si>
  <si>
    <t>(M) School Improvement Grant</t>
  </si>
  <si>
    <t>19-4331</t>
  </si>
  <si>
    <t>17-4339</t>
  </si>
  <si>
    <t>18-4339</t>
  </si>
  <si>
    <t>19-4339</t>
  </si>
  <si>
    <t xml:space="preserve">TOTAL DEPARTMENT OF EDUCATION- PASSED THROUGH IL STATE BOARD OF ED </t>
  </si>
  <si>
    <t>TOTAL FEDERAL AWARDS</t>
  </si>
  <si>
    <t>x</t>
  </si>
  <si>
    <r>
      <t xml:space="preserve">Of the federal expenditures presented in the schedule, </t>
    </r>
    <r>
      <rPr>
        <b/>
        <sz val="9"/>
        <rFont val="Calibri"/>
        <family val="2"/>
        <scheme val="minor"/>
      </rPr>
      <t xml:space="preserve">Brooklyn Unit School District #188 </t>
    </r>
    <r>
      <rPr>
        <sz val="9"/>
        <rFont val="Calibri"/>
        <family val="2"/>
        <scheme val="minor"/>
      </rPr>
      <t xml:space="preserve"> provided federal awards to subrecipients as follows:</t>
    </r>
  </si>
  <si>
    <t>None</t>
  </si>
  <si>
    <t>UNMODIFIED</t>
  </si>
  <si>
    <t xml:space="preserve">SCHOOL IMPROVEMENT GRANT </t>
  </si>
  <si>
    <t>The School District's long-term debt as a percentage (13.8%) of EAV is over the limit prescribed by Illinois School Code.</t>
  </si>
  <si>
    <t>Miscellaneous receipts and revenues</t>
  </si>
  <si>
    <t>HCI State Grant</t>
  </si>
  <si>
    <t>School Improvement Grant</t>
  </si>
  <si>
    <t>Homeless supplies</t>
  </si>
  <si>
    <t>Priority School Grant Refund to State</t>
  </si>
  <si>
    <t>NONE</t>
  </si>
  <si>
    <t>The legal debt margin limit for the District based on its EAV is $630,556. The total outstanding debt for the District at June 30, 2019 was $772,504.</t>
  </si>
  <si>
    <t>Cash needs based on operations created a shortfall in prior years which required the District to borrow funds.</t>
  </si>
  <si>
    <t>We recommend that the District continue making the annual debt payments to reduce the amount of long-term debt without obtaining additional debt.</t>
  </si>
  <si>
    <t>The accompanying Schedule of Expenditures of Federal Awards includes the federal grant activity of Brooklyn Unit School District #188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</si>
  <si>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 xml:space="preserve">Qualified Zone Academy (QZA) Bond </t>
  </si>
  <si>
    <t>Brooklyn UD 188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</si>
</sst>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cellStyleXfs>
  <cellXfs count="2491">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56" fillId="0" borderId="0" xfId="0" applyFont="1" applyAlignment="1">
      <alignment horizontal="center"/>
    </xf>
    <xf numFmtId="0" fontId="65" fillId="0" borderId="0" xfId="0" applyFont="1" applyAlignment="1">
      <alignment horizontal="center"/>
    </xf>
    <xf numFmtId="181" fontId="56" fillId="0" borderId="0" xfId="19" applyNumberFormat="1" applyFont="1" applyAlignment="1">
      <alignment horizontal="center"/>
    </xf>
    <xf numFmtId="181" fontId="56" fillId="0" borderId="0" xfId="19" applyNumberFormat="1" applyFont="1"/>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181" fontId="56" fillId="0" borderId="78" xfId="19" applyNumberFormat="1" applyFont="1" applyBorder="1" applyAlignment="1">
      <alignment horizontal="center"/>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1028700</xdr:colOff>
          <xdr:row>4</xdr:row>
          <xdr:rowOff>38100</xdr:rowOff>
        </xdr:from>
        <xdr:to>
          <xdr:col>1</xdr:col>
          <xdr:colOff>1943100</xdr:colOff>
          <xdr:row>8</xdr:row>
          <xdr:rowOff>76200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K14" sqref="K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2020" t="s">
        <v>405</v>
      </c>
      <c r="J1" s="2021"/>
      <c r="K1" s="2021"/>
      <c r="L1" s="2021"/>
      <c r="M1" s="2021"/>
      <c r="N1" s="2021"/>
      <c r="O1" s="2021"/>
      <c r="P1" s="2021"/>
      <c r="Q1" s="2021"/>
      <c r="R1" s="2021"/>
      <c r="S1" s="2021"/>
    </row>
    <row r="2" spans="1:28" ht="12" customHeight="1" x14ac:dyDescent="0.2">
      <c r="A2" s="47" t="s">
        <v>1991</v>
      </c>
      <c r="D2" s="48"/>
      <c r="I2" s="2022" t="s">
        <v>979</v>
      </c>
      <c r="J2" s="2021"/>
      <c r="K2" s="2021"/>
      <c r="L2" s="2021"/>
      <c r="M2" s="2021"/>
      <c r="N2" s="2021"/>
      <c r="O2" s="2021"/>
      <c r="P2" s="2021"/>
      <c r="Q2" s="2021"/>
      <c r="R2" s="2021"/>
      <c r="S2" s="2021"/>
    </row>
    <row r="3" spans="1:28" ht="12" customHeight="1" x14ac:dyDescent="0.2">
      <c r="A3" s="155" t="s">
        <v>1943</v>
      </c>
      <c r="B3" s="156"/>
      <c r="C3" s="156"/>
      <c r="D3" s="157"/>
      <c r="I3" s="2022" t="s">
        <v>52</v>
      </c>
      <c r="J3" s="2021"/>
      <c r="K3" s="2021"/>
      <c r="L3" s="2021"/>
      <c r="M3" s="2021"/>
      <c r="N3" s="2021"/>
      <c r="O3" s="2021"/>
      <c r="P3" s="2021"/>
      <c r="Q3" s="2021"/>
      <c r="R3" s="2021"/>
      <c r="S3" s="2021"/>
    </row>
    <row r="4" spans="1:28" ht="12" customHeight="1" x14ac:dyDescent="0.2">
      <c r="A4" s="37"/>
      <c r="I4" s="2022" t="s">
        <v>524</v>
      </c>
      <c r="J4" s="2021"/>
      <c r="K4" s="2021"/>
      <c r="L4" s="2021"/>
      <c r="M4" s="2021"/>
      <c r="N4" s="2021"/>
      <c r="O4" s="2021"/>
      <c r="P4" s="2021"/>
      <c r="Q4" s="2021"/>
      <c r="R4" s="2021"/>
      <c r="S4" s="2021"/>
    </row>
    <row r="5" spans="1:28" ht="14.1" customHeight="1" x14ac:dyDescent="0.2">
      <c r="B5" s="104" t="s">
        <v>2062</v>
      </c>
      <c r="C5" s="26" t="s">
        <v>910</v>
      </c>
      <c r="D5" s="84"/>
      <c r="E5" s="84"/>
      <c r="H5" s="38"/>
      <c r="I5" s="2029" t="s">
        <v>680</v>
      </c>
      <c r="J5" s="1974"/>
      <c r="K5" s="1974"/>
      <c r="L5" s="1974"/>
      <c r="M5" s="1974"/>
      <c r="N5" s="1974"/>
      <c r="O5" s="1974"/>
      <c r="P5" s="1974"/>
      <c r="Q5" s="1974"/>
      <c r="R5" s="1974"/>
      <c r="S5" s="1974"/>
    </row>
    <row r="6" spans="1:28" ht="14.1" customHeight="1" x14ac:dyDescent="0.2">
      <c r="B6" s="104"/>
      <c r="C6" s="26" t="s">
        <v>911</v>
      </c>
      <c r="D6" s="84"/>
      <c r="E6" s="84"/>
      <c r="I6" s="2028" t="s">
        <v>883</v>
      </c>
      <c r="J6" s="1974"/>
      <c r="K6" s="1974"/>
      <c r="L6" s="1974"/>
      <c r="M6" s="1974"/>
      <c r="N6" s="1974"/>
      <c r="O6" s="1974"/>
      <c r="P6" s="1974"/>
      <c r="Q6" s="1974"/>
      <c r="R6" s="1974"/>
      <c r="S6" s="1974"/>
    </row>
    <row r="7" spans="1:28" ht="12.2" customHeight="1" x14ac:dyDescent="0.2">
      <c r="I7" s="2023">
        <v>43646</v>
      </c>
      <c r="J7" s="2024"/>
      <c r="K7" s="2024"/>
      <c r="L7" s="2024"/>
      <c r="M7" s="2024"/>
      <c r="N7" s="2024"/>
      <c r="O7" s="2024"/>
      <c r="P7" s="2024"/>
      <c r="Q7" s="2024"/>
      <c r="R7" s="2024"/>
      <c r="S7" s="202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5" t="s">
        <v>674</v>
      </c>
      <c r="J9" s="2026"/>
      <c r="K9" s="2026"/>
      <c r="L9" s="2026"/>
      <c r="M9" s="2026"/>
      <c r="N9" s="2026"/>
      <c r="O9" s="2026"/>
      <c r="P9" s="2026"/>
      <c r="Q9" s="2026"/>
      <c r="R9" s="2026"/>
      <c r="S9" s="2027"/>
      <c r="T9" s="1970" t="s">
        <v>533</v>
      </c>
      <c r="U9" s="1971"/>
      <c r="V9" s="1971"/>
      <c r="W9" s="1971"/>
      <c r="X9" s="1971"/>
      <c r="Y9" s="1971"/>
      <c r="Z9" s="1971"/>
      <c r="AA9" s="1972"/>
    </row>
    <row r="10" spans="1:28" ht="13.5" customHeight="1" x14ac:dyDescent="0.2">
      <c r="A10" s="1979" t="s">
        <v>675</v>
      </c>
      <c r="B10" s="1980"/>
      <c r="C10" s="1980"/>
      <c r="D10" s="1980"/>
      <c r="E10" s="1980"/>
      <c r="F10" s="1980"/>
      <c r="G10" s="1980"/>
      <c r="H10" s="1981"/>
      <c r="I10" s="29"/>
      <c r="J10" s="30"/>
      <c r="K10" s="28"/>
      <c r="R10" s="30"/>
      <c r="S10" s="30"/>
      <c r="T10" s="1973"/>
      <c r="U10" s="1974"/>
      <c r="V10" s="1974"/>
      <c r="W10" s="1974"/>
      <c r="X10" s="1974"/>
      <c r="Y10" s="1974"/>
      <c r="Z10" s="1974"/>
      <c r="AA10" s="1975"/>
    </row>
    <row r="11" spans="1:28" ht="14.25" customHeight="1" x14ac:dyDescent="0.2">
      <c r="A11" s="1982" t="s">
        <v>955</v>
      </c>
      <c r="B11" s="1983"/>
      <c r="C11" s="1983"/>
      <c r="D11" s="1983"/>
      <c r="E11" s="1983"/>
      <c r="F11" s="1983"/>
      <c r="G11" s="1983"/>
      <c r="H11" s="1984"/>
      <c r="I11" s="27"/>
      <c r="J11" s="74"/>
      <c r="K11" s="27"/>
      <c r="O11" s="148" t="s">
        <v>2062</v>
      </c>
      <c r="P11" s="100" t="s">
        <v>201</v>
      </c>
      <c r="Q11" s="30"/>
      <c r="R11" s="28"/>
      <c r="S11" s="27"/>
      <c r="T11" s="1976"/>
      <c r="U11" s="1977"/>
      <c r="V11" s="1977"/>
      <c r="W11" s="1977"/>
      <c r="X11" s="1977"/>
      <c r="Y11" s="1977"/>
      <c r="Z11" s="1977"/>
      <c r="AA11" s="1978"/>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90">
        <v>50082188022</v>
      </c>
      <c r="B13" s="1991"/>
      <c r="C13" s="1991"/>
      <c r="D13" s="1991"/>
      <c r="E13" s="1991"/>
      <c r="F13" s="1991"/>
      <c r="G13" s="1991"/>
      <c r="H13" s="1992"/>
      <c r="I13" s="31"/>
      <c r="J13" s="30"/>
      <c r="K13" s="28"/>
      <c r="L13" s="30"/>
      <c r="M13" s="30"/>
      <c r="N13" s="30"/>
      <c r="O13" s="30"/>
      <c r="P13" s="30"/>
      <c r="Q13" s="30"/>
      <c r="R13" s="30"/>
      <c r="S13" s="30"/>
      <c r="T13" s="1995" t="s">
        <v>2071</v>
      </c>
      <c r="U13" s="1996"/>
      <c r="V13" s="1996"/>
      <c r="W13" s="1996"/>
      <c r="X13" s="1996"/>
      <c r="Y13" s="1997"/>
      <c r="Z13" s="1997"/>
      <c r="AA13" s="199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8" t="s">
        <v>2091</v>
      </c>
      <c r="B15" s="1993"/>
      <c r="C15" s="1993"/>
      <c r="D15" s="1993"/>
      <c r="E15" s="1993"/>
      <c r="F15" s="1993"/>
      <c r="G15" s="1993"/>
      <c r="H15" s="1994"/>
      <c r="T15" s="1956" t="s">
        <v>2070</v>
      </c>
      <c r="U15" s="1957"/>
      <c r="V15" s="1957"/>
      <c r="W15" s="1957"/>
      <c r="X15" s="1957"/>
      <c r="Y15" s="1999"/>
      <c r="Z15" s="1999"/>
      <c r="AA15" s="2000"/>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8" t="s">
        <v>2158</v>
      </c>
      <c r="B17" s="2018"/>
      <c r="C17" s="2018"/>
      <c r="D17" s="2018"/>
      <c r="E17" s="2018"/>
      <c r="F17" s="2018"/>
      <c r="G17" s="2018"/>
      <c r="H17" s="2019"/>
      <c r="T17" s="2005" t="s">
        <v>2063</v>
      </c>
      <c r="U17" s="2006"/>
      <c r="V17" s="2006"/>
      <c r="W17" s="2006"/>
      <c r="X17" s="2006"/>
      <c r="Y17" s="2006"/>
      <c r="Z17" s="2006"/>
      <c r="AA17" s="2007"/>
    </row>
    <row r="18" spans="1:27" ht="13.5" customHeight="1" x14ac:dyDescent="0.2">
      <c r="A18" s="85" t="s">
        <v>530</v>
      </c>
      <c r="B18" s="76"/>
      <c r="C18" s="72"/>
      <c r="D18" s="76"/>
      <c r="E18" s="76"/>
      <c r="F18" s="76"/>
      <c r="G18" s="76"/>
      <c r="H18" s="56"/>
      <c r="I18" s="2015" t="s">
        <v>676</v>
      </c>
      <c r="J18" s="2016"/>
      <c r="K18" s="2016"/>
      <c r="L18" s="2016"/>
      <c r="M18" s="2016"/>
      <c r="N18" s="2016"/>
      <c r="O18" s="2016"/>
      <c r="P18" s="2016"/>
      <c r="Q18" s="2016"/>
      <c r="R18" s="2016"/>
      <c r="S18" s="2017"/>
      <c r="T18" s="85" t="s">
        <v>711</v>
      </c>
      <c r="U18" s="51"/>
      <c r="V18" s="72"/>
      <c r="W18" s="50"/>
      <c r="X18" s="85" t="s">
        <v>266</v>
      </c>
      <c r="Y18" s="81"/>
      <c r="Z18" s="159" t="s">
        <v>677</v>
      </c>
      <c r="AA18" s="46"/>
    </row>
    <row r="19" spans="1:27" ht="13.5" customHeight="1" x14ac:dyDescent="0.2">
      <c r="A19" s="1988" t="s">
        <v>2064</v>
      </c>
      <c r="B19" s="1989"/>
      <c r="C19" s="1989"/>
      <c r="D19" s="1989"/>
      <c r="E19" s="1989"/>
      <c r="F19" s="1989"/>
      <c r="G19" s="1989"/>
      <c r="H19" s="1987"/>
      <c r="I19" s="30"/>
      <c r="J19" s="99"/>
      <c r="K19" s="40"/>
      <c r="L19" s="38"/>
      <c r="M19" s="112" t="s">
        <v>315</v>
      </c>
      <c r="P19" s="27"/>
      <c r="Q19" s="27"/>
      <c r="R19" s="27"/>
      <c r="S19" s="31"/>
      <c r="T19" s="1988" t="s">
        <v>2065</v>
      </c>
      <c r="U19" s="1986"/>
      <c r="V19" s="1986"/>
      <c r="W19" s="1987"/>
      <c r="X19" s="2003" t="s">
        <v>2066</v>
      </c>
      <c r="Y19" s="2004"/>
      <c r="Z19" s="2001">
        <v>62220</v>
      </c>
      <c r="AA19" s="2002"/>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5" t="s">
        <v>2067</v>
      </c>
      <c r="B21" s="1986"/>
      <c r="C21" s="1986"/>
      <c r="D21" s="1986"/>
      <c r="E21" s="1986"/>
      <c r="F21" s="1986"/>
      <c r="G21" s="1986"/>
      <c r="H21" s="1987"/>
      <c r="I21" s="2011" t="s">
        <v>678</v>
      </c>
      <c r="J21" s="1974"/>
      <c r="K21" s="1974"/>
      <c r="L21" s="1974"/>
      <c r="M21" s="1974"/>
      <c r="N21" s="1974"/>
      <c r="O21" s="1974"/>
      <c r="P21" s="1974"/>
      <c r="Q21" s="1974"/>
      <c r="R21" s="1974"/>
      <c r="S21" s="1975"/>
      <c r="T21" s="1953" t="s">
        <v>2068</v>
      </c>
      <c r="U21" s="1954"/>
      <c r="V21" s="1954"/>
      <c r="W21" s="1954"/>
      <c r="X21" s="1967" t="s">
        <v>2093</v>
      </c>
      <c r="Y21" s="1968"/>
      <c r="Z21" s="1968"/>
      <c r="AA21" s="1969"/>
    </row>
    <row r="22" spans="1:27" ht="13.5" customHeight="1" x14ac:dyDescent="0.2">
      <c r="A22" s="87" t="s">
        <v>531</v>
      </c>
      <c r="B22" s="59"/>
      <c r="C22" s="59"/>
      <c r="D22" s="59"/>
      <c r="E22" s="59"/>
      <c r="F22" s="59"/>
      <c r="G22" s="59"/>
      <c r="H22" s="60"/>
      <c r="I22" s="2012" t="s">
        <v>1429</v>
      </c>
      <c r="J22" s="2013"/>
      <c r="K22" s="2013"/>
      <c r="L22" s="2013"/>
      <c r="M22" s="2013"/>
      <c r="N22" s="2013"/>
      <c r="O22" s="2013"/>
      <c r="P22" s="2013"/>
      <c r="Q22" s="2013"/>
      <c r="R22" s="2013"/>
      <c r="S22" s="2014"/>
      <c r="T22" s="85" t="s">
        <v>1516</v>
      </c>
      <c r="U22" s="51"/>
      <c r="V22" s="72"/>
      <c r="W22" s="51"/>
      <c r="X22" s="160" t="s">
        <v>1318</v>
      </c>
      <c r="Z22" s="45"/>
      <c r="AA22" s="46"/>
    </row>
    <row r="23" spans="1:27" ht="13.5" customHeight="1" x14ac:dyDescent="0.2">
      <c r="A23" s="2008"/>
      <c r="B23" s="2009"/>
      <c r="C23" s="2009"/>
      <c r="D23" s="2009"/>
      <c r="E23" s="2009"/>
      <c r="F23" s="2009"/>
      <c r="G23" s="2009"/>
      <c r="H23" s="2010"/>
      <c r="T23" s="1948" t="s">
        <v>2092</v>
      </c>
      <c r="U23" s="1949"/>
      <c r="V23" s="1949"/>
      <c r="W23" s="1949"/>
      <c r="X23" s="1964">
        <v>44469</v>
      </c>
      <c r="Y23" s="1965"/>
      <c r="Z23" s="1965"/>
      <c r="AA23" s="1966"/>
    </row>
    <row r="24" spans="1:27" ht="14.1" customHeight="1" x14ac:dyDescent="0.2">
      <c r="A24" s="88" t="s">
        <v>677</v>
      </c>
      <c r="B24" s="49"/>
      <c r="C24" s="49"/>
      <c r="D24" s="49"/>
      <c r="E24" s="49"/>
      <c r="F24" s="49"/>
      <c r="G24" s="49"/>
      <c r="H24" s="61"/>
      <c r="J24" s="2050">
        <f>IF(B5="x",IF(AUDITCHECK!D29="AFR form Incomplete.","",IF(AUDITCHECK!D29="Deficit reduction plan is required.","School District must complete a deficit reduction plan in the 2019-2020 Budget",)),"")</f>
        <v>0</v>
      </c>
      <c r="K24" s="2050"/>
      <c r="L24" s="2050"/>
      <c r="M24" s="2050"/>
      <c r="N24" s="2050"/>
      <c r="O24" s="2050"/>
      <c r="P24" s="2050"/>
      <c r="Q24" s="2050"/>
      <c r="R24" s="2050"/>
      <c r="S24" s="2051"/>
      <c r="T24" s="105" t="s">
        <v>531</v>
      </c>
      <c r="U24" s="106"/>
      <c r="V24" s="106"/>
      <c r="W24" s="106"/>
      <c r="X24" s="107"/>
      <c r="Y24" s="107"/>
      <c r="Z24" s="107"/>
      <c r="AA24" s="108"/>
    </row>
    <row r="25" spans="1:27" ht="14.1" customHeight="1" x14ac:dyDescent="0.2">
      <c r="A25" s="1985">
        <v>62059</v>
      </c>
      <c r="B25" s="1986"/>
      <c r="C25" s="1986"/>
      <c r="D25" s="1986"/>
      <c r="E25" s="1986"/>
      <c r="F25" s="1986"/>
      <c r="G25" s="1986"/>
      <c r="H25" s="1987"/>
      <c r="I25" s="113"/>
      <c r="J25" s="2052"/>
      <c r="K25" s="2052"/>
      <c r="L25" s="2052"/>
      <c r="M25" s="2052"/>
      <c r="N25" s="2052"/>
      <c r="O25" s="2052"/>
      <c r="P25" s="2052"/>
      <c r="Q25" s="2052"/>
      <c r="R25" s="2052"/>
      <c r="S25" s="2053"/>
      <c r="T25" s="1945" t="s">
        <v>2069</v>
      </c>
      <c r="U25" s="1946"/>
      <c r="V25" s="1946"/>
      <c r="W25" s="1946"/>
      <c r="X25" s="1946"/>
      <c r="Y25" s="1946"/>
      <c r="Z25" s="1946"/>
      <c r="AA25" s="194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3" t="s">
        <v>1511</v>
      </c>
      <c r="J27" s="2016"/>
      <c r="K27" s="2016"/>
      <c r="L27" s="2016"/>
      <c r="M27" s="2016"/>
      <c r="N27" s="2016"/>
      <c r="O27" s="2016"/>
      <c r="P27" s="2016"/>
      <c r="Q27" s="2016"/>
      <c r="R27" s="2016"/>
      <c r="S27" s="2017"/>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2062</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2062</v>
      </c>
      <c r="C30" s="124" t="s">
        <v>1164</v>
      </c>
      <c r="D30" s="28"/>
      <c r="E30" s="28"/>
      <c r="F30" s="140"/>
      <c r="G30" s="114"/>
      <c r="H30" s="114"/>
      <c r="I30" s="54"/>
      <c r="J30" s="148" t="s">
        <v>2062</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2062</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2062</v>
      </c>
      <c r="C34" s="32" t="s">
        <v>542</v>
      </c>
      <c r="D34" s="31"/>
      <c r="E34" s="31"/>
      <c r="F34" s="31"/>
      <c r="G34" s="31"/>
      <c r="H34" s="31"/>
      <c r="I34" s="54"/>
      <c r="J34" s="83"/>
      <c r="L34" s="101"/>
      <c r="M34" s="93" t="s">
        <v>707</v>
      </c>
      <c r="N34" s="30"/>
      <c r="O34" s="30"/>
      <c r="P34" s="30"/>
      <c r="Q34" s="30"/>
      <c r="R34" s="30"/>
      <c r="S34" s="55"/>
      <c r="T34" s="30"/>
      <c r="U34" s="148" t="s">
        <v>2062</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9"/>
      <c r="Q35" s="1986"/>
      <c r="R35" s="198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8" t="s">
        <v>2073</v>
      </c>
      <c r="B38" s="2018"/>
      <c r="C38" s="2018"/>
      <c r="D38" s="2018"/>
      <c r="E38" s="2018"/>
      <c r="F38" s="1986"/>
      <c r="G38" s="1986"/>
      <c r="H38" s="1987"/>
      <c r="I38" s="2037"/>
      <c r="J38" s="1957"/>
      <c r="K38" s="1957"/>
      <c r="L38" s="1957"/>
      <c r="M38" s="1957"/>
      <c r="N38" s="1957"/>
      <c r="O38" s="1957"/>
      <c r="P38" s="1958"/>
      <c r="Q38" s="1958"/>
      <c r="R38" s="1958"/>
      <c r="S38" s="1959"/>
      <c r="T38" s="1956" t="s">
        <v>2074</v>
      </c>
      <c r="U38" s="1957"/>
      <c r="V38" s="1957"/>
      <c r="W38" s="1957"/>
      <c r="X38" s="1958"/>
      <c r="Y38" s="1958"/>
      <c r="Z38" s="1958"/>
      <c r="AA38" s="1959"/>
    </row>
    <row r="39" spans="1:27" ht="12" customHeight="1" x14ac:dyDescent="0.2">
      <c r="A39" s="2041" t="s">
        <v>531</v>
      </c>
      <c r="B39" s="2042"/>
      <c r="C39" s="72"/>
      <c r="D39" s="69"/>
      <c r="E39" s="69"/>
      <c r="F39" s="79"/>
      <c r="G39" s="69"/>
      <c r="H39" s="56"/>
      <c r="I39" s="2041" t="s">
        <v>531</v>
      </c>
      <c r="J39" s="2042"/>
      <c r="K39" s="2042"/>
      <c r="L39" s="2042"/>
      <c r="M39" s="2042"/>
      <c r="N39" s="67"/>
      <c r="O39" s="72"/>
      <c r="P39" s="72"/>
      <c r="Q39" s="78"/>
      <c r="R39" s="72"/>
      <c r="S39" s="56"/>
      <c r="T39" s="72" t="s">
        <v>531</v>
      </c>
      <c r="U39" s="51"/>
      <c r="V39" s="72"/>
      <c r="W39" s="50"/>
      <c r="X39" s="78"/>
      <c r="Y39" s="45"/>
      <c r="Z39" s="45"/>
      <c r="AA39" s="46"/>
    </row>
    <row r="40" spans="1:27" ht="13.5" customHeight="1" x14ac:dyDescent="0.2">
      <c r="A40" s="2044" t="s">
        <v>2072</v>
      </c>
      <c r="B40" s="2045"/>
      <c r="C40" s="2046"/>
      <c r="D40" s="2046"/>
      <c r="E40" s="2046"/>
      <c r="F40" s="2047"/>
      <c r="G40" s="2047"/>
      <c r="H40" s="2048"/>
      <c r="I40" s="1960"/>
      <c r="J40" s="1962"/>
      <c r="K40" s="1962"/>
      <c r="L40" s="1962"/>
      <c r="M40" s="1962"/>
      <c r="N40" s="1962"/>
      <c r="O40" s="1962"/>
      <c r="P40" s="1962"/>
      <c r="Q40" s="1962"/>
      <c r="R40" s="1962"/>
      <c r="S40" s="1963"/>
      <c r="T40" s="1960" t="s">
        <v>2075</v>
      </c>
      <c r="U40" s="1961"/>
      <c r="V40" s="1962"/>
      <c r="W40" s="1962"/>
      <c r="X40" s="1962"/>
      <c r="Y40" s="1962"/>
      <c r="Z40" s="1962"/>
      <c r="AA40" s="1963"/>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4" t="s">
        <v>2077</v>
      </c>
      <c r="B42" s="2035"/>
      <c r="C42" s="2036"/>
      <c r="D42" s="2049" t="s">
        <v>2078</v>
      </c>
      <c r="E42" s="2035"/>
      <c r="F42" s="2035"/>
      <c r="G42" s="2035"/>
      <c r="H42" s="2036"/>
      <c r="I42" s="1955"/>
      <c r="J42" s="1951"/>
      <c r="K42" s="1951"/>
      <c r="L42" s="1951"/>
      <c r="M42" s="1951"/>
      <c r="N42" s="1951"/>
      <c r="O42" s="1952"/>
      <c r="P42" s="1950"/>
      <c r="Q42" s="1951"/>
      <c r="R42" s="1951"/>
      <c r="S42" s="1952"/>
      <c r="T42" s="1955" t="s">
        <v>2076</v>
      </c>
      <c r="U42" s="1951"/>
      <c r="V42" s="1951"/>
      <c r="W42" s="1952"/>
      <c r="X42" s="1950" t="s">
        <v>2094</v>
      </c>
      <c r="Y42" s="1951"/>
      <c r="Z42" s="1951"/>
      <c r="AA42" s="1952"/>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8"/>
      <c r="B44" s="2039"/>
      <c r="C44" s="2039"/>
      <c r="D44" s="2039"/>
      <c r="E44" s="2039"/>
      <c r="F44" s="2039"/>
      <c r="G44" s="2039"/>
      <c r="H44" s="2040"/>
      <c r="I44" s="2030"/>
      <c r="J44" s="2032"/>
      <c r="K44" s="2032"/>
      <c r="L44" s="2032"/>
      <c r="M44" s="2032"/>
      <c r="N44" s="2032"/>
      <c r="O44" s="2032"/>
      <c r="P44" s="2032"/>
      <c r="Q44" s="2032"/>
      <c r="R44" s="2032"/>
      <c r="S44" s="2033"/>
      <c r="T44" s="2030"/>
      <c r="U44" s="2031"/>
      <c r="V44" s="2031"/>
      <c r="W44" s="2031"/>
      <c r="X44" s="2031"/>
      <c r="Y44" s="2031"/>
      <c r="Z44" s="2032"/>
      <c r="AA44" s="203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1924</v>
      </c>
      <c r="R47" s="41"/>
      <c r="S47" s="41"/>
      <c r="T47" s="41"/>
      <c r="U47" s="41"/>
      <c r="V47" s="41"/>
      <c r="W47" s="41"/>
      <c r="X47" s="41"/>
      <c r="Y47" s="41"/>
      <c r="Z47" s="41"/>
      <c r="AA47" s="41"/>
    </row>
    <row r="48" spans="1:27" x14ac:dyDescent="0.2">
      <c r="Q48" s="41" t="s">
        <v>1925</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1857</v>
      </c>
      <c r="C4" s="162" t="s">
        <v>1169</v>
      </c>
      <c r="D4" s="169" t="s">
        <v>10</v>
      </c>
      <c r="E4" s="170" t="s">
        <v>22</v>
      </c>
    </row>
    <row r="5" spans="1:5" x14ac:dyDescent="0.2">
      <c r="A5" s="168" t="s">
        <v>1859</v>
      </c>
      <c r="C5" s="162" t="s">
        <v>1169</v>
      </c>
      <c r="D5" s="169" t="s">
        <v>10</v>
      </c>
      <c r="E5" s="170" t="s">
        <v>22</v>
      </c>
    </row>
    <row r="6" spans="1:5" x14ac:dyDescent="0.2">
      <c r="A6" s="168" t="s">
        <v>1858</v>
      </c>
      <c r="C6" s="162" t="s">
        <v>1169</v>
      </c>
      <c r="D6" s="167" t="s">
        <v>11</v>
      </c>
      <c r="E6" s="170" t="s">
        <v>941</v>
      </c>
    </row>
    <row r="7" spans="1:5" x14ac:dyDescent="0.2">
      <c r="A7" s="168" t="s">
        <v>1860</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1861</v>
      </c>
      <c r="C11" s="162" t="s">
        <v>1169</v>
      </c>
      <c r="D11" s="169" t="s">
        <v>14</v>
      </c>
      <c r="E11" s="170" t="s">
        <v>1156</v>
      </c>
    </row>
    <row r="12" spans="1:5" x14ac:dyDescent="0.2">
      <c r="B12" s="169" t="s">
        <v>1862</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1863</v>
      </c>
      <c r="C15" s="162" t="s">
        <v>1169</v>
      </c>
      <c r="D15" s="169" t="s">
        <v>17</v>
      </c>
      <c r="E15" s="170" t="s">
        <v>636</v>
      </c>
    </row>
    <row r="16" spans="1:5" x14ac:dyDescent="0.2">
      <c r="A16" s="172"/>
      <c r="B16" s="162" t="s">
        <v>1864</v>
      </c>
      <c r="C16" s="162" t="s">
        <v>1169</v>
      </c>
      <c r="D16" s="169" t="s">
        <v>681</v>
      </c>
      <c r="E16" s="170" t="s">
        <v>1040</v>
      </c>
    </row>
    <row r="17" spans="1:5" x14ac:dyDescent="0.2">
      <c r="B17" s="167" t="s">
        <v>988</v>
      </c>
      <c r="C17" s="162" t="s">
        <v>1169</v>
      </c>
    </row>
    <row r="18" spans="1:5" x14ac:dyDescent="0.2">
      <c r="B18" s="167" t="s">
        <v>1870</v>
      </c>
      <c r="D18" s="169" t="s">
        <v>18</v>
      </c>
      <c r="E18" s="170" t="s">
        <v>1041</v>
      </c>
    </row>
    <row r="19" spans="1:5" x14ac:dyDescent="0.2">
      <c r="A19" s="168" t="s">
        <v>1099</v>
      </c>
      <c r="C19" s="162" t="s">
        <v>1169</v>
      </c>
      <c r="D19" s="169"/>
      <c r="E19" s="171"/>
    </row>
    <row r="20" spans="1:5" x14ac:dyDescent="0.2">
      <c r="B20" s="167" t="s">
        <v>1865</v>
      </c>
      <c r="C20" s="162" t="s">
        <v>1169</v>
      </c>
      <c r="D20" s="169" t="s">
        <v>19</v>
      </c>
      <c r="E20" s="170" t="s">
        <v>51</v>
      </c>
    </row>
    <row r="21" spans="1:5" x14ac:dyDescent="0.2">
      <c r="B21" s="167" t="s">
        <v>1866</v>
      </c>
      <c r="C21" s="162" t="s">
        <v>1169</v>
      </c>
      <c r="D21" s="169" t="s">
        <v>20</v>
      </c>
      <c r="E21" s="170" t="s">
        <v>1610</v>
      </c>
    </row>
    <row r="22" spans="1:5" x14ac:dyDescent="0.2">
      <c r="A22" s="168"/>
      <c r="B22" s="162" t="s">
        <v>1854</v>
      </c>
      <c r="C22" s="162" t="s">
        <v>1169</v>
      </c>
      <c r="D22" s="167" t="s">
        <v>1856</v>
      </c>
      <c r="E22" s="1836" t="s">
        <v>1611</v>
      </c>
    </row>
    <row r="23" spans="1:5" x14ac:dyDescent="0.2">
      <c r="A23" s="168"/>
      <c r="B23" s="162" t="s">
        <v>1855</v>
      </c>
      <c r="D23" s="167" t="s">
        <v>637</v>
      </c>
      <c r="E23" s="1836" t="s">
        <v>959</v>
      </c>
    </row>
    <row r="24" spans="1:5" x14ac:dyDescent="0.2">
      <c r="A24" s="168" t="s">
        <v>1609</v>
      </c>
      <c r="C24" s="162" t="s">
        <v>1169</v>
      </c>
      <c r="D24" s="167" t="s">
        <v>1393</v>
      </c>
      <c r="E24" s="170" t="s">
        <v>960</v>
      </c>
    </row>
    <row r="25" spans="1:5" x14ac:dyDescent="0.2">
      <c r="A25" s="168" t="s">
        <v>1867</v>
      </c>
      <c r="C25" s="162" t="s">
        <v>1169</v>
      </c>
      <c r="D25" s="169" t="s">
        <v>21</v>
      </c>
      <c r="E25" s="170" t="s">
        <v>1042</v>
      </c>
    </row>
    <row r="26" spans="1:5" x14ac:dyDescent="0.2">
      <c r="A26" s="168" t="s">
        <v>1868</v>
      </c>
      <c r="C26" s="162" t="s">
        <v>1169</v>
      </c>
      <c r="D26" s="169" t="s">
        <v>563</v>
      </c>
      <c r="E26" s="170" t="s">
        <v>1043</v>
      </c>
    </row>
    <row r="27" spans="1:5" x14ac:dyDescent="0.2">
      <c r="A27" s="168" t="s">
        <v>1869</v>
      </c>
      <c r="C27" s="162" t="s">
        <v>1169</v>
      </c>
      <c r="D27" s="169" t="s">
        <v>557</v>
      </c>
      <c r="E27" s="170" t="s">
        <v>683</v>
      </c>
    </row>
    <row r="28" spans="1:5" x14ac:dyDescent="0.2">
      <c r="A28" s="168" t="s">
        <v>1871</v>
      </c>
      <c r="D28" s="169" t="s">
        <v>684</v>
      </c>
      <c r="E28" s="170" t="s">
        <v>1366</v>
      </c>
    </row>
    <row r="29" spans="1:5" x14ac:dyDescent="0.2">
      <c r="A29" s="168" t="s">
        <v>1872</v>
      </c>
      <c r="D29" s="169" t="s">
        <v>1394</v>
      </c>
      <c r="E29" s="170" t="s">
        <v>1375</v>
      </c>
    </row>
    <row r="30" spans="1:5" x14ac:dyDescent="0.2">
      <c r="A30" s="173" t="s">
        <v>1873</v>
      </c>
      <c r="C30" s="162" t="s">
        <v>1169</v>
      </c>
      <c r="D30" s="169" t="s">
        <v>40</v>
      </c>
      <c r="E30" s="170" t="s">
        <v>982</v>
      </c>
    </row>
    <row r="31" spans="1:5" x14ac:dyDescent="0.2">
      <c r="A31" s="168" t="s">
        <v>1521</v>
      </c>
      <c r="C31" s="162" t="s">
        <v>1169</v>
      </c>
      <c r="D31" s="167"/>
      <c r="E31" s="171"/>
    </row>
    <row r="32" spans="1:5" x14ac:dyDescent="0.2">
      <c r="B32" s="167" t="s">
        <v>1874</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7" t="s">
        <v>1065</v>
      </c>
      <c r="B35" s="2057"/>
      <c r="C35" s="2057"/>
      <c r="D35" s="2057"/>
      <c r="E35" s="205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4" t="s">
        <v>691</v>
      </c>
      <c r="B40" s="2054"/>
      <c r="C40" s="2054"/>
      <c r="D40" s="2054"/>
      <c r="E40" s="2054"/>
    </row>
    <row r="41" spans="1:5" x14ac:dyDescent="0.2">
      <c r="A41" s="2055" t="s">
        <v>1608</v>
      </c>
      <c r="B41" s="2055"/>
      <c r="C41" s="2055"/>
      <c r="D41" s="2055"/>
      <c r="E41" s="2055"/>
    </row>
    <row r="42" spans="1:5" ht="12.75" customHeight="1" x14ac:dyDescent="0.2">
      <c r="A42" s="2056" t="s">
        <v>1022</v>
      </c>
      <c r="B42" s="2056"/>
      <c r="C42" s="2056"/>
      <c r="D42" s="2056"/>
      <c r="E42" s="2056"/>
    </row>
    <row r="43" spans="1:5" ht="6.75" customHeight="1" x14ac:dyDescent="0.2">
      <c r="A43" s="167"/>
      <c r="B43" s="176"/>
    </row>
    <row r="44" spans="1:5" x14ac:dyDescent="0.2">
      <c r="A44" s="185" t="s">
        <v>983</v>
      </c>
      <c r="B44" s="186" t="s">
        <v>1900</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1769</v>
      </c>
    </row>
    <row r="52" spans="1:3" x14ac:dyDescent="0.2">
      <c r="A52" s="190"/>
      <c r="B52" s="188" t="s">
        <v>1789</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1770</v>
      </c>
    </row>
    <row r="57" spans="1:3" x14ac:dyDescent="0.2">
      <c r="A57" s="193"/>
      <c r="B57" s="190" t="s">
        <v>1772</v>
      </c>
    </row>
    <row r="58" spans="1:3" x14ac:dyDescent="0.2">
      <c r="A58" s="194"/>
      <c r="B58" s="190" t="s">
        <v>1773</v>
      </c>
    </row>
    <row r="59" spans="1:3" x14ac:dyDescent="0.2">
      <c r="A59" s="195"/>
      <c r="B59" s="1485" t="s">
        <v>1774</v>
      </c>
    </row>
    <row r="60" spans="1:3" x14ac:dyDescent="0.2">
      <c r="A60" s="196"/>
      <c r="B60" s="1485" t="s">
        <v>1775</v>
      </c>
    </row>
    <row r="61" spans="1:3" ht="6" customHeight="1" x14ac:dyDescent="0.2">
      <c r="A61" s="197"/>
      <c r="B61" s="189"/>
    </row>
    <row r="62" spans="1:3" x14ac:dyDescent="0.2">
      <c r="A62" s="169" t="s">
        <v>1616</v>
      </c>
      <c r="B62" s="198" t="s">
        <v>1771</v>
      </c>
    </row>
    <row r="63" spans="1:3" x14ac:dyDescent="0.2">
      <c r="A63" s="188"/>
      <c r="B63" s="169" t="s">
        <v>1786</v>
      </c>
    </row>
    <row r="64" spans="1:3" x14ac:dyDescent="0.2">
      <c r="A64" s="195"/>
      <c r="B64" s="1487" t="s">
        <v>1776</v>
      </c>
    </row>
    <row r="65" spans="1:9" x14ac:dyDescent="0.2">
      <c r="A65" s="188"/>
      <c r="B65" s="169" t="s">
        <v>1787</v>
      </c>
    </row>
    <row r="66" spans="1:9" x14ac:dyDescent="0.2">
      <c r="A66" s="190"/>
      <c r="B66" s="190" t="s">
        <v>1777</v>
      </c>
    </row>
    <row r="67" spans="1:9" ht="12" customHeight="1" x14ac:dyDescent="0.2">
      <c r="A67" s="188"/>
      <c r="B67" s="169" t="s">
        <v>1788</v>
      </c>
    </row>
    <row r="68" spans="1:9" x14ac:dyDescent="0.2">
      <c r="A68" s="189"/>
      <c r="B68" s="190" t="s">
        <v>1778</v>
      </c>
    </row>
    <row r="69" spans="1:9" x14ac:dyDescent="0.2">
      <c r="A69" s="190"/>
      <c r="B69" s="188" t="s">
        <v>1779</v>
      </c>
    </row>
    <row r="70" spans="1:9" ht="13.5" customHeight="1" x14ac:dyDescent="0.2">
      <c r="A70" s="190"/>
      <c r="B70" s="188" t="s">
        <v>1780</v>
      </c>
    </row>
    <row r="71" spans="1:9" ht="12" customHeight="1" x14ac:dyDescent="0.2">
      <c r="A71" s="192"/>
      <c r="B71" s="1486" t="s">
        <v>1619</v>
      </c>
    </row>
    <row r="72" spans="1:9" ht="9" customHeight="1" x14ac:dyDescent="0.2">
      <c r="A72" s="192"/>
      <c r="B72" s="199"/>
    </row>
    <row r="73" spans="1:9" x14ac:dyDescent="0.2">
      <c r="A73" s="189" t="s">
        <v>1620</v>
      </c>
      <c r="B73" s="169" t="s">
        <v>1782</v>
      </c>
    </row>
    <row r="74" spans="1:9" x14ac:dyDescent="0.2">
      <c r="A74" s="189"/>
      <c r="B74" s="169" t="s">
        <v>1781</v>
      </c>
    </row>
    <row r="75" spans="1:9" ht="8.25" customHeight="1" x14ac:dyDescent="0.2">
      <c r="A75" s="189"/>
      <c r="B75" s="189"/>
    </row>
    <row r="76" spans="1:9" ht="12.2" customHeight="1" x14ac:dyDescent="0.2">
      <c r="A76" s="189" t="s">
        <v>1621</v>
      </c>
      <c r="B76" s="198" t="s">
        <v>1783</v>
      </c>
    </row>
    <row r="77" spans="1:9" ht="12.2" customHeight="1" x14ac:dyDescent="0.2">
      <c r="A77" s="190"/>
      <c r="B77" s="169" t="s">
        <v>1622</v>
      </c>
      <c r="C77" s="179"/>
      <c r="D77" s="180"/>
      <c r="E77" s="181"/>
      <c r="F77" s="181"/>
      <c r="G77" s="181"/>
      <c r="H77" s="181"/>
      <c r="I77" s="181"/>
    </row>
    <row r="78" spans="1:9" ht="11.25" customHeight="1" x14ac:dyDescent="0.2">
      <c r="A78" s="190"/>
      <c r="B78" s="190" t="s">
        <v>1785</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07" colorId="8" zoomScale="110" zoomScaleNormal="110" workbookViewId="0">
      <selection activeCell="D37" sqref="D3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8" t="s">
        <v>1168</v>
      </c>
      <c r="B2" s="2058"/>
      <c r="C2" s="2058"/>
      <c r="D2" s="2058"/>
      <c r="E2" s="2058"/>
      <c r="F2" s="2058"/>
      <c r="G2" s="2058"/>
      <c r="H2" s="2058"/>
      <c r="I2" s="2058"/>
      <c r="J2" s="2058"/>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1791</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2" t="s">
        <v>1633</v>
      </c>
      <c r="B35" s="2073"/>
      <c r="C35" s="2073"/>
      <c r="D35" s="2073"/>
      <c r="E35" s="2074"/>
      <c r="F35" s="2074"/>
      <c r="G35" s="2074"/>
      <c r="H35" s="2074"/>
      <c r="I35" s="2074"/>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2" t="s">
        <v>313</v>
      </c>
      <c r="B47" s="2075"/>
      <c r="C47" s="2075"/>
      <c r="D47" s="2075"/>
      <c r="E47" s="2076"/>
      <c r="F47" s="2076"/>
      <c r="G47" s="2076"/>
      <c r="H47" s="2076"/>
      <c r="I47" s="2076"/>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2062</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9"/>
      <c r="C57" s="2080"/>
      <c r="D57" s="2080"/>
      <c r="E57" s="2080"/>
      <c r="F57" s="2080"/>
      <c r="G57" s="2080"/>
      <c r="H57" s="2080"/>
      <c r="I57" s="2080"/>
      <c r="J57" s="2081"/>
    </row>
    <row r="58" spans="1:10" s="181" customFormat="1" x14ac:dyDescent="0.2">
      <c r="A58" s="253"/>
      <c r="B58" s="2082"/>
      <c r="C58" s="2083"/>
      <c r="D58" s="2083"/>
      <c r="E58" s="2083"/>
      <c r="F58" s="2083"/>
      <c r="G58" s="2083"/>
      <c r="H58" s="2083"/>
      <c r="I58" s="2083"/>
      <c r="J58" s="2084"/>
    </row>
    <row r="59" spans="1:10" s="181" customFormat="1" x14ac:dyDescent="0.2">
      <c r="A59" s="253"/>
      <c r="B59" s="2082"/>
      <c r="C59" s="2083"/>
      <c r="D59" s="2083"/>
      <c r="E59" s="2083"/>
      <c r="F59" s="2083"/>
      <c r="G59" s="2083"/>
      <c r="H59" s="2083"/>
      <c r="I59" s="2083"/>
      <c r="J59" s="2084"/>
    </row>
    <row r="60" spans="1:10" s="181" customFormat="1" x14ac:dyDescent="0.2">
      <c r="A60" s="253"/>
      <c r="B60" s="2082"/>
      <c r="C60" s="2083"/>
      <c r="D60" s="2083"/>
      <c r="E60" s="2083"/>
      <c r="F60" s="2083"/>
      <c r="G60" s="2083"/>
      <c r="H60" s="2083"/>
      <c r="I60" s="2083"/>
      <c r="J60" s="2084"/>
    </row>
    <row r="61" spans="1:10" s="181" customFormat="1" x14ac:dyDescent="0.2">
      <c r="A61" s="253"/>
      <c r="B61" s="2082"/>
      <c r="C61" s="2083"/>
      <c r="D61" s="2083"/>
      <c r="E61" s="2083"/>
      <c r="F61" s="2083"/>
      <c r="G61" s="2083"/>
      <c r="H61" s="2083"/>
      <c r="I61" s="2083"/>
      <c r="J61" s="2084"/>
    </row>
    <row r="62" spans="1:10" s="181" customFormat="1" x14ac:dyDescent="0.2">
      <c r="A62" s="253"/>
      <c r="B62" s="2082"/>
      <c r="C62" s="2083"/>
      <c r="D62" s="2083"/>
      <c r="E62" s="2083"/>
      <c r="F62" s="2083"/>
      <c r="G62" s="2083"/>
      <c r="H62" s="2083"/>
      <c r="I62" s="2083"/>
      <c r="J62" s="2084"/>
    </row>
    <row r="63" spans="1:10" s="181" customFormat="1" x14ac:dyDescent="0.2">
      <c r="A63" s="253"/>
      <c r="B63" s="2082"/>
      <c r="C63" s="2083"/>
      <c r="D63" s="2083"/>
      <c r="E63" s="2083"/>
      <c r="F63" s="2083"/>
      <c r="G63" s="2083"/>
      <c r="H63" s="2083"/>
      <c r="I63" s="2083"/>
      <c r="J63" s="2084"/>
    </row>
    <row r="64" spans="1:10" s="181" customFormat="1" x14ac:dyDescent="0.2">
      <c r="A64" s="253"/>
      <c r="B64" s="2082"/>
      <c r="C64" s="2083"/>
      <c r="D64" s="2083"/>
      <c r="E64" s="2083"/>
      <c r="F64" s="2083"/>
      <c r="G64" s="2083"/>
      <c r="H64" s="2083"/>
      <c r="I64" s="2083"/>
      <c r="J64" s="2084"/>
    </row>
    <row r="65" spans="1:10" s="181" customFormat="1" x14ac:dyDescent="0.2">
      <c r="A65" s="253"/>
      <c r="B65" s="2082"/>
      <c r="C65" s="2083"/>
      <c r="D65" s="2083"/>
      <c r="E65" s="2083"/>
      <c r="F65" s="2083"/>
      <c r="G65" s="2083"/>
      <c r="H65" s="2083"/>
      <c r="I65" s="2083"/>
      <c r="J65" s="2084"/>
    </row>
    <row r="66" spans="1:10" s="181" customFormat="1" x14ac:dyDescent="0.2">
      <c r="A66" s="253"/>
      <c r="B66" s="2082"/>
      <c r="C66" s="2083"/>
      <c r="D66" s="2083"/>
      <c r="E66" s="2083"/>
      <c r="F66" s="2083"/>
      <c r="G66" s="2083"/>
      <c r="H66" s="2083"/>
      <c r="I66" s="2083"/>
      <c r="J66" s="2084"/>
    </row>
    <row r="67" spans="1:10" s="181" customFormat="1" ht="9" customHeight="1" x14ac:dyDescent="0.2">
      <c r="A67" s="254"/>
      <c r="B67" s="2085"/>
      <c r="C67" s="2086"/>
      <c r="D67" s="2086"/>
      <c r="E67" s="2086"/>
      <c r="F67" s="2086"/>
      <c r="G67" s="2086"/>
      <c r="H67" s="2086"/>
      <c r="I67" s="2086"/>
      <c r="J67" s="208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2" t="s">
        <v>1323</v>
      </c>
      <c r="B70" s="2075"/>
      <c r="C70" s="2075"/>
      <c r="D70" s="2075"/>
      <c r="E70" s="2076"/>
      <c r="F70" s="2076"/>
      <c r="G70" s="2076"/>
      <c r="H70" s="2076"/>
      <c r="I70" s="2076"/>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1928</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1903</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7" t="s">
        <v>1320</v>
      </c>
      <c r="B83" s="2077"/>
      <c r="C83" s="2077"/>
      <c r="D83" s="2078"/>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1926</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1927</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9"/>
      <c r="C102" s="2060"/>
      <c r="D102" s="2060"/>
      <c r="E102" s="2060"/>
      <c r="F102" s="2060"/>
      <c r="G102" s="2060"/>
      <c r="H102" s="2060"/>
      <c r="I102" s="2061"/>
    </row>
    <row r="103" spans="1:9" s="181" customFormat="1" ht="11.25" customHeight="1" x14ac:dyDescent="0.2">
      <c r="A103" s="316"/>
      <c r="B103" s="2062"/>
      <c r="C103" s="2063"/>
      <c r="D103" s="2063"/>
      <c r="E103" s="2063"/>
      <c r="F103" s="2063"/>
      <c r="G103" s="2063"/>
      <c r="H103" s="2063"/>
      <c r="I103" s="2064"/>
    </row>
    <row r="104" spans="1:9" s="181" customFormat="1" ht="11.25" customHeight="1" x14ac:dyDescent="0.2">
      <c r="A104" s="316"/>
      <c r="B104" s="2062"/>
      <c r="C104" s="2063"/>
      <c r="D104" s="2063"/>
      <c r="E104" s="2063"/>
      <c r="F104" s="2063"/>
      <c r="G104" s="2063"/>
      <c r="H104" s="2063"/>
      <c r="I104" s="2064"/>
    </row>
    <row r="105" spans="1:9" s="181" customFormat="1" x14ac:dyDescent="0.2">
      <c r="A105" s="316"/>
      <c r="B105" s="2062"/>
      <c r="C105" s="2063"/>
      <c r="D105" s="2063"/>
      <c r="E105" s="2063"/>
      <c r="F105" s="2063"/>
      <c r="G105" s="2063"/>
      <c r="H105" s="2063"/>
      <c r="I105" s="2064"/>
    </row>
    <row r="106" spans="1:9" s="181" customFormat="1" ht="11.25" customHeight="1" x14ac:dyDescent="0.2">
      <c r="A106" s="316"/>
      <c r="B106" s="2062"/>
      <c r="C106" s="2063"/>
      <c r="D106" s="2063"/>
      <c r="E106" s="2063"/>
      <c r="F106" s="2063"/>
      <c r="G106" s="2063"/>
      <c r="H106" s="2063"/>
      <c r="I106" s="2064"/>
    </row>
    <row r="107" spans="1:9" s="181" customFormat="1" ht="11.25" customHeight="1" x14ac:dyDescent="0.2">
      <c r="A107" s="316"/>
      <c r="B107" s="2062"/>
      <c r="C107" s="2063"/>
      <c r="D107" s="2063"/>
      <c r="E107" s="2063"/>
      <c r="F107" s="2063"/>
      <c r="G107" s="2063"/>
      <c r="H107" s="2063"/>
      <c r="I107" s="2064"/>
    </row>
    <row r="108" spans="1:9" s="181" customFormat="1" ht="11.25" customHeight="1" x14ac:dyDescent="0.2">
      <c r="A108" s="316"/>
      <c r="B108" s="2062"/>
      <c r="C108" s="2063"/>
      <c r="D108" s="2063"/>
      <c r="E108" s="2063"/>
      <c r="F108" s="2063"/>
      <c r="G108" s="2063"/>
      <c r="H108" s="2063"/>
      <c r="I108" s="2064"/>
    </row>
    <row r="109" spans="1:9" s="181" customFormat="1" ht="11.25" customHeight="1" x14ac:dyDescent="0.2">
      <c r="A109" s="316"/>
      <c r="B109" s="2062"/>
      <c r="C109" s="2063"/>
      <c r="D109" s="2063"/>
      <c r="E109" s="2063"/>
      <c r="F109" s="2063"/>
      <c r="G109" s="2063"/>
      <c r="H109" s="2063"/>
      <c r="I109" s="2064"/>
    </row>
    <row r="110" spans="1:9" s="181" customFormat="1" ht="11.25" customHeight="1" x14ac:dyDescent="0.2">
      <c r="A110" s="316"/>
      <c r="B110" s="2062"/>
      <c r="C110" s="2063"/>
      <c r="D110" s="2063"/>
      <c r="E110" s="2063"/>
      <c r="F110" s="2063"/>
      <c r="G110" s="2063"/>
      <c r="H110" s="2063"/>
      <c r="I110" s="2064"/>
    </row>
    <row r="111" spans="1:9" s="181" customFormat="1" ht="11.25" customHeight="1" x14ac:dyDescent="0.2">
      <c r="A111" s="316"/>
      <c r="B111" s="2062"/>
      <c r="C111" s="2063"/>
      <c r="D111" s="2063"/>
      <c r="E111" s="2063"/>
      <c r="F111" s="2063"/>
      <c r="G111" s="2063"/>
      <c r="H111" s="2063"/>
      <c r="I111" s="2064"/>
    </row>
    <row r="112" spans="1:9" s="181" customFormat="1" ht="11.25" customHeight="1" x14ac:dyDescent="0.2">
      <c r="A112" s="316"/>
      <c r="B112" s="2065"/>
      <c r="C112" s="2066"/>
      <c r="D112" s="2066"/>
      <c r="E112" s="2066"/>
      <c r="F112" s="2066"/>
      <c r="G112" s="2066"/>
      <c r="H112" s="2066"/>
      <c r="I112" s="206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8" t="s">
        <v>2071</v>
      </c>
      <c r="D114" s="2068"/>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9" t="s">
        <v>1330</v>
      </c>
      <c r="D117" s="2070"/>
      <c r="E117" s="2071"/>
      <c r="F117" s="2071"/>
      <c r="G117" s="2071"/>
      <c r="H117" s="2071"/>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1904</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98" zoomScaleNormal="98" workbookViewId="0">
      <selection activeCell="G4" sqref="G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8" t="s">
        <v>386</v>
      </c>
      <c r="B1" s="2088"/>
      <c r="C1" s="2088"/>
      <c r="D1" s="2088"/>
      <c r="E1" s="2088"/>
      <c r="F1" s="2088"/>
      <c r="G1" s="2088"/>
      <c r="H1" s="2088"/>
      <c r="I1" s="2088"/>
      <c r="J1" s="2088"/>
      <c r="K1" s="2088"/>
      <c r="L1" s="2088"/>
      <c r="M1" s="2088"/>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v>4569248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0.02</v>
      </c>
      <c r="E10" s="356" t="s">
        <v>1005</v>
      </c>
      <c r="F10" s="355">
        <v>5.0000000000000001E-3</v>
      </c>
      <c r="G10" s="356" t="s">
        <v>1005</v>
      </c>
      <c r="H10" s="355">
        <v>2E-3</v>
      </c>
      <c r="I10" s="356" t="s">
        <v>1006</v>
      </c>
      <c r="J10" s="1732">
        <f>ROUND(D10+F10+H10,5)</f>
        <v>2.7E-2</v>
      </c>
      <c r="K10" s="222"/>
      <c r="L10" s="355">
        <v>5.0000000000000001E-3</v>
      </c>
      <c r="M10" s="222"/>
    </row>
    <row r="11" spans="1:14" ht="7.5" customHeight="1" x14ac:dyDescent="0.2">
      <c r="B11" s="222"/>
      <c r="C11" s="222"/>
      <c r="D11" s="2098" t="str">
        <f>IF(SUM(J10)&lt;=0.0999999,"","Enter the Tax Rates by moving the decimal two places to the left.")</f>
        <v/>
      </c>
      <c r="E11" s="2099"/>
      <c r="F11" s="2099"/>
      <c r="G11" s="2099"/>
      <c r="H11" s="2099"/>
      <c r="I11" s="2099"/>
      <c r="J11" s="209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2341120</v>
      </c>
      <c r="E16" s="356"/>
      <c r="F16" s="1733">
        <f>SUM('Acct Summary 7-8'!C17,'Acct Summary 7-8'!D17,'Acct Summary 7-8'!F17)</f>
        <v>2458107</v>
      </c>
      <c r="G16" s="356"/>
      <c r="H16" s="1733">
        <f>SUM(D16-F16)</f>
        <v>-116987</v>
      </c>
      <c r="I16" s="222"/>
      <c r="J16" s="1733">
        <f>SUM('Acct Summary 7-8'!C81,'Acct Summary 7-8'!D81,'Acct Summary 7-8'!F81,'Acct Summary 7-8'!I81)</f>
        <v>631753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630556.22400000005</v>
      </c>
      <c r="I31" s="368"/>
      <c r="J31" s="222"/>
      <c r="K31" s="222"/>
      <c r="L31" s="222"/>
      <c r="M31" s="222"/>
    </row>
    <row r="32" spans="1:13" ht="13.35" customHeight="1" x14ac:dyDescent="0.2">
      <c r="B32" s="369" t="s">
        <v>2062</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772504</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9"/>
      <c r="C54" s="2090"/>
      <c r="D54" s="2090"/>
      <c r="E54" s="2090"/>
      <c r="F54" s="2090"/>
      <c r="G54" s="2090"/>
      <c r="H54" s="2090"/>
      <c r="I54" s="2090"/>
      <c r="J54" s="2090"/>
      <c r="K54" s="2090"/>
      <c r="L54" s="2091"/>
      <c r="M54" s="380"/>
    </row>
    <row r="55" spans="1:13" ht="12.75" customHeight="1" x14ac:dyDescent="0.2">
      <c r="B55" s="2092"/>
      <c r="C55" s="2093"/>
      <c r="D55" s="2093"/>
      <c r="E55" s="2093"/>
      <c r="F55" s="2093"/>
      <c r="G55" s="2093"/>
      <c r="H55" s="2093"/>
      <c r="I55" s="2093"/>
      <c r="J55" s="2093"/>
      <c r="K55" s="2093"/>
      <c r="L55" s="2094"/>
      <c r="M55" s="380"/>
    </row>
    <row r="56" spans="1:13" ht="12.75" customHeight="1" x14ac:dyDescent="0.2">
      <c r="B56" s="2092"/>
      <c r="C56" s="2093"/>
      <c r="D56" s="2093"/>
      <c r="E56" s="2093"/>
      <c r="F56" s="2093"/>
      <c r="G56" s="2093"/>
      <c r="H56" s="2093"/>
      <c r="I56" s="2093"/>
      <c r="J56" s="2093"/>
      <c r="K56" s="2093"/>
      <c r="L56" s="2094"/>
      <c r="M56" s="222"/>
    </row>
    <row r="57" spans="1:13" ht="12.75" customHeight="1" x14ac:dyDescent="0.2">
      <c r="B57" s="2092"/>
      <c r="C57" s="2093"/>
      <c r="D57" s="2093"/>
      <c r="E57" s="2093"/>
      <c r="F57" s="2093"/>
      <c r="G57" s="2093"/>
      <c r="H57" s="2093"/>
      <c r="I57" s="2093"/>
      <c r="J57" s="2093"/>
      <c r="K57" s="2093"/>
      <c r="L57" s="2094"/>
      <c r="M57" s="222"/>
    </row>
    <row r="58" spans="1:13" x14ac:dyDescent="0.2">
      <c r="B58" s="2095"/>
      <c r="C58" s="2096"/>
      <c r="D58" s="2096"/>
      <c r="E58" s="2096"/>
      <c r="F58" s="2096"/>
      <c r="G58" s="2096"/>
      <c r="H58" s="2096"/>
      <c r="I58" s="2096"/>
      <c r="J58" s="2096"/>
      <c r="K58" s="2096"/>
      <c r="L58" s="209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0"/>
      <c r="D61" s="210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7" zoomScale="110" zoomScaleNormal="110" workbookViewId="0">
      <selection activeCell="K32" sqref="K3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3"/>
      <c r="B1" s="2104"/>
      <c r="C1" s="2104"/>
      <c r="D1" s="384"/>
      <c r="E1" s="384"/>
      <c r="F1" s="384"/>
      <c r="G1" s="384"/>
      <c r="H1" s="384"/>
      <c r="I1" s="384"/>
      <c r="J1" s="384"/>
      <c r="K1" s="384"/>
      <c r="L1" s="384"/>
      <c r="M1" s="384"/>
      <c r="N1" s="384"/>
      <c r="O1" s="2103"/>
      <c r="P1" s="2104"/>
      <c r="Q1" s="2104"/>
    </row>
    <row r="2" spans="1:18" ht="15" x14ac:dyDescent="0.2">
      <c r="A2" s="2107" t="s">
        <v>556</v>
      </c>
      <c r="B2" s="2107"/>
      <c r="C2" s="2107"/>
      <c r="D2" s="2107"/>
      <c r="E2" s="2107"/>
      <c r="F2" s="2107"/>
      <c r="G2" s="2107"/>
      <c r="H2" s="2107"/>
      <c r="I2" s="2107"/>
      <c r="J2" s="2107"/>
      <c r="K2" s="2107"/>
      <c r="L2" s="2107"/>
      <c r="M2" s="2107"/>
      <c r="N2" s="2107"/>
      <c r="O2" s="2107"/>
      <c r="P2" s="2107"/>
      <c r="Q2" s="2107"/>
      <c r="R2" s="2107"/>
    </row>
    <row r="3" spans="1:18" ht="12.75" x14ac:dyDescent="0.2">
      <c r="A3" s="2108" t="s">
        <v>1413</v>
      </c>
      <c r="B3" s="2108"/>
      <c r="C3" s="2108"/>
      <c r="D3" s="2108"/>
      <c r="E3" s="2108"/>
      <c r="F3" s="2108"/>
      <c r="G3" s="2108"/>
      <c r="H3" s="2108"/>
      <c r="I3" s="2108"/>
      <c r="J3" s="2108"/>
      <c r="K3" s="2108"/>
      <c r="L3" s="2108"/>
      <c r="M3" s="2108"/>
      <c r="N3" s="2108"/>
      <c r="O3" s="2108"/>
      <c r="P3" s="2108"/>
      <c r="Q3" s="2108"/>
      <c r="R3" s="2108"/>
    </row>
    <row r="4" spans="1:18" x14ac:dyDescent="0.2">
      <c r="A4" s="2109" t="s">
        <v>1554</v>
      </c>
      <c r="B4" s="2109"/>
      <c r="C4" s="2109"/>
      <c r="D4" s="2109"/>
      <c r="E4" s="2109"/>
      <c r="F4" s="2109"/>
      <c r="G4" s="2109"/>
      <c r="H4" s="2109"/>
      <c r="I4" s="2109"/>
      <c r="J4" s="2109"/>
      <c r="K4" s="2109"/>
      <c r="L4" s="2109"/>
      <c r="M4" s="2109"/>
      <c r="N4" s="2109"/>
      <c r="O4" s="2109"/>
      <c r="P4" s="2109"/>
      <c r="Q4" s="2109"/>
      <c r="R4" s="210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Brooklyn UD 188</v>
      </c>
      <c r="E7" s="391"/>
      <c r="G7" s="252"/>
      <c r="H7" s="387"/>
      <c r="I7" s="387"/>
      <c r="J7" s="387"/>
      <c r="K7" s="387"/>
      <c r="L7" s="329"/>
      <c r="M7" s="329"/>
      <c r="N7" s="329"/>
      <c r="O7" s="329"/>
      <c r="P7" s="329"/>
    </row>
    <row r="8" spans="1:18" ht="12.75" x14ac:dyDescent="0.2">
      <c r="A8" s="329"/>
      <c r="B8" s="329"/>
      <c r="C8" s="389" t="s">
        <v>1125</v>
      </c>
      <c r="D8" s="392">
        <f>COVER!A13</f>
        <v>50082188022</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631753</v>
      </c>
      <c r="I12" s="404"/>
      <c r="J12" s="404"/>
      <c r="K12" s="405">
        <f>TRUNC((H12/H13*100000),5)/100000</f>
        <v>0.26985075510000001</v>
      </c>
      <c r="L12" s="406"/>
      <c r="M12" s="360" t="s">
        <v>1144</v>
      </c>
      <c r="N12" s="360"/>
      <c r="O12" s="407">
        <v>0.35</v>
      </c>
      <c r="P12" s="218"/>
      <c r="Q12" s="218"/>
    </row>
    <row r="13" spans="1:18" s="408" customFormat="1" ht="12.75" x14ac:dyDescent="0.2">
      <c r="A13" s="218"/>
      <c r="B13" s="401"/>
      <c r="C13" s="2105" t="s">
        <v>1324</v>
      </c>
      <c r="D13" s="2106"/>
      <c r="E13" s="218"/>
      <c r="F13" s="409" t="s">
        <v>793</v>
      </c>
      <c r="G13" s="402"/>
      <c r="H13" s="403">
        <f>SUM('Acct Summary 7-8'!C8+'Acct Summary 7-8'!D8+'Acct Summary 7-8'!F8+'Acct Summary 7-8'!I8)+H14</f>
        <v>2341120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2458107</v>
      </c>
      <c r="I17" s="404"/>
      <c r="J17" s="416"/>
      <c r="K17" s="405">
        <f>TRUNC((H17/H18*100000),5)/100000</f>
        <v>1.0499705268999999</v>
      </c>
      <c r="L17" s="406"/>
      <c r="M17" s="417" t="s">
        <v>1171</v>
      </c>
      <c r="O17" s="418" t="str">
        <f>IF(AND(O16="2", J20 &gt; 2),"1",IF(AND(O16 = "1", J20 &gt; 2),"2",IF(AND(O16="1", J20 &gt;1),"1","0")))</f>
        <v>0</v>
      </c>
      <c r="P17" s="218"/>
    </row>
    <row r="18" spans="1:18" s="408" customFormat="1" ht="11.25" x14ac:dyDescent="0.2">
      <c r="A18" s="218"/>
      <c r="B18" s="401"/>
      <c r="C18" s="2105" t="s">
        <v>1317</v>
      </c>
      <c r="D18" s="2106"/>
      <c r="E18" s="218"/>
      <c r="F18" s="419" t="s">
        <v>794</v>
      </c>
      <c r="G18" s="402"/>
      <c r="H18" s="403">
        <f>SUM('Acct Summary 7-8'!C8+'Acct Summary 7-8'!D8+'Acct Summary 7-8'!F8+'Acct Summary 7-8'!I8)+H19</f>
        <v>2341120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3.3990185999999998</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2" t="s">
        <v>1412</v>
      </c>
      <c r="D24" s="2102"/>
      <c r="E24" s="218"/>
      <c r="F24" s="218" t="s">
        <v>445</v>
      </c>
      <c r="G24" s="402"/>
      <c r="H24" s="403">
        <f>SUM('Assets-Liab 5-6'!C4+'Assets-Liab 5-6'!D4+'Assets-Liab 5-6'!F4+'Assets-Liab 5-6'!I4+'Assets-Liab 5-6'!C5+'Assets-Liab 5-6'!D5+'Assets-Liab 5-6'!F5+'Assets-Liab 5-6'!I5)</f>
        <v>631007</v>
      </c>
      <c r="I24" s="422"/>
      <c r="J24" s="422"/>
      <c r="K24" s="423">
        <f>TRUNC(((H24/H25*100000)/100000),2)</f>
        <v>92.41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6828.0749999999998</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1929</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104864.24159999999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f>IF(K32&gt;=75,"4",IF(K32&gt;=50,"3",IF(K32&gt;=25,"2",1)))</f>
        <v>1</v>
      </c>
      <c r="P31" s="216"/>
    </row>
    <row r="32" spans="1:18" s="408" customFormat="1" ht="11.25" x14ac:dyDescent="0.2">
      <c r="A32" s="218"/>
      <c r="B32" s="401"/>
      <c r="C32" s="218" t="s">
        <v>847</v>
      </c>
      <c r="D32" s="218"/>
      <c r="E32" s="218"/>
      <c r="F32" s="218"/>
      <c r="G32" s="402"/>
      <c r="H32" s="403">
        <f>'FP Info 3'!H37</f>
        <v>772504</v>
      </c>
      <c r="I32" s="420"/>
      <c r="J32" s="420"/>
      <c r="K32" s="423">
        <f>TRUNC(100-((((H32/H33*100))*100)/100),2)</f>
        <v>-22.51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630556.22400000005</v>
      </c>
      <c r="I33" s="420"/>
      <c r="J33" s="420"/>
      <c r="K33" s="403"/>
      <c r="L33" s="218"/>
      <c r="M33" s="435" t="s">
        <v>1145</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3.25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9" activePane="bottomLeft" state="frozen"/>
      <selection activeCell="A4" sqref="A4:F4"/>
      <selection pane="bottomLeft"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0"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1"/>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2" t="s">
        <v>973</v>
      </c>
      <c r="B3" s="2113"/>
      <c r="C3" s="1559"/>
      <c r="D3" s="1560"/>
      <c r="E3" s="1560"/>
      <c r="F3" s="1560"/>
      <c r="G3" s="1560"/>
      <c r="H3" s="1560"/>
      <c r="I3" s="1560"/>
      <c r="J3" s="1560"/>
      <c r="K3" s="1560"/>
      <c r="L3" s="1560"/>
      <c r="M3" s="1561"/>
      <c r="N3" s="1562"/>
    </row>
    <row r="4" spans="1:14" ht="13.5" customHeight="1" x14ac:dyDescent="0.2">
      <c r="A4" s="463" t="s">
        <v>1651</v>
      </c>
      <c r="B4" s="464"/>
      <c r="C4" s="465">
        <v>530424</v>
      </c>
      <c r="D4" s="466">
        <v>26627</v>
      </c>
      <c r="E4" s="466">
        <v>58898</v>
      </c>
      <c r="F4" s="466">
        <v>13959</v>
      </c>
      <c r="G4" s="466">
        <v>161509</v>
      </c>
      <c r="H4" s="466"/>
      <c r="I4" s="466">
        <v>16496</v>
      </c>
      <c r="J4" s="467">
        <v>34073</v>
      </c>
      <c r="K4" s="466">
        <v>1396</v>
      </c>
      <c r="L4" s="466"/>
      <c r="M4" s="468"/>
      <c r="N4" s="469"/>
    </row>
    <row r="5" spans="1:14" x14ac:dyDescent="0.2">
      <c r="A5" s="463" t="s">
        <v>992</v>
      </c>
      <c r="B5" s="470">
        <v>120</v>
      </c>
      <c r="C5" s="465">
        <v>43501</v>
      </c>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v>746</v>
      </c>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574671</v>
      </c>
      <c r="D13" s="1737">
        <f t="shared" ref="D13:L13" si="0">SUM(D4:D12)</f>
        <v>26627</v>
      </c>
      <c r="E13" s="1737">
        <f t="shared" si="0"/>
        <v>58898</v>
      </c>
      <c r="F13" s="1737">
        <f t="shared" si="0"/>
        <v>13959</v>
      </c>
      <c r="G13" s="1737">
        <f t="shared" si="0"/>
        <v>161509</v>
      </c>
      <c r="H13" s="1737">
        <f t="shared" si="0"/>
        <v>0</v>
      </c>
      <c r="I13" s="1737">
        <f t="shared" si="0"/>
        <v>16496</v>
      </c>
      <c r="J13" s="1737">
        <f t="shared" si="0"/>
        <v>34073</v>
      </c>
      <c r="K13" s="1737">
        <f t="shared" si="0"/>
        <v>1396</v>
      </c>
      <c r="L13" s="1737">
        <f t="shared" si="0"/>
        <v>0</v>
      </c>
      <c r="M13" s="468"/>
      <c r="N13" s="469"/>
    </row>
    <row r="14" spans="1:14" ht="18" customHeight="1" thickTop="1" x14ac:dyDescent="0.2">
      <c r="A14" s="2114" t="s">
        <v>147</v>
      </c>
      <c r="B14" s="2115"/>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81150</v>
      </c>
      <c r="N16" s="484"/>
    </row>
    <row r="17" spans="1:14" s="485" customFormat="1" ht="12.75" customHeight="1" x14ac:dyDescent="0.2">
      <c r="A17" s="482" t="s">
        <v>1403</v>
      </c>
      <c r="B17" s="483">
        <v>230</v>
      </c>
      <c r="C17" s="477"/>
      <c r="D17" s="477"/>
      <c r="E17" s="477"/>
      <c r="F17" s="477"/>
      <c r="G17" s="477"/>
      <c r="H17" s="477"/>
      <c r="I17" s="477"/>
      <c r="J17" s="477"/>
      <c r="K17" s="477"/>
      <c r="L17" s="477"/>
      <c r="M17" s="467">
        <v>1847144</v>
      </c>
      <c r="N17" s="484"/>
    </row>
    <row r="18" spans="1:14" s="485" customFormat="1" ht="12.75" customHeight="1" x14ac:dyDescent="0.2">
      <c r="A18" s="482" t="s">
        <v>1404</v>
      </c>
      <c r="B18" s="483">
        <v>240</v>
      </c>
      <c r="C18" s="477"/>
      <c r="D18" s="477"/>
      <c r="E18" s="477"/>
      <c r="F18" s="477"/>
      <c r="G18" s="477"/>
      <c r="H18" s="477"/>
      <c r="I18" s="477"/>
      <c r="J18" s="477"/>
      <c r="K18" s="477"/>
      <c r="L18" s="477"/>
      <c r="M18" s="467">
        <v>69247</v>
      </c>
      <c r="N18" s="484"/>
    </row>
    <row r="19" spans="1:14" s="485" customFormat="1" ht="12.75" customHeight="1" x14ac:dyDescent="0.2">
      <c r="A19" s="482" t="s">
        <v>1405</v>
      </c>
      <c r="B19" s="483">
        <v>250</v>
      </c>
      <c r="C19" s="477"/>
      <c r="D19" s="477"/>
      <c r="E19" s="477"/>
      <c r="F19" s="477"/>
      <c r="G19" s="477"/>
      <c r="H19" s="477"/>
      <c r="I19" s="477"/>
      <c r="J19" s="477"/>
      <c r="K19" s="477"/>
      <c r="L19" s="477"/>
      <c r="M19" s="467">
        <v>1307696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58898</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713606</v>
      </c>
    </row>
    <row r="23" spans="1:14" ht="13.5" customHeight="1" thickBot="1" x14ac:dyDescent="0.25">
      <c r="A23" s="1736" t="s">
        <v>643</v>
      </c>
      <c r="B23" s="1741"/>
      <c r="C23" s="468"/>
      <c r="D23" s="468"/>
      <c r="E23" s="468"/>
      <c r="F23" s="468"/>
      <c r="G23" s="468"/>
      <c r="H23" s="468"/>
      <c r="I23" s="468"/>
      <c r="J23" s="468"/>
      <c r="K23" s="468"/>
      <c r="L23" s="468"/>
      <c r="M23" s="1688">
        <f>SUM(M15:M22)</f>
        <v>3305237</v>
      </c>
      <c r="N23" s="1688">
        <f>SUM(N21:N22)</f>
        <v>772504</v>
      </c>
    </row>
    <row r="24" spans="1:14" ht="18" customHeight="1" thickTop="1" x14ac:dyDescent="0.2">
      <c r="A24" s="2116" t="s">
        <v>598</v>
      </c>
      <c r="B24" s="2117"/>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8" t="s">
        <v>529</v>
      </c>
      <c r="B35" s="2119"/>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772504</v>
      </c>
    </row>
    <row r="37" spans="1:14" ht="13.5" thickBot="1" x14ac:dyDescent="0.25">
      <c r="A37" s="1736" t="s">
        <v>653</v>
      </c>
      <c r="B37" s="1741"/>
      <c r="C37" s="477"/>
      <c r="D37" s="477"/>
      <c r="E37" s="477"/>
      <c r="F37" s="477"/>
      <c r="G37" s="477"/>
      <c r="H37" s="477"/>
      <c r="I37" s="477"/>
      <c r="J37" s="477"/>
      <c r="K37" s="477"/>
      <c r="L37" s="480"/>
      <c r="M37" s="468"/>
      <c r="N37" s="1688">
        <f>SUM(N36:N36)</f>
        <v>772504</v>
      </c>
    </row>
    <row r="38" spans="1:14" s="329" customFormat="1" ht="13.5" customHeight="1" thickTop="1" x14ac:dyDescent="0.2">
      <c r="A38" s="496" t="s">
        <v>420</v>
      </c>
      <c r="B38" s="483">
        <v>714</v>
      </c>
      <c r="C38" s="466">
        <v>7111</v>
      </c>
      <c r="D38" s="466"/>
      <c r="E38" s="466"/>
      <c r="F38" s="466"/>
      <c r="G38" s="466">
        <v>47186</v>
      </c>
      <c r="H38" s="466"/>
      <c r="I38" s="466"/>
      <c r="J38" s="467"/>
      <c r="K38" s="466"/>
      <c r="L38" s="481"/>
      <c r="M38" s="497"/>
      <c r="N38" s="497"/>
    </row>
    <row r="39" spans="1:14" s="329" customFormat="1" ht="13.5" customHeight="1" x14ac:dyDescent="0.2">
      <c r="A39" s="496" t="s">
        <v>342</v>
      </c>
      <c r="B39" s="483">
        <v>730</v>
      </c>
      <c r="C39" s="466">
        <v>567560</v>
      </c>
      <c r="D39" s="466">
        <v>26627</v>
      </c>
      <c r="E39" s="466">
        <v>58898</v>
      </c>
      <c r="F39" s="466">
        <v>13959</v>
      </c>
      <c r="G39" s="466">
        <v>114323</v>
      </c>
      <c r="H39" s="466"/>
      <c r="I39" s="466">
        <v>16496</v>
      </c>
      <c r="J39" s="467">
        <v>34073</v>
      </c>
      <c r="K39" s="466">
        <v>1396</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3305237</v>
      </c>
      <c r="N40" s="497"/>
    </row>
    <row r="41" spans="1:14" ht="13.5" customHeight="1" thickBot="1" x14ac:dyDescent="0.25">
      <c r="A41" s="1736" t="s">
        <v>655</v>
      </c>
      <c r="B41" s="1706"/>
      <c r="C41" s="1688">
        <f>(SUM(C34,C37,C38,C39))</f>
        <v>574671</v>
      </c>
      <c r="D41" s="1688">
        <f t="shared" ref="D41:L41" si="2">SUM(D34,D37,D38:D39)</f>
        <v>26627</v>
      </c>
      <c r="E41" s="1688">
        <f t="shared" si="2"/>
        <v>58898</v>
      </c>
      <c r="F41" s="1688">
        <f t="shared" si="2"/>
        <v>13959</v>
      </c>
      <c r="G41" s="1688">
        <f t="shared" si="2"/>
        <v>161509</v>
      </c>
      <c r="H41" s="1688">
        <f t="shared" si="2"/>
        <v>0</v>
      </c>
      <c r="I41" s="1688">
        <f t="shared" si="2"/>
        <v>16496</v>
      </c>
      <c r="J41" s="1688">
        <f t="shared" si="2"/>
        <v>34073</v>
      </c>
      <c r="K41" s="1688">
        <f t="shared" si="2"/>
        <v>1396</v>
      </c>
      <c r="L41" s="1688">
        <f t="shared" si="2"/>
        <v>0</v>
      </c>
      <c r="M41" s="1688">
        <f>SUM(M40)</f>
        <v>3305237</v>
      </c>
      <c r="N41" s="1688">
        <f>SUM(N37)</f>
        <v>772504</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54" activePane="bottomLeft" state="frozen"/>
      <selection activeCell="A4" sqref="A4:F4"/>
      <selection pane="bottomLeft" activeCell="C15" sqref="C1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8"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9"/>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0" t="s">
        <v>1175</v>
      </c>
      <c r="B3" s="2141"/>
      <c r="C3" s="1573"/>
      <c r="D3" s="1574"/>
      <c r="E3" s="1574"/>
      <c r="F3" s="1574"/>
      <c r="G3" s="1574"/>
      <c r="H3" s="1574"/>
      <c r="I3" s="1574"/>
      <c r="J3" s="1574"/>
      <c r="K3" s="1575"/>
      <c r="L3" s="506"/>
    </row>
    <row r="4" spans="1:13" ht="15.75" customHeight="1" x14ac:dyDescent="0.2">
      <c r="A4" s="1928" t="s">
        <v>1499</v>
      </c>
      <c r="B4" s="1929">
        <v>1000</v>
      </c>
      <c r="C4" s="1742">
        <f>'Revenues 9-14'!C109</f>
        <v>346149</v>
      </c>
      <c r="D4" s="1742">
        <f>'Revenues 9-14'!D109</f>
        <v>39661</v>
      </c>
      <c r="E4" s="1742">
        <f>'Revenues 9-14'!E109</f>
        <v>132226</v>
      </c>
      <c r="F4" s="1742">
        <f>'Revenues 9-14'!F109</f>
        <v>8131</v>
      </c>
      <c r="G4" s="1742">
        <f>'Revenues 9-14'!G109</f>
        <v>118364</v>
      </c>
      <c r="H4" s="1742">
        <f>'Revenues 9-14'!H109</f>
        <v>0</v>
      </c>
      <c r="I4" s="1742">
        <f>'Revenues 9-14'!I109</f>
        <v>2033</v>
      </c>
      <c r="J4" s="1742">
        <f>'Revenues 9-14'!J109</f>
        <v>82495</v>
      </c>
      <c r="K4" s="1742">
        <f>'Revenues 9-14'!K109</f>
        <v>2033</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775645</v>
      </c>
      <c r="D6" s="1743">
        <f>'Revenues 9-14'!D170</f>
        <v>257500</v>
      </c>
      <c r="E6" s="1743">
        <f>'Revenues 9-14'!E170</f>
        <v>0</v>
      </c>
      <c r="F6" s="1743">
        <f>'Revenues 9-14'!F170</f>
        <v>104309</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807692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1929486</v>
      </c>
      <c r="D8" s="1688">
        <f t="shared" ref="D8:K8" si="0">SUM(D4:D7)</f>
        <v>297161</v>
      </c>
      <c r="E8" s="1688">
        <f t="shared" si="0"/>
        <v>132226</v>
      </c>
      <c r="F8" s="1688">
        <f t="shared" si="0"/>
        <v>112440</v>
      </c>
      <c r="G8" s="1688">
        <f t="shared" si="0"/>
        <v>118364</v>
      </c>
      <c r="H8" s="1688">
        <f t="shared" si="0"/>
        <v>0</v>
      </c>
      <c r="I8" s="1688">
        <f t="shared" si="0"/>
        <v>2033</v>
      </c>
      <c r="J8" s="1688">
        <f t="shared" si="0"/>
        <v>82495</v>
      </c>
      <c r="K8" s="1688">
        <f t="shared" si="0"/>
        <v>2033</v>
      </c>
      <c r="L8" s="347"/>
    </row>
    <row r="9" spans="1:13" ht="15.75" thickTop="1" x14ac:dyDescent="0.2">
      <c r="A9" s="514" t="s">
        <v>1653</v>
      </c>
      <c r="B9" s="515">
        <v>3998</v>
      </c>
      <c r="C9" s="481">
        <v>501577</v>
      </c>
      <c r="D9" s="516"/>
      <c r="E9" s="481"/>
      <c r="F9" s="481"/>
      <c r="G9" s="517"/>
      <c r="H9" s="481"/>
      <c r="I9" s="509" t="s">
        <v>1169</v>
      </c>
      <c r="J9" s="478"/>
      <c r="K9" s="481"/>
      <c r="L9" s="347"/>
    </row>
    <row r="10" spans="1:13" s="519" customFormat="1" ht="13.5" thickBot="1" x14ac:dyDescent="0.25">
      <c r="A10" s="1736" t="s">
        <v>1173</v>
      </c>
      <c r="B10" s="1709"/>
      <c r="C10" s="1688">
        <f>SUM(C8:C9)</f>
        <v>2431063</v>
      </c>
      <c r="D10" s="1688">
        <f t="shared" ref="D10:K10" si="1">SUM(D8:D9)</f>
        <v>297161</v>
      </c>
      <c r="E10" s="1688">
        <f t="shared" si="1"/>
        <v>132226</v>
      </c>
      <c r="F10" s="1688">
        <f t="shared" si="1"/>
        <v>112440</v>
      </c>
      <c r="G10" s="1688">
        <f t="shared" si="1"/>
        <v>118364</v>
      </c>
      <c r="H10" s="1688">
        <f t="shared" si="1"/>
        <v>0</v>
      </c>
      <c r="I10" s="1688">
        <f t="shared" si="1"/>
        <v>2033</v>
      </c>
      <c r="J10" s="1688">
        <f t="shared" si="1"/>
        <v>82495</v>
      </c>
      <c r="K10" s="1688">
        <f t="shared" si="1"/>
        <v>2033</v>
      </c>
      <c r="L10" s="518"/>
    </row>
    <row r="11" spans="1:13" s="519" customFormat="1" ht="16.7" customHeight="1" thickTop="1" x14ac:dyDescent="0.2">
      <c r="A11" s="2114" t="s">
        <v>1176</v>
      </c>
      <c r="B11" s="2115"/>
      <c r="C11" s="1570"/>
      <c r="D11" s="1571"/>
      <c r="E11" s="1571"/>
      <c r="F11" s="1571"/>
      <c r="G11" s="1571"/>
      <c r="H11" s="1571"/>
      <c r="I11" s="1571"/>
      <c r="J11" s="1571"/>
      <c r="K11" s="1572"/>
      <c r="L11" s="518"/>
    </row>
    <row r="12" spans="1:13" ht="15.75" customHeight="1" x14ac:dyDescent="0.2">
      <c r="A12" s="1576" t="s">
        <v>456</v>
      </c>
      <c r="B12" s="1578">
        <v>1000</v>
      </c>
      <c r="C12" s="1742">
        <f>'Expenditures 15-22'!K33</f>
        <v>976162</v>
      </c>
      <c r="D12" s="520" t="s">
        <v>1169</v>
      </c>
      <c r="E12" s="468" t="s">
        <v>1169</v>
      </c>
      <c r="F12" s="468" t="s">
        <v>1169</v>
      </c>
      <c r="G12" s="1742">
        <f>'Expenditures 15-22'!K229</f>
        <v>7238</v>
      </c>
      <c r="H12" s="521"/>
      <c r="I12" s="468" t="s">
        <v>1169</v>
      </c>
      <c r="J12" s="468" t="s">
        <v>1169</v>
      </c>
      <c r="K12" s="521" t="s">
        <v>1169</v>
      </c>
      <c r="L12" s="347"/>
    </row>
    <row r="13" spans="1:13" ht="15.75" customHeight="1" x14ac:dyDescent="0.2">
      <c r="A13" s="1576" t="s">
        <v>457</v>
      </c>
      <c r="B13" s="1578">
        <v>2000</v>
      </c>
      <c r="C13" s="1743">
        <f>'Expenditures 15-22'!K74</f>
        <v>1022329</v>
      </c>
      <c r="D13" s="1743">
        <f>'Expenditures 15-22'!K129</f>
        <v>278725</v>
      </c>
      <c r="E13" s="469" t="s">
        <v>1169</v>
      </c>
      <c r="F13" s="1743">
        <f>'Expenditures 15-22'!K184</f>
        <v>109300</v>
      </c>
      <c r="G13" s="1743">
        <f>'Expenditures 15-22'!K279</f>
        <v>66545</v>
      </c>
      <c r="H13" s="1743">
        <f>'Expenditures 15-22'!K303</f>
        <v>0</v>
      </c>
      <c r="I13" s="468" t="s">
        <v>1169</v>
      </c>
      <c r="J13" s="1743">
        <f>'Expenditures 15-22'!K330</f>
        <v>98633</v>
      </c>
      <c r="K13" s="1747">
        <f>'Expenditures 15-22'!K352</f>
        <v>1218</v>
      </c>
      <c r="L13" s="347"/>
    </row>
    <row r="14" spans="1:13" ht="15.75" customHeight="1" x14ac:dyDescent="0.2">
      <c r="A14" s="1576" t="s">
        <v>449</v>
      </c>
      <c r="B14" s="1578">
        <v>3000</v>
      </c>
      <c r="C14" s="1743">
        <f>'Expenditures 15-22'!K75</f>
        <v>29680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36600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146296</v>
      </c>
      <c r="F16" s="1743">
        <f>'Expenditures 15-22'!K208</f>
        <v>5311</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2064771</v>
      </c>
      <c r="D17" s="1688">
        <f t="shared" si="2"/>
        <v>278725</v>
      </c>
      <c r="E17" s="1688">
        <f t="shared" si="2"/>
        <v>146296</v>
      </c>
      <c r="F17" s="1688">
        <f t="shared" si="2"/>
        <v>114611</v>
      </c>
      <c r="G17" s="1688">
        <f t="shared" si="2"/>
        <v>73783</v>
      </c>
      <c r="H17" s="1688">
        <f t="shared" si="2"/>
        <v>0</v>
      </c>
      <c r="I17" s="468"/>
      <c r="J17" s="1688">
        <f>SUM(J12:J16)</f>
        <v>98633</v>
      </c>
      <c r="K17" s="1688">
        <f>SUM(K12:K16)</f>
        <v>1218</v>
      </c>
      <c r="L17" s="347"/>
    </row>
    <row r="18" spans="1:12" ht="15" customHeight="1" thickTop="1" x14ac:dyDescent="0.2">
      <c r="A18" s="1744" t="s">
        <v>1654</v>
      </c>
      <c r="B18" s="1745">
        <v>4180</v>
      </c>
      <c r="C18" s="1742">
        <f t="shared" ref="C18:H18" si="3">C9</f>
        <v>501577</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2566348</v>
      </c>
      <c r="D19" s="1688">
        <f t="shared" si="4"/>
        <v>278725</v>
      </c>
      <c r="E19" s="1688">
        <f t="shared" si="4"/>
        <v>146296</v>
      </c>
      <c r="F19" s="1688">
        <f t="shared" si="4"/>
        <v>114611</v>
      </c>
      <c r="G19" s="1688">
        <f t="shared" si="4"/>
        <v>73783</v>
      </c>
      <c r="H19" s="1688">
        <f t="shared" si="4"/>
        <v>0</v>
      </c>
      <c r="I19" s="468"/>
      <c r="J19" s="1688">
        <f>SUM(J17:J18)</f>
        <v>98633</v>
      </c>
      <c r="K19" s="1688">
        <f>SUM(K17:K18)</f>
        <v>1218</v>
      </c>
      <c r="L19" s="347"/>
    </row>
    <row r="20" spans="1:12" ht="16.5" thickTop="1" thickBot="1" x14ac:dyDescent="0.25">
      <c r="A20" s="2130" t="s">
        <v>1655</v>
      </c>
      <c r="B20" s="2131"/>
      <c r="C20" s="1746">
        <f>C8-C17</f>
        <v>-135285</v>
      </c>
      <c r="D20" s="1746">
        <f t="shared" ref="D20:K20" si="5">D8-D17</f>
        <v>18436</v>
      </c>
      <c r="E20" s="1746">
        <f t="shared" si="5"/>
        <v>-14070</v>
      </c>
      <c r="F20" s="1746">
        <f t="shared" si="5"/>
        <v>-2171</v>
      </c>
      <c r="G20" s="1746">
        <f t="shared" si="5"/>
        <v>44581</v>
      </c>
      <c r="H20" s="1746">
        <f t="shared" si="5"/>
        <v>0</v>
      </c>
      <c r="I20" s="1746">
        <f t="shared" si="5"/>
        <v>2033</v>
      </c>
      <c r="J20" s="1746">
        <f t="shared" si="5"/>
        <v>-16138</v>
      </c>
      <c r="K20" s="1746">
        <f t="shared" si="5"/>
        <v>815</v>
      </c>
      <c r="L20" s="347"/>
    </row>
    <row r="21" spans="1:12" ht="16.7" customHeight="1" thickTop="1" x14ac:dyDescent="0.2">
      <c r="A21" s="2142" t="s">
        <v>595</v>
      </c>
      <c r="B21" s="2143"/>
      <c r="C21" s="1570"/>
      <c r="D21" s="1571"/>
      <c r="E21" s="1571"/>
      <c r="F21" s="1571"/>
      <c r="G21" s="1571"/>
      <c r="H21" s="1571"/>
      <c r="I21" s="1571"/>
      <c r="J21" s="1571"/>
      <c r="K21" s="1572"/>
      <c r="L21" s="524"/>
    </row>
    <row r="22" spans="1:12" ht="15.75" customHeight="1" collapsed="1" x14ac:dyDescent="0.2">
      <c r="A22" s="2138" t="s">
        <v>596</v>
      </c>
      <c r="B22" s="2139"/>
      <c r="C22" s="477"/>
      <c r="D22" s="477"/>
      <c r="E22" s="477"/>
      <c r="F22" s="477"/>
      <c r="G22" s="477"/>
      <c r="H22" s="477"/>
      <c r="I22" s="477"/>
      <c r="J22" s="477"/>
      <c r="K22" s="477"/>
      <c r="L22" s="347"/>
    </row>
    <row r="23" spans="1:12" s="485" customFormat="1" ht="15.75" customHeight="1" x14ac:dyDescent="0.2">
      <c r="A23" s="2134" t="s">
        <v>293</v>
      </c>
      <c r="B23" s="2135"/>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1792</v>
      </c>
      <c r="B30" s="527">
        <v>7160</v>
      </c>
      <c r="C30" s="477"/>
      <c r="D30" s="467"/>
      <c r="E30" s="477"/>
      <c r="F30" s="477"/>
      <c r="G30" s="477"/>
      <c r="H30" s="477"/>
      <c r="I30" s="477"/>
      <c r="J30" s="477"/>
      <c r="K30" s="477"/>
      <c r="L30" s="524"/>
    </row>
    <row r="31" spans="1:12" s="485" customFormat="1" ht="26.25" x14ac:dyDescent="0.2">
      <c r="A31" s="1489" t="s">
        <v>1796</v>
      </c>
      <c r="B31" s="527">
        <v>7170</v>
      </c>
      <c r="C31" s="477"/>
      <c r="D31" s="477"/>
      <c r="E31" s="474"/>
      <c r="F31" s="477"/>
      <c r="G31" s="477"/>
      <c r="H31" s="477"/>
      <c r="I31" s="477"/>
      <c r="J31" s="477"/>
      <c r="K31" s="477"/>
      <c r="L31" s="524"/>
    </row>
    <row r="32" spans="1:12" s="485" customFormat="1" ht="15.75" customHeight="1" x14ac:dyDescent="0.2">
      <c r="A32" s="2136" t="s">
        <v>981</v>
      </c>
      <c r="B32" s="2137"/>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4" t="s">
        <v>374</v>
      </c>
      <c r="B44" s="2145"/>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8" t="s">
        <v>108</v>
      </c>
      <c r="B45" s="2139"/>
      <c r="C45" s="528"/>
      <c r="D45" s="528"/>
      <c r="E45" s="528"/>
      <c r="F45" s="528"/>
      <c r="G45" s="528"/>
      <c r="H45" s="528"/>
      <c r="I45" s="528"/>
      <c r="J45" s="528"/>
      <c r="K45" s="528"/>
      <c r="L45" s="347"/>
    </row>
    <row r="46" spans="1:12" s="485" customFormat="1" ht="15.75" customHeight="1" x14ac:dyDescent="0.2">
      <c r="A46" s="2146" t="s">
        <v>109</v>
      </c>
      <c r="B46" s="2147"/>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1795</v>
      </c>
      <c r="B52" s="483">
        <v>8160</v>
      </c>
      <c r="C52" s="477"/>
      <c r="D52" s="477"/>
      <c r="E52" s="477"/>
      <c r="F52" s="477"/>
      <c r="G52" s="477"/>
      <c r="H52" s="477"/>
      <c r="I52" s="477"/>
      <c r="J52" s="477"/>
      <c r="K52" s="1743">
        <f>D30</f>
        <v>0</v>
      </c>
      <c r="L52" s="524"/>
    </row>
    <row r="53" spans="1:12" s="485" customFormat="1" ht="26.25" x14ac:dyDescent="0.2">
      <c r="A53" s="1490" t="s">
        <v>1794</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0" t="s">
        <v>440</v>
      </c>
      <c r="B76" s="2121"/>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2" t="s">
        <v>1177</v>
      </c>
      <c r="B77" s="2123"/>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6" t="s">
        <v>597</v>
      </c>
      <c r="B78" s="2127"/>
      <c r="C78" s="1702">
        <f t="shared" ref="C78:K78" si="9">C20+C77</f>
        <v>-135285</v>
      </c>
      <c r="D78" s="1702">
        <f t="shared" si="9"/>
        <v>18436</v>
      </c>
      <c r="E78" s="1702">
        <f t="shared" si="9"/>
        <v>-14070</v>
      </c>
      <c r="F78" s="1702">
        <f t="shared" si="9"/>
        <v>-2171</v>
      </c>
      <c r="G78" s="1702">
        <f t="shared" si="9"/>
        <v>44581</v>
      </c>
      <c r="H78" s="1702">
        <f t="shared" si="9"/>
        <v>0</v>
      </c>
      <c r="I78" s="1702">
        <f t="shared" si="9"/>
        <v>2033</v>
      </c>
      <c r="J78" s="1702">
        <f t="shared" si="9"/>
        <v>-16138</v>
      </c>
      <c r="K78" s="1702">
        <f t="shared" si="9"/>
        <v>815</v>
      </c>
      <c r="L78" s="533"/>
    </row>
    <row r="79" spans="1:12" ht="13.5" thickTop="1" x14ac:dyDescent="0.2">
      <c r="A79" s="1494" t="s">
        <v>1947</v>
      </c>
      <c r="B79" s="534"/>
      <c r="C79" s="478">
        <v>709956</v>
      </c>
      <c r="D79" s="535">
        <v>8191</v>
      </c>
      <c r="E79" s="535">
        <v>72968</v>
      </c>
      <c r="F79" s="535">
        <v>16130</v>
      </c>
      <c r="G79" s="535">
        <v>116928</v>
      </c>
      <c r="H79" s="535">
        <v>0</v>
      </c>
      <c r="I79" s="535">
        <v>14463</v>
      </c>
      <c r="J79" s="535">
        <v>50211</v>
      </c>
      <c r="K79" s="535">
        <v>581</v>
      </c>
      <c r="L79" s="347"/>
    </row>
    <row r="80" spans="1:12" x14ac:dyDescent="0.2">
      <c r="A80" s="2132" t="s">
        <v>1793</v>
      </c>
      <c r="B80" s="2133"/>
      <c r="C80" s="467"/>
      <c r="D80" s="467"/>
      <c r="E80" s="467"/>
      <c r="F80" s="467"/>
      <c r="G80" s="467"/>
      <c r="H80" s="467"/>
      <c r="I80" s="467"/>
      <c r="J80" s="467"/>
      <c r="K80" s="467"/>
      <c r="L80" s="347"/>
    </row>
    <row r="81" spans="1:12" ht="13.5" thickBot="1" x14ac:dyDescent="0.25">
      <c r="A81" s="2124" t="s">
        <v>1948</v>
      </c>
      <c r="B81" s="2125"/>
      <c r="C81" s="1688">
        <f>(SUM(C78:C80))</f>
        <v>574671</v>
      </c>
      <c r="D81" s="1688">
        <f>SUM(D78:D80)</f>
        <v>26627</v>
      </c>
      <c r="E81" s="1688">
        <f t="shared" ref="E81:K81" si="10">SUM(E78:E80)</f>
        <v>58898</v>
      </c>
      <c r="F81" s="1688">
        <f t="shared" si="10"/>
        <v>13959</v>
      </c>
      <c r="G81" s="1688">
        <f t="shared" si="10"/>
        <v>161509</v>
      </c>
      <c r="H81" s="1688">
        <f t="shared" si="10"/>
        <v>0</v>
      </c>
      <c r="I81" s="1688">
        <f t="shared" si="10"/>
        <v>16496</v>
      </c>
      <c r="J81" s="1688">
        <f t="shared" si="10"/>
        <v>34073</v>
      </c>
      <c r="K81" s="1688">
        <f t="shared" si="10"/>
        <v>1396</v>
      </c>
      <c r="L81" s="347"/>
    </row>
    <row r="82" spans="1:12" ht="0.75" customHeight="1" thickTop="1" thickBot="1" x14ac:dyDescent="0.25">
      <c r="A82" s="536" t="s">
        <v>343</v>
      </c>
      <c r="B82" s="537"/>
      <c r="C82" s="538">
        <f>(C81-C79)</f>
        <v>-135285</v>
      </c>
      <c r="D82" s="538">
        <f t="shared" ref="D82:K82" si="11">(D81-D79)</f>
        <v>18436</v>
      </c>
      <c r="E82" s="538">
        <f t="shared" si="11"/>
        <v>-14070</v>
      </c>
      <c r="F82" s="538">
        <f t="shared" si="11"/>
        <v>-2171</v>
      </c>
      <c r="G82" s="538">
        <f t="shared" si="11"/>
        <v>44581</v>
      </c>
      <c r="H82" s="538">
        <f t="shared" si="11"/>
        <v>0</v>
      </c>
      <c r="I82" s="538">
        <f t="shared" si="11"/>
        <v>2033</v>
      </c>
      <c r="J82" s="538">
        <f t="shared" si="11"/>
        <v>-16138</v>
      </c>
      <c r="K82" s="538">
        <f t="shared" si="11"/>
        <v>815</v>
      </c>
    </row>
    <row r="83" spans="1:12" ht="14.25" hidden="1" thickTop="1" thickBot="1" x14ac:dyDescent="0.25">
      <c r="A83" s="539" t="s">
        <v>344</v>
      </c>
      <c r="B83" s="464"/>
      <c r="C83" s="540">
        <f>C82/C81</f>
        <v>-0.23541295802293835</v>
      </c>
      <c r="D83" s="540">
        <f t="shared" ref="D83:K83" si="12">D82/D81</f>
        <v>0.69237991512374653</v>
      </c>
      <c r="E83" s="540">
        <f t="shared" si="12"/>
        <v>-0.23888756833848349</v>
      </c>
      <c r="F83" s="540">
        <f t="shared" si="12"/>
        <v>-0.15552690020775128</v>
      </c>
      <c r="G83" s="540">
        <f t="shared" si="12"/>
        <v>0.27602796129008289</v>
      </c>
      <c r="H83" s="540" t="e">
        <f t="shared" si="12"/>
        <v>#DIV/0!</v>
      </c>
      <c r="I83" s="540">
        <f t="shared" si="12"/>
        <v>0.12324199806013579</v>
      </c>
      <c r="J83" s="540">
        <f t="shared" si="12"/>
        <v>-0.47363014703724354</v>
      </c>
      <c r="K83" s="540">
        <f t="shared" si="12"/>
        <v>0.583810888252149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213" colorId="8" zoomScale="110" zoomScaleNormal="110" zoomScaleSheetLayoutView="70" workbookViewId="0">
      <selection activeCell="C214" sqref="C21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8" t="s">
        <v>1800</v>
      </c>
      <c r="B1" s="452"/>
      <c r="C1" s="453" t="s">
        <v>425</v>
      </c>
      <c r="D1" s="453" t="s">
        <v>426</v>
      </c>
      <c r="E1" s="453" t="s">
        <v>427</v>
      </c>
      <c r="F1" s="453" t="s">
        <v>428</v>
      </c>
      <c r="G1" s="453" t="s">
        <v>429</v>
      </c>
      <c r="H1" s="453" t="s">
        <v>430</v>
      </c>
      <c r="I1" s="453" t="s">
        <v>431</v>
      </c>
      <c r="J1" s="453" t="s">
        <v>432</v>
      </c>
      <c r="K1" s="453" t="s">
        <v>756</v>
      </c>
    </row>
    <row r="2" spans="1:12" ht="36" x14ac:dyDescent="0.2">
      <c r="A2" s="2129"/>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81315</v>
      </c>
      <c r="D5" s="481">
        <v>20329</v>
      </c>
      <c r="E5" s="466">
        <v>132139</v>
      </c>
      <c r="F5" s="548">
        <v>8131</v>
      </c>
      <c r="G5" s="466">
        <v>57288</v>
      </c>
      <c r="H5" s="466"/>
      <c r="I5" s="466">
        <v>2033</v>
      </c>
      <c r="J5" s="467">
        <v>82495</v>
      </c>
      <c r="K5" s="466">
        <v>2033</v>
      </c>
    </row>
    <row r="6" spans="1:12" ht="15" x14ac:dyDescent="0.2">
      <c r="A6" s="463" t="s">
        <v>1662</v>
      </c>
      <c r="B6" s="470">
        <v>1130</v>
      </c>
      <c r="C6" s="466">
        <v>928</v>
      </c>
      <c r="D6" s="466"/>
      <c r="E6" s="475"/>
      <c r="F6" s="475"/>
      <c r="G6" s="468"/>
      <c r="H6" s="468"/>
      <c r="I6" s="468"/>
      <c r="J6" s="468"/>
      <c r="K6" s="468"/>
    </row>
    <row r="7" spans="1:12" x14ac:dyDescent="0.2">
      <c r="A7" s="463" t="s">
        <v>110</v>
      </c>
      <c r="B7" s="549">
        <v>1140</v>
      </c>
      <c r="C7" s="466">
        <v>1626</v>
      </c>
      <c r="D7" s="466"/>
      <c r="E7" s="468"/>
      <c r="F7" s="467"/>
      <c r="G7" s="467"/>
      <c r="H7" s="467"/>
      <c r="I7" s="468"/>
      <c r="J7" s="468"/>
      <c r="K7" s="468"/>
    </row>
    <row r="8" spans="1:12" x14ac:dyDescent="0.2">
      <c r="A8" s="463" t="s">
        <v>413</v>
      </c>
      <c r="B8" s="470">
        <v>1150</v>
      </c>
      <c r="C8" s="475"/>
      <c r="D8" s="475"/>
      <c r="E8" s="477"/>
      <c r="F8" s="477"/>
      <c r="G8" s="481">
        <v>52876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83869</v>
      </c>
      <c r="D12" s="1707">
        <f t="shared" si="0"/>
        <v>20329</v>
      </c>
      <c r="E12" s="1707">
        <f t="shared" si="0"/>
        <v>132139</v>
      </c>
      <c r="F12" s="1707">
        <f t="shared" si="0"/>
        <v>8131</v>
      </c>
      <c r="G12" s="1707">
        <f t="shared" si="0"/>
        <v>110164</v>
      </c>
      <c r="H12" s="1707">
        <f t="shared" si="0"/>
        <v>0</v>
      </c>
      <c r="I12" s="1707">
        <f t="shared" si="0"/>
        <v>2033</v>
      </c>
      <c r="J12" s="1707">
        <f t="shared" si="0"/>
        <v>82495</v>
      </c>
      <c r="K12" s="1688">
        <f t="shared" si="0"/>
        <v>2033</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208980</v>
      </c>
      <c r="D16" s="466"/>
      <c r="E16" s="466"/>
      <c r="F16" s="466"/>
      <c r="G16" s="466">
        <v>8200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208980</v>
      </c>
      <c r="D18" s="1710">
        <f t="shared" ref="D18:K18" si="1">SUM(D14:D17)</f>
        <v>0</v>
      </c>
      <c r="E18" s="1710">
        <f t="shared" si="1"/>
        <v>0</v>
      </c>
      <c r="F18" s="1710">
        <f t="shared" si="1"/>
        <v>0</v>
      </c>
      <c r="G18" s="1710">
        <f t="shared" si="1"/>
        <v>8200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v>17511</v>
      </c>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17511</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1153</v>
      </c>
      <c r="D65" s="466"/>
      <c r="E65" s="466">
        <v>87</v>
      </c>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1153</v>
      </c>
      <c r="D67" s="1688">
        <f t="shared" ref="D67:K67" si="2">SUM(D65:D66)</f>
        <v>0</v>
      </c>
      <c r="E67" s="1688">
        <f t="shared" si="2"/>
        <v>87</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573</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6</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579</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23811</v>
      </c>
      <c r="D81" s="466"/>
      <c r="E81" s="468"/>
      <c r="F81" s="468"/>
      <c r="G81" s="468"/>
      <c r="H81" s="468"/>
      <c r="I81" s="468"/>
      <c r="J81" s="468"/>
      <c r="K81" s="468"/>
    </row>
    <row r="82" spans="1:11" ht="12.75" customHeight="1" thickBot="1" x14ac:dyDescent="0.25">
      <c r="A82" s="1708" t="s">
        <v>241</v>
      </c>
      <c r="B82" s="1709"/>
      <c r="C82" s="1707">
        <f>SUM(C77:C81)</f>
        <v>23811</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9402</v>
      </c>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688</v>
      </c>
      <c r="D99" s="466">
        <v>9930</v>
      </c>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9558</v>
      </c>
      <c r="D107" s="466"/>
      <c r="E107" s="466"/>
      <c r="F107" s="466"/>
      <c r="G107" s="466"/>
      <c r="H107" s="466"/>
      <c r="I107" s="466"/>
      <c r="J107" s="467"/>
      <c r="K107" s="466"/>
    </row>
    <row r="108" spans="1:12" ht="12.75" customHeight="1" thickBot="1" x14ac:dyDescent="0.25">
      <c r="A108" s="1708" t="s">
        <v>487</v>
      </c>
      <c r="B108" s="1712"/>
      <c r="C108" s="1707">
        <f>SUM(C95:C107)</f>
        <v>10246</v>
      </c>
      <c r="D108" s="1707">
        <f t="shared" ref="D108:K108" si="3">SUM(D95:D107)</f>
        <v>19332</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346149</v>
      </c>
      <c r="D109" s="1715">
        <f t="shared" si="4"/>
        <v>39661</v>
      </c>
      <c r="E109" s="1715">
        <f t="shared" si="4"/>
        <v>132226</v>
      </c>
      <c r="F109" s="1715">
        <f t="shared" si="4"/>
        <v>8131</v>
      </c>
      <c r="G109" s="1715">
        <f t="shared" si="4"/>
        <v>118364</v>
      </c>
      <c r="H109" s="1715">
        <f t="shared" si="4"/>
        <v>0</v>
      </c>
      <c r="I109" s="1715">
        <f t="shared" si="4"/>
        <v>2033</v>
      </c>
      <c r="J109" s="1715">
        <f t="shared" si="4"/>
        <v>82495</v>
      </c>
      <c r="K109" s="1702">
        <f t="shared" si="4"/>
        <v>2033</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593118</v>
      </c>
      <c r="D117" s="481">
        <v>257500</v>
      </c>
      <c r="E117" s="466"/>
      <c r="F117" s="481">
        <v>46823</v>
      </c>
      <c r="G117" s="481"/>
      <c r="H117" s="466"/>
      <c r="I117" s="468"/>
      <c r="J117" s="467"/>
      <c r="K117" s="466"/>
    </row>
    <row r="118" spans="1:11" ht="12.75" customHeight="1" x14ac:dyDescent="0.2">
      <c r="A118" s="463" t="s">
        <v>1797</v>
      </c>
      <c r="B118" s="562">
        <v>3002</v>
      </c>
      <c r="C118" s="551"/>
      <c r="D118" s="466"/>
      <c r="E118" s="466"/>
      <c r="F118" s="466"/>
      <c r="G118" s="466"/>
      <c r="H118" s="466"/>
      <c r="I118" s="468"/>
      <c r="J118" s="467"/>
      <c r="K118" s="466"/>
    </row>
    <row r="119" spans="1:11" ht="12.75" customHeight="1" x14ac:dyDescent="0.2">
      <c r="A119" s="463" t="s">
        <v>1798</v>
      </c>
      <c r="B119" s="562">
        <v>3005</v>
      </c>
      <c r="C119" s="551"/>
      <c r="D119" s="466"/>
      <c r="E119" s="466"/>
      <c r="F119" s="466"/>
      <c r="G119" s="466"/>
      <c r="H119" s="466"/>
      <c r="I119" s="468"/>
      <c r="J119" s="467"/>
      <c r="K119" s="466"/>
    </row>
    <row r="120" spans="1:11" ht="12.75" customHeight="1" x14ac:dyDescent="0.2">
      <c r="A120" s="1930" t="s">
        <v>1934</v>
      </c>
      <c r="B120" s="562">
        <v>3030</v>
      </c>
      <c r="C120" s="551"/>
      <c r="D120" s="466"/>
      <c r="E120" s="466"/>
      <c r="F120" s="466"/>
      <c r="G120" s="466"/>
      <c r="H120" s="466"/>
      <c r="I120" s="468"/>
      <c r="J120" s="467"/>
      <c r="K120" s="466"/>
    </row>
    <row r="121" spans="1:11" x14ac:dyDescent="0.2">
      <c r="A121" s="1496" t="s">
        <v>1799</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593118</v>
      </c>
      <c r="D122" s="1707">
        <f t="shared" si="5"/>
        <v>257500</v>
      </c>
      <c r="E122" s="1707">
        <f t="shared" si="5"/>
        <v>0</v>
      </c>
      <c r="F122" s="1707">
        <f t="shared" si="5"/>
        <v>46823</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5287</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5287</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1695</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1695</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2366</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1653</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187</v>
      </c>
      <c r="G152" s="467"/>
      <c r="H152" s="468"/>
      <c r="I152" s="468"/>
      <c r="J152" s="468"/>
      <c r="K152" s="468"/>
    </row>
    <row r="153" spans="1:11" ht="12.75" customHeight="1" x14ac:dyDescent="0.2">
      <c r="A153" s="463" t="s">
        <v>1057</v>
      </c>
      <c r="B153" s="562">
        <v>3510</v>
      </c>
      <c r="C153" s="551"/>
      <c r="D153" s="466"/>
      <c r="E153" s="561"/>
      <c r="F153" s="466">
        <v>57299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57486</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v>41911</v>
      </c>
      <c r="D158" s="468"/>
      <c r="E158" s="561"/>
      <c r="F158" s="576"/>
      <c r="G158" s="576"/>
      <c r="H158" s="468"/>
      <c r="I158" s="468"/>
      <c r="J158" s="468"/>
      <c r="K158" s="468"/>
    </row>
    <row r="159" spans="1:11" ht="12.75" customHeight="1" thickTop="1" thickBot="1" x14ac:dyDescent="0.25">
      <c r="A159" s="1500" t="s">
        <v>1051</v>
      </c>
      <c r="B159" s="574">
        <v>3705</v>
      </c>
      <c r="C159" s="576">
        <v>112362</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17253</v>
      </c>
      <c r="D168" s="580"/>
      <c r="E168" s="580"/>
      <c r="F168" s="580"/>
      <c r="G168" s="581"/>
      <c r="H168" s="582"/>
      <c r="I168" s="581"/>
      <c r="J168" s="581"/>
      <c r="K168" s="582"/>
    </row>
    <row r="169" spans="1:11" ht="12.75" customHeight="1" thickTop="1" thickBot="1" x14ac:dyDescent="0.25">
      <c r="A169" s="2148" t="s">
        <v>398</v>
      </c>
      <c r="B169" s="2149"/>
      <c r="C169" s="1722">
        <f t="shared" ref="C169:K169" si="6">SUM(C132,C141,C145,C146:C150,C155,C156:C167,C168)</f>
        <v>182527</v>
      </c>
      <c r="D169" s="1722">
        <f t="shared" si="6"/>
        <v>0</v>
      </c>
      <c r="E169" s="1722">
        <f t="shared" si="6"/>
        <v>0</v>
      </c>
      <c r="F169" s="1722">
        <f t="shared" si="6"/>
        <v>57486</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775645</v>
      </c>
      <c r="D170" s="1715">
        <f t="shared" si="7"/>
        <v>257500</v>
      </c>
      <c r="E170" s="1715">
        <f t="shared" si="7"/>
        <v>0</v>
      </c>
      <c r="F170" s="1715">
        <f t="shared" si="7"/>
        <v>104309</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0" t="s">
        <v>1492</v>
      </c>
      <c r="B172" s="2151"/>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4" t="s">
        <v>1665</v>
      </c>
      <c r="B175" s="2155"/>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8" t="s">
        <v>1664</v>
      </c>
      <c r="B176" s="2159"/>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6" t="s">
        <v>785</v>
      </c>
      <c r="B181" s="2157"/>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2" t="s">
        <v>1801</v>
      </c>
      <c r="B182" s="2153"/>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79319</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37142</v>
      </c>
      <c r="D193" s="468"/>
      <c r="E193" s="561"/>
      <c r="F193" s="468"/>
      <c r="G193" s="585"/>
      <c r="H193" s="468"/>
      <c r="I193" s="468"/>
      <c r="J193" s="468"/>
      <c r="K193" s="468"/>
    </row>
    <row r="194" spans="1:11" ht="12.75" customHeight="1" x14ac:dyDescent="0.2">
      <c r="A194" s="463" t="s">
        <v>1451</v>
      </c>
      <c r="B194" s="470">
        <v>4225</v>
      </c>
      <c r="C194" s="551">
        <v>9316</v>
      </c>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v>5033</v>
      </c>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130810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285550</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387500</v>
      </c>
      <c r="D203" s="466"/>
      <c r="E203" s="468"/>
      <c r="F203" s="466"/>
      <c r="G203" s="466"/>
      <c r="H203" s="468"/>
      <c r="I203" s="468"/>
      <c r="J203" s="468"/>
      <c r="K203" s="468"/>
    </row>
    <row r="204" spans="1:11" ht="12.75" customHeight="1" thickBot="1" x14ac:dyDescent="0.25">
      <c r="A204" s="1708" t="s">
        <v>400</v>
      </c>
      <c r="B204" s="1709"/>
      <c r="C204" s="1707">
        <f>SUM(C200:C203)</f>
        <v>673050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v>319</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319</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349</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1935</v>
      </c>
      <c r="B261" s="470">
        <v>4981</v>
      </c>
      <c r="C261" s="575"/>
      <c r="D261" s="576"/>
      <c r="E261" s="468"/>
      <c r="F261" s="576"/>
      <c r="G261" s="576"/>
      <c r="H261" s="468"/>
      <c r="I261" s="468"/>
      <c r="J261" s="468"/>
      <c r="K261" s="468"/>
    </row>
    <row r="262" spans="1:11" ht="12.75" customHeight="1" thickTop="1" thickBot="1" x14ac:dyDescent="0.25">
      <c r="A262" s="1931"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3164</v>
      </c>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807692</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807692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1929486</v>
      </c>
      <c r="D268" s="1715">
        <f t="shared" si="12"/>
        <v>297161</v>
      </c>
      <c r="E268" s="1715">
        <f t="shared" si="12"/>
        <v>132226</v>
      </c>
      <c r="F268" s="1715">
        <f t="shared" si="12"/>
        <v>112440</v>
      </c>
      <c r="G268" s="1715">
        <f t="shared" si="12"/>
        <v>118364</v>
      </c>
      <c r="H268" s="1715">
        <f t="shared" si="12"/>
        <v>0</v>
      </c>
      <c r="I268" s="1715">
        <f t="shared" si="12"/>
        <v>2033</v>
      </c>
      <c r="J268" s="1715">
        <f t="shared" si="12"/>
        <v>82495</v>
      </c>
      <c r="K268" s="1702">
        <f t="shared" si="12"/>
        <v>2033</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selection activeCell="E125" sqref="E12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8" t="s">
        <v>1800</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6" t="s">
        <v>297</v>
      </c>
      <c r="B3" s="2167"/>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485023</v>
      </c>
      <c r="D5" s="466">
        <v>72740</v>
      </c>
      <c r="E5" s="466">
        <v>19018</v>
      </c>
      <c r="F5" s="466">
        <v>49846</v>
      </c>
      <c r="G5" s="466">
        <v>16459</v>
      </c>
      <c r="H5" s="466"/>
      <c r="I5" s="467"/>
      <c r="J5" s="467"/>
      <c r="K5" s="1671">
        <f>SUM(C5:J5)</f>
        <v>643086</v>
      </c>
      <c r="L5" s="466">
        <v>710477</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v>69428</v>
      </c>
      <c r="D7" s="467">
        <v>12252</v>
      </c>
      <c r="E7" s="467"/>
      <c r="F7" s="467">
        <v>13119</v>
      </c>
      <c r="G7" s="467">
        <v>6825</v>
      </c>
      <c r="H7" s="467"/>
      <c r="I7" s="467"/>
      <c r="J7" s="467"/>
      <c r="K7" s="1671">
        <f t="shared" ref="K7:K32" si="0">SUM(C7:J7)</f>
        <v>101624</v>
      </c>
      <c r="L7" s="466">
        <v>118989</v>
      </c>
    </row>
    <row r="8" spans="1:14" x14ac:dyDescent="0.2">
      <c r="A8" s="1504" t="s">
        <v>164</v>
      </c>
      <c r="B8" s="614">
        <v>1200</v>
      </c>
      <c r="C8" s="466"/>
      <c r="D8" s="466"/>
      <c r="E8" s="466"/>
      <c r="F8" s="466"/>
      <c r="G8" s="466"/>
      <c r="H8" s="466"/>
      <c r="I8" s="467"/>
      <c r="J8" s="467"/>
      <c r="K8" s="1671">
        <f t="shared" si="0"/>
        <v>0</v>
      </c>
      <c r="L8" s="466">
        <v>0</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68854</v>
      </c>
      <c r="D10" s="466">
        <v>61880</v>
      </c>
      <c r="E10" s="466">
        <v>3000</v>
      </c>
      <c r="F10" s="466">
        <v>2108</v>
      </c>
      <c r="G10" s="466">
        <v>10992</v>
      </c>
      <c r="H10" s="466"/>
      <c r="I10" s="467"/>
      <c r="J10" s="467"/>
      <c r="K10" s="1671">
        <f t="shared" si="0"/>
        <v>146834</v>
      </c>
      <c r="L10" s="466">
        <v>179175</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v>250</v>
      </c>
      <c r="D13" s="466"/>
      <c r="E13" s="466">
        <v>1135</v>
      </c>
      <c r="F13" s="466">
        <v>1344</v>
      </c>
      <c r="G13" s="466"/>
      <c r="H13" s="466"/>
      <c r="I13" s="467"/>
      <c r="J13" s="467"/>
      <c r="K13" s="1671">
        <f t="shared" si="0"/>
        <v>2729</v>
      </c>
      <c r="L13" s="466">
        <v>9868</v>
      </c>
    </row>
    <row r="14" spans="1:14" x14ac:dyDescent="0.2">
      <c r="A14" s="1504" t="s">
        <v>963</v>
      </c>
      <c r="B14" s="614">
        <v>1500</v>
      </c>
      <c r="C14" s="466">
        <v>13132</v>
      </c>
      <c r="D14" s="466">
        <v>34</v>
      </c>
      <c r="E14" s="466">
        <v>6337</v>
      </c>
      <c r="F14" s="466">
        <v>21941</v>
      </c>
      <c r="G14" s="466"/>
      <c r="H14" s="466"/>
      <c r="I14" s="467"/>
      <c r="J14" s="467"/>
      <c r="K14" s="1671">
        <f t="shared" si="0"/>
        <v>41444</v>
      </c>
      <c r="L14" s="466">
        <v>41740</v>
      </c>
    </row>
    <row r="15" spans="1:14" x14ac:dyDescent="0.2">
      <c r="A15" s="1504" t="s">
        <v>964</v>
      </c>
      <c r="B15" s="614">
        <v>1600</v>
      </c>
      <c r="C15" s="466"/>
      <c r="D15" s="466"/>
      <c r="E15" s="466"/>
      <c r="F15" s="466"/>
      <c r="G15" s="466"/>
      <c r="H15" s="466"/>
      <c r="I15" s="467"/>
      <c r="J15" s="467"/>
      <c r="K15" s="1671">
        <f t="shared" si="0"/>
        <v>0</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c r="D17" s="467"/>
      <c r="E17" s="467">
        <v>928</v>
      </c>
      <c r="F17" s="467"/>
      <c r="G17" s="467"/>
      <c r="H17" s="467"/>
      <c r="I17" s="467"/>
      <c r="J17" s="467"/>
      <c r="K17" s="1671">
        <f t="shared" si="0"/>
        <v>928</v>
      </c>
      <c r="L17" s="466">
        <v>2000</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v>39517</v>
      </c>
      <c r="I22" s="616"/>
      <c r="J22" s="477"/>
      <c r="K22" s="1671">
        <f t="shared" si="0"/>
        <v>39517</v>
      </c>
      <c r="L22" s="471">
        <v>40000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636687</v>
      </c>
      <c r="D33" s="1670">
        <f t="shared" ref="D33:L33" si="1">SUM(D5:D32)</f>
        <v>146906</v>
      </c>
      <c r="E33" s="1670">
        <f t="shared" si="1"/>
        <v>30418</v>
      </c>
      <c r="F33" s="1670">
        <f t="shared" si="1"/>
        <v>88358</v>
      </c>
      <c r="G33" s="1670">
        <f t="shared" si="1"/>
        <v>34276</v>
      </c>
      <c r="H33" s="1670">
        <f t="shared" si="1"/>
        <v>39517</v>
      </c>
      <c r="I33" s="1670">
        <f t="shared" si="1"/>
        <v>0</v>
      </c>
      <c r="J33" s="1670">
        <f t="shared" si="1"/>
        <v>0</v>
      </c>
      <c r="K33" s="1670">
        <f t="shared" si="1"/>
        <v>976162</v>
      </c>
      <c r="L33" s="1670">
        <f t="shared" si="1"/>
        <v>1102249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56410</v>
      </c>
      <c r="D36" s="481">
        <v>10428</v>
      </c>
      <c r="E36" s="481"/>
      <c r="F36" s="481"/>
      <c r="G36" s="481"/>
      <c r="H36" s="481"/>
      <c r="I36" s="467"/>
      <c r="J36" s="467"/>
      <c r="K36" s="1671">
        <f t="shared" ref="K36:K41" si="2">SUM(C36:J36)</f>
        <v>66838</v>
      </c>
      <c r="L36" s="466">
        <v>67406</v>
      </c>
    </row>
    <row r="37" spans="1:14" x14ac:dyDescent="0.2">
      <c r="A37" s="1504" t="s">
        <v>1090</v>
      </c>
      <c r="B37" s="614">
        <v>2120</v>
      </c>
      <c r="C37" s="466">
        <v>33571</v>
      </c>
      <c r="D37" s="466">
        <v>15036</v>
      </c>
      <c r="E37" s="466">
        <v>28050</v>
      </c>
      <c r="F37" s="466"/>
      <c r="G37" s="466"/>
      <c r="H37" s="466"/>
      <c r="I37" s="467"/>
      <c r="J37" s="467"/>
      <c r="K37" s="1671">
        <f t="shared" si="2"/>
        <v>76657</v>
      </c>
      <c r="L37" s="466">
        <v>77550</v>
      </c>
    </row>
    <row r="38" spans="1:14" x14ac:dyDescent="0.2">
      <c r="A38" s="1504" t="s">
        <v>198</v>
      </c>
      <c r="B38" s="614">
        <v>2130</v>
      </c>
      <c r="C38" s="466"/>
      <c r="D38" s="466"/>
      <c r="E38" s="466"/>
      <c r="F38" s="466"/>
      <c r="G38" s="466"/>
      <c r="H38" s="466"/>
      <c r="I38" s="467"/>
      <c r="J38" s="467"/>
      <c r="K38" s="1671">
        <f t="shared" si="2"/>
        <v>0</v>
      </c>
      <c r="L38" s="466">
        <v>900</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c r="F40" s="466"/>
      <c r="G40" s="466"/>
      <c r="H40" s="466"/>
      <c r="I40" s="467"/>
      <c r="J40" s="467"/>
      <c r="K40" s="1671">
        <f t="shared" si="2"/>
        <v>0</v>
      </c>
      <c r="L40" s="466">
        <v>0</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89981</v>
      </c>
      <c r="D42" s="1670">
        <f t="shared" ref="D42:L42" si="3">SUM(D36:D41)</f>
        <v>25464</v>
      </c>
      <c r="E42" s="1670">
        <f t="shared" si="3"/>
        <v>28050</v>
      </c>
      <c r="F42" s="1670">
        <f t="shared" si="3"/>
        <v>0</v>
      </c>
      <c r="G42" s="1670">
        <f t="shared" si="3"/>
        <v>0</v>
      </c>
      <c r="H42" s="1670">
        <f t="shared" si="3"/>
        <v>0</v>
      </c>
      <c r="I42" s="1670">
        <f t="shared" si="3"/>
        <v>0</v>
      </c>
      <c r="J42" s="1670">
        <f t="shared" si="3"/>
        <v>0</v>
      </c>
      <c r="K42" s="1670">
        <f t="shared" si="3"/>
        <v>143495</v>
      </c>
      <c r="L42" s="1670">
        <f t="shared" si="3"/>
        <v>145856</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9494</v>
      </c>
      <c r="D44" s="481">
        <v>1268</v>
      </c>
      <c r="E44" s="481">
        <v>47918</v>
      </c>
      <c r="F44" s="481"/>
      <c r="G44" s="481"/>
      <c r="H44" s="481"/>
      <c r="I44" s="467"/>
      <c r="J44" s="467"/>
      <c r="K44" s="1672">
        <f>SUM(C44:J44)</f>
        <v>58680</v>
      </c>
      <c r="L44" s="481">
        <v>84258</v>
      </c>
    </row>
    <row r="45" spans="1:14" x14ac:dyDescent="0.2">
      <c r="A45" s="1504" t="s">
        <v>815</v>
      </c>
      <c r="B45" s="614">
        <v>2220</v>
      </c>
      <c r="C45" s="466">
        <v>2000</v>
      </c>
      <c r="D45" s="466"/>
      <c r="E45" s="466">
        <v>35137</v>
      </c>
      <c r="F45" s="466">
        <v>31461</v>
      </c>
      <c r="G45" s="466">
        <v>4850</v>
      </c>
      <c r="H45" s="466"/>
      <c r="I45" s="467"/>
      <c r="J45" s="467"/>
      <c r="K45" s="1672">
        <f>SUM(C45:J45)</f>
        <v>73448</v>
      </c>
      <c r="L45" s="466">
        <v>73768</v>
      </c>
    </row>
    <row r="46" spans="1:14" x14ac:dyDescent="0.2">
      <c r="A46" s="1504" t="s">
        <v>816</v>
      </c>
      <c r="B46" s="614">
        <v>2230</v>
      </c>
      <c r="C46" s="466">
        <v>2400</v>
      </c>
      <c r="D46" s="466">
        <v>307</v>
      </c>
      <c r="E46" s="466">
        <v>9465</v>
      </c>
      <c r="F46" s="466"/>
      <c r="G46" s="466"/>
      <c r="H46" s="466"/>
      <c r="I46" s="467"/>
      <c r="J46" s="467"/>
      <c r="K46" s="1672">
        <f>SUM(C46:J46)</f>
        <v>12172</v>
      </c>
      <c r="L46" s="466">
        <v>10593</v>
      </c>
    </row>
    <row r="47" spans="1:14" ht="12.75" customHeight="1" thickBot="1" x14ac:dyDescent="0.25">
      <c r="A47" s="1668" t="s">
        <v>561</v>
      </c>
      <c r="B47" s="1669" t="s">
        <v>32</v>
      </c>
      <c r="C47" s="1670">
        <f>SUM(C44:C46)</f>
        <v>13894</v>
      </c>
      <c r="D47" s="1670">
        <f t="shared" ref="D47:K47" si="4">SUM(D44:D46)</f>
        <v>1575</v>
      </c>
      <c r="E47" s="1670">
        <f t="shared" si="4"/>
        <v>92520</v>
      </c>
      <c r="F47" s="1670">
        <f t="shared" si="4"/>
        <v>31461</v>
      </c>
      <c r="G47" s="1670">
        <f t="shared" si="4"/>
        <v>4850</v>
      </c>
      <c r="H47" s="1670">
        <f t="shared" si="4"/>
        <v>0</v>
      </c>
      <c r="I47" s="1670">
        <f t="shared" si="4"/>
        <v>0</v>
      </c>
      <c r="J47" s="1670">
        <f t="shared" si="4"/>
        <v>0</v>
      </c>
      <c r="K47" s="1670">
        <f t="shared" si="4"/>
        <v>144300</v>
      </c>
      <c r="L47" s="1670">
        <f>SUM(L44:L46)</f>
        <v>168619</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43271</v>
      </c>
      <c r="F49" s="481">
        <v>17137</v>
      </c>
      <c r="G49" s="481"/>
      <c r="H49" s="481">
        <v>4804</v>
      </c>
      <c r="I49" s="467"/>
      <c r="J49" s="467"/>
      <c r="K49" s="1672">
        <f>SUM(C49:J49)</f>
        <v>65212</v>
      </c>
      <c r="L49" s="481">
        <v>69250</v>
      </c>
    </row>
    <row r="50" spans="1:14" x14ac:dyDescent="0.2">
      <c r="A50" s="1504" t="s">
        <v>818</v>
      </c>
      <c r="B50" s="614">
        <v>2320</v>
      </c>
      <c r="C50" s="466">
        <v>122588</v>
      </c>
      <c r="D50" s="466">
        <v>10248</v>
      </c>
      <c r="E50" s="466">
        <v>1961</v>
      </c>
      <c r="F50" s="466">
        <v>2607</v>
      </c>
      <c r="G50" s="466"/>
      <c r="H50" s="466">
        <v>780</v>
      </c>
      <c r="I50" s="467"/>
      <c r="J50" s="467"/>
      <c r="K50" s="1672">
        <f>SUM(C50:J50)</f>
        <v>138184</v>
      </c>
      <c r="L50" s="466">
        <v>138548</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122588</v>
      </c>
      <c r="D53" s="1670">
        <f t="shared" ref="D53:L53" si="5">SUM(D49:D52)</f>
        <v>10248</v>
      </c>
      <c r="E53" s="1670">
        <f t="shared" si="5"/>
        <v>45232</v>
      </c>
      <c r="F53" s="1670">
        <f t="shared" si="5"/>
        <v>19744</v>
      </c>
      <c r="G53" s="1670">
        <f t="shared" si="5"/>
        <v>0</v>
      </c>
      <c r="H53" s="1670">
        <f t="shared" si="5"/>
        <v>5584</v>
      </c>
      <c r="I53" s="1670">
        <f t="shared" si="5"/>
        <v>0</v>
      </c>
      <c r="J53" s="1670">
        <f t="shared" si="5"/>
        <v>0</v>
      </c>
      <c r="K53" s="1670">
        <f t="shared" si="5"/>
        <v>203396</v>
      </c>
      <c r="L53" s="1670">
        <f t="shared" si="5"/>
        <v>207798</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c r="D55" s="481"/>
      <c r="E55" s="481"/>
      <c r="F55" s="481">
        <v>3525</v>
      </c>
      <c r="G55" s="481"/>
      <c r="H55" s="481"/>
      <c r="I55" s="467"/>
      <c r="J55" s="467"/>
      <c r="K55" s="1672">
        <f>SUM(C55:J55)</f>
        <v>3525</v>
      </c>
      <c r="L55" s="481">
        <v>3525</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0</v>
      </c>
      <c r="D57" s="1674">
        <f t="shared" ref="D57:K57" si="6">SUM(D55:D56)</f>
        <v>0</v>
      </c>
      <c r="E57" s="1674">
        <f t="shared" si="6"/>
        <v>0</v>
      </c>
      <c r="F57" s="1674">
        <f t="shared" si="6"/>
        <v>3525</v>
      </c>
      <c r="G57" s="1674">
        <f t="shared" si="6"/>
        <v>0</v>
      </c>
      <c r="H57" s="1674">
        <f t="shared" si="6"/>
        <v>0</v>
      </c>
      <c r="I57" s="1674">
        <f t="shared" si="6"/>
        <v>0</v>
      </c>
      <c r="J57" s="1674">
        <f t="shared" si="6"/>
        <v>0</v>
      </c>
      <c r="K57" s="1674">
        <f t="shared" si="6"/>
        <v>3525</v>
      </c>
      <c r="L57" s="1670">
        <f>SUM(L55:L56)</f>
        <v>3525</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v>0</v>
      </c>
      <c r="M59" s="609"/>
      <c r="N59" s="609"/>
    </row>
    <row r="60" spans="1:14" s="343" customFormat="1" x14ac:dyDescent="0.2">
      <c r="A60" s="1504" t="s">
        <v>463</v>
      </c>
      <c r="B60" s="614">
        <v>2520</v>
      </c>
      <c r="C60" s="466">
        <v>65050</v>
      </c>
      <c r="D60" s="466">
        <v>9307</v>
      </c>
      <c r="E60" s="466">
        <v>41289</v>
      </c>
      <c r="F60" s="466">
        <v>4526</v>
      </c>
      <c r="G60" s="466">
        <v>1127</v>
      </c>
      <c r="H60" s="466">
        <v>165</v>
      </c>
      <c r="I60" s="467"/>
      <c r="J60" s="467"/>
      <c r="K60" s="1672">
        <f t="shared" si="7"/>
        <v>121464</v>
      </c>
      <c r="L60" s="466">
        <v>138611</v>
      </c>
      <c r="M60" s="609"/>
      <c r="N60" s="609"/>
    </row>
    <row r="61" spans="1:14" s="343" customFormat="1" x14ac:dyDescent="0.2">
      <c r="A61" s="1504" t="s">
        <v>197</v>
      </c>
      <c r="B61" s="614">
        <v>2540</v>
      </c>
      <c r="C61" s="466"/>
      <c r="D61" s="466"/>
      <c r="E61" s="466">
        <v>3344</v>
      </c>
      <c r="F61" s="466"/>
      <c r="G61" s="466"/>
      <c r="H61" s="466"/>
      <c r="I61" s="467"/>
      <c r="J61" s="467"/>
      <c r="K61" s="1672">
        <f t="shared" si="7"/>
        <v>3344</v>
      </c>
      <c r="L61" s="466">
        <v>4826</v>
      </c>
      <c r="M61" s="609"/>
      <c r="N61" s="609"/>
    </row>
    <row r="62" spans="1:14" s="343" customFormat="1" x14ac:dyDescent="0.2">
      <c r="A62" s="1504" t="s">
        <v>953</v>
      </c>
      <c r="B62" s="614">
        <v>2550</v>
      </c>
      <c r="C62" s="466">
        <v>9885</v>
      </c>
      <c r="D62" s="466">
        <v>2747</v>
      </c>
      <c r="E62" s="466">
        <v>622</v>
      </c>
      <c r="F62" s="466"/>
      <c r="G62" s="466"/>
      <c r="H62" s="466"/>
      <c r="I62" s="467"/>
      <c r="J62" s="467"/>
      <c r="K62" s="1672">
        <f t="shared" si="7"/>
        <v>13254</v>
      </c>
      <c r="L62" s="466">
        <v>16495</v>
      </c>
      <c r="M62" s="609"/>
      <c r="N62" s="609"/>
    </row>
    <row r="63" spans="1:14" s="609" customFormat="1" x14ac:dyDescent="0.2">
      <c r="A63" s="1504" t="s">
        <v>100</v>
      </c>
      <c r="B63" s="614">
        <v>2560</v>
      </c>
      <c r="C63" s="466">
        <v>34105</v>
      </c>
      <c r="D63" s="466">
        <v>7102</v>
      </c>
      <c r="E63" s="466">
        <v>116418</v>
      </c>
      <c r="F63" s="466">
        <v>4164</v>
      </c>
      <c r="G63" s="466"/>
      <c r="H63" s="466"/>
      <c r="I63" s="467"/>
      <c r="J63" s="467"/>
      <c r="K63" s="1672">
        <f t="shared" si="7"/>
        <v>161789</v>
      </c>
      <c r="L63" s="466">
        <v>169482</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109040</v>
      </c>
      <c r="D65" s="1670">
        <f t="shared" ref="D65:L65" si="8">SUM(D59:D64)</f>
        <v>19156</v>
      </c>
      <c r="E65" s="1670">
        <f t="shared" si="8"/>
        <v>161673</v>
      </c>
      <c r="F65" s="1670">
        <f t="shared" si="8"/>
        <v>8690</v>
      </c>
      <c r="G65" s="1670">
        <f t="shared" si="8"/>
        <v>1127</v>
      </c>
      <c r="H65" s="1670">
        <f t="shared" si="8"/>
        <v>165</v>
      </c>
      <c r="I65" s="1670">
        <f t="shared" si="8"/>
        <v>0</v>
      </c>
      <c r="J65" s="1670">
        <f t="shared" si="8"/>
        <v>0</v>
      </c>
      <c r="K65" s="1670">
        <f t="shared" si="8"/>
        <v>299851</v>
      </c>
      <c r="L65" s="1670">
        <f t="shared" si="8"/>
        <v>329414</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v>191372</v>
      </c>
      <c r="F67" s="466"/>
      <c r="G67" s="466"/>
      <c r="H67" s="466"/>
      <c r="I67" s="467"/>
      <c r="J67" s="467"/>
      <c r="K67" s="1672">
        <f>SUM(C67:J67)</f>
        <v>191372</v>
      </c>
      <c r="L67" s="481">
        <v>191372</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v>3599</v>
      </c>
      <c r="G70" s="466"/>
      <c r="H70" s="466"/>
      <c r="I70" s="467"/>
      <c r="J70" s="467"/>
      <c r="K70" s="1672">
        <f>SUM(C70:J70)</f>
        <v>3599</v>
      </c>
      <c r="L70" s="466">
        <v>4923</v>
      </c>
      <c r="M70" s="609"/>
      <c r="N70" s="609"/>
    </row>
    <row r="71" spans="1:14" s="343" customFormat="1" x14ac:dyDescent="0.2">
      <c r="A71" s="1504" t="s">
        <v>404</v>
      </c>
      <c r="B71" s="614">
        <v>2660</v>
      </c>
      <c r="C71" s="466"/>
      <c r="D71" s="466"/>
      <c r="E71" s="466">
        <v>32313</v>
      </c>
      <c r="F71" s="466"/>
      <c r="G71" s="466"/>
      <c r="H71" s="466"/>
      <c r="I71" s="467"/>
      <c r="J71" s="467"/>
      <c r="K71" s="1672">
        <f>SUM(C71:J71)</f>
        <v>32313</v>
      </c>
      <c r="L71" s="466">
        <v>10000</v>
      </c>
      <c r="M71" s="609"/>
      <c r="N71" s="609"/>
    </row>
    <row r="72" spans="1:14" s="343" customFormat="1" ht="12.75" customHeight="1" thickBot="1" x14ac:dyDescent="0.25">
      <c r="A72" s="1668" t="s">
        <v>37</v>
      </c>
      <c r="B72" s="1675" t="s">
        <v>36</v>
      </c>
      <c r="C72" s="1670">
        <f>SUM(C67:C71)</f>
        <v>0</v>
      </c>
      <c r="D72" s="1670">
        <f t="shared" ref="D72:K72" si="9">SUM(D67:D71)</f>
        <v>0</v>
      </c>
      <c r="E72" s="1670">
        <f t="shared" si="9"/>
        <v>223685</v>
      </c>
      <c r="F72" s="1670">
        <f t="shared" si="9"/>
        <v>3599</v>
      </c>
      <c r="G72" s="1670">
        <f t="shared" si="9"/>
        <v>0</v>
      </c>
      <c r="H72" s="1670">
        <f t="shared" si="9"/>
        <v>0</v>
      </c>
      <c r="I72" s="1670">
        <f t="shared" si="9"/>
        <v>0</v>
      </c>
      <c r="J72" s="1670">
        <f t="shared" si="9"/>
        <v>0</v>
      </c>
      <c r="K72" s="1670">
        <f t="shared" si="9"/>
        <v>227284</v>
      </c>
      <c r="L72" s="1670">
        <f>SUM(L67:L71)</f>
        <v>206295</v>
      </c>
      <c r="M72" s="609"/>
      <c r="N72" s="609"/>
    </row>
    <row r="73" spans="1:14" s="343" customFormat="1" ht="14.25" thickTop="1" thickBot="1" x14ac:dyDescent="0.25">
      <c r="A73" s="1510" t="s">
        <v>980</v>
      </c>
      <c r="B73" s="632" t="s">
        <v>574</v>
      </c>
      <c r="C73" s="573"/>
      <c r="D73" s="573"/>
      <c r="E73" s="573"/>
      <c r="F73" s="573">
        <v>478</v>
      </c>
      <c r="G73" s="573"/>
      <c r="H73" s="573"/>
      <c r="I73" s="531"/>
      <c r="J73" s="531"/>
      <c r="K73" s="1670">
        <f>SUM(C73:J73)</f>
        <v>478</v>
      </c>
      <c r="L73" s="576">
        <v>470</v>
      </c>
      <c r="M73" s="609"/>
      <c r="N73" s="609"/>
    </row>
    <row r="74" spans="1:14" ht="12.75" customHeight="1" thickTop="1" thickBot="1" x14ac:dyDescent="0.25">
      <c r="A74" s="1668" t="s">
        <v>811</v>
      </c>
      <c r="B74" s="1676">
        <v>2000</v>
      </c>
      <c r="C74" s="1677">
        <f>SUM(C42,C47,C53,C57,C65,C72,C73)</f>
        <v>335503</v>
      </c>
      <c r="D74" s="1677">
        <f t="shared" ref="D74:K74" si="10">SUM(D42,D47,D53,D57,D65,D72,D73)</f>
        <v>56443</v>
      </c>
      <c r="E74" s="1677">
        <f t="shared" si="10"/>
        <v>551160</v>
      </c>
      <c r="F74" s="1677">
        <f t="shared" si="10"/>
        <v>67497</v>
      </c>
      <c r="G74" s="1677">
        <f t="shared" si="10"/>
        <v>5977</v>
      </c>
      <c r="H74" s="1677">
        <f t="shared" si="10"/>
        <v>5749</v>
      </c>
      <c r="I74" s="1677">
        <f t="shared" si="10"/>
        <v>0</v>
      </c>
      <c r="J74" s="1677">
        <f t="shared" si="10"/>
        <v>0</v>
      </c>
      <c r="K74" s="1677">
        <f t="shared" si="10"/>
        <v>1022329</v>
      </c>
      <c r="L74" s="1677">
        <f>SUM(L42,L47,L53,L57,L65,L72,L73)</f>
        <v>1061977</v>
      </c>
    </row>
    <row r="75" spans="1:14" s="259" customFormat="1" ht="15.75" customHeight="1" thickTop="1" thickBot="1" x14ac:dyDescent="0.25">
      <c r="A75" s="1610" t="s">
        <v>47</v>
      </c>
      <c r="B75" s="1611" t="s">
        <v>575</v>
      </c>
      <c r="C75" s="573">
        <v>21153</v>
      </c>
      <c r="D75" s="573">
        <v>4866</v>
      </c>
      <c r="E75" s="573">
        <v>575</v>
      </c>
      <c r="F75" s="573">
        <v>3086</v>
      </c>
      <c r="G75" s="573"/>
      <c r="H75" s="573"/>
      <c r="I75" s="531"/>
      <c r="J75" s="531"/>
      <c r="K75" s="1670">
        <f>SUM(C75:J75)</f>
        <v>29680</v>
      </c>
      <c r="L75" s="576">
        <v>30016</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c r="I79" s="477"/>
      <c r="J79" s="477"/>
      <c r="K79" s="1671">
        <f t="shared" si="11"/>
        <v>0</v>
      </c>
      <c r="L79" s="466">
        <v>800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0</v>
      </c>
      <c r="F84" s="616"/>
      <c r="G84" s="616"/>
      <c r="H84" s="1670">
        <f>SUM(H78:H83)</f>
        <v>0</v>
      </c>
      <c r="I84" s="477"/>
      <c r="J84" s="477"/>
      <c r="K84" s="1670">
        <f>SUM(K78:K83)</f>
        <v>0</v>
      </c>
      <c r="L84" s="1670">
        <f>SUM(L78:L83)</f>
        <v>800</v>
      </c>
    </row>
    <row r="85" spans="1:12" ht="12.75" customHeight="1" thickTop="1" thickBot="1" x14ac:dyDescent="0.25">
      <c r="A85" s="1511" t="s">
        <v>255</v>
      </c>
      <c r="B85" s="635">
        <v>4210</v>
      </c>
      <c r="C85" s="616"/>
      <c r="D85" s="616"/>
      <c r="E85" s="636"/>
      <c r="F85" s="616"/>
      <c r="G85" s="616"/>
      <c r="H85" s="535">
        <v>6600</v>
      </c>
      <c r="I85" s="477"/>
      <c r="J85" s="477"/>
      <c r="K85" s="1677">
        <f>H85</f>
        <v>6600</v>
      </c>
      <c r="L85" s="530">
        <v>6600</v>
      </c>
    </row>
    <row r="86" spans="1:12" ht="12.75" customHeight="1" thickTop="1" thickBot="1" x14ac:dyDescent="0.25">
      <c r="A86" s="1512" t="s">
        <v>699</v>
      </c>
      <c r="B86" s="637">
        <v>4220</v>
      </c>
      <c r="C86" s="616"/>
      <c r="D86" s="616"/>
      <c r="E86" s="638"/>
      <c r="F86" s="616"/>
      <c r="G86" s="616"/>
      <c r="H86" s="467">
        <v>30000</v>
      </c>
      <c r="I86" s="477"/>
      <c r="J86" s="477"/>
      <c r="K86" s="1677">
        <f t="shared" ref="K86:K98" si="12">H86</f>
        <v>30000</v>
      </c>
      <c r="L86" s="530">
        <v>30000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36600</v>
      </c>
      <c r="I92" s="477"/>
      <c r="J92" s="477"/>
      <c r="K92" s="1677">
        <f t="shared" si="12"/>
        <v>36600</v>
      </c>
      <c r="L92" s="1670">
        <f>SUM(L85:L91)</f>
        <v>36600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36600</v>
      </c>
      <c r="I102" s="477"/>
      <c r="J102" s="477"/>
      <c r="K102" s="1677">
        <f>SUM(K84,K92,K100,K101)</f>
        <v>36600</v>
      </c>
      <c r="L102" s="1677">
        <f>SUM(L84,L92,L100,L101)</f>
        <v>37400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993343</v>
      </c>
      <c r="D114" s="1670">
        <f t="shared" ref="D114:K114" si="13">SUM(D33,D74,D75,D102,D112,D113)</f>
        <v>208215</v>
      </c>
      <c r="E114" s="1670">
        <f t="shared" si="13"/>
        <v>582153</v>
      </c>
      <c r="F114" s="1670">
        <f t="shared" si="13"/>
        <v>158941</v>
      </c>
      <c r="G114" s="1670">
        <f t="shared" si="13"/>
        <v>40253</v>
      </c>
      <c r="H114" s="1670">
        <f>SUM(H33,H74,H75,H102,H112,H113)</f>
        <v>81866</v>
      </c>
      <c r="I114" s="1670">
        <f t="shared" si="13"/>
        <v>0</v>
      </c>
      <c r="J114" s="1670">
        <f t="shared" si="13"/>
        <v>0</v>
      </c>
      <c r="K114" s="1670">
        <f t="shared" si="13"/>
        <v>2064771</v>
      </c>
      <c r="L114" s="1670">
        <f>SUM(L33,L74,L75,L102,L112,L113)</f>
        <v>2231642</v>
      </c>
    </row>
    <row r="115" spans="1:14" ht="13.5" thickTop="1" x14ac:dyDescent="0.2">
      <c r="A115" s="2185" t="s">
        <v>996</v>
      </c>
      <c r="B115" s="2186"/>
      <c r="C115" s="618"/>
      <c r="D115" s="618"/>
      <c r="E115" s="618"/>
      <c r="F115" s="618"/>
      <c r="G115" s="618"/>
      <c r="H115" s="618"/>
      <c r="I115" s="618"/>
      <c r="J115" s="618"/>
      <c r="K115" s="1684">
        <f>'Revenues 9-14'!C268-'Expenditures 15-22'!K114</f>
        <v>-135285</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3" t="s">
        <v>296</v>
      </c>
      <c r="B117" s="2164"/>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2058</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80867</v>
      </c>
      <c r="D124" s="466">
        <v>15997</v>
      </c>
      <c r="E124" s="466">
        <v>35973</v>
      </c>
      <c r="F124" s="466">
        <v>99654</v>
      </c>
      <c r="G124" s="466">
        <v>46234</v>
      </c>
      <c r="H124" s="466"/>
      <c r="I124" s="467"/>
      <c r="J124" s="467"/>
      <c r="K124" s="1670">
        <f>SUM(C124:J124)</f>
        <v>278725</v>
      </c>
      <c r="L124" s="466">
        <v>288525</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80867</v>
      </c>
      <c r="D127" s="1670">
        <f t="shared" ref="D127:L127" si="14">SUM(D122:D126)</f>
        <v>15997</v>
      </c>
      <c r="E127" s="1670">
        <f t="shared" si="14"/>
        <v>35973</v>
      </c>
      <c r="F127" s="1670">
        <f t="shared" si="14"/>
        <v>99654</v>
      </c>
      <c r="G127" s="1670">
        <f t="shared" si="14"/>
        <v>46234</v>
      </c>
      <c r="H127" s="1670">
        <f t="shared" si="14"/>
        <v>0</v>
      </c>
      <c r="I127" s="1670">
        <f t="shared" si="14"/>
        <v>0</v>
      </c>
      <c r="J127" s="1670">
        <f t="shared" si="14"/>
        <v>0</v>
      </c>
      <c r="K127" s="1670">
        <f t="shared" si="14"/>
        <v>278725</v>
      </c>
      <c r="L127" s="1670">
        <f t="shared" si="14"/>
        <v>288525</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80867</v>
      </c>
      <c r="D129" s="1677">
        <f t="shared" ref="D129:L129" si="15">SUM(D120,D127,D128)</f>
        <v>15997</v>
      </c>
      <c r="E129" s="1677">
        <f t="shared" si="15"/>
        <v>35973</v>
      </c>
      <c r="F129" s="1677">
        <f t="shared" si="15"/>
        <v>99654</v>
      </c>
      <c r="G129" s="1677">
        <f t="shared" si="15"/>
        <v>46234</v>
      </c>
      <c r="H129" s="1677">
        <f t="shared" si="15"/>
        <v>0</v>
      </c>
      <c r="I129" s="1677">
        <f t="shared" si="15"/>
        <v>0</v>
      </c>
      <c r="J129" s="1677">
        <f t="shared" si="15"/>
        <v>0</v>
      </c>
      <c r="K129" s="1677">
        <f t="shared" si="15"/>
        <v>278725</v>
      </c>
      <c r="L129" s="1677">
        <f t="shared" si="15"/>
        <v>288525</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1843</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5" t="s">
        <v>620</v>
      </c>
      <c r="B151" s="2157"/>
      <c r="C151" s="1670">
        <f>SUM(C129,C130,C139,C149,C150)</f>
        <v>80867</v>
      </c>
      <c r="D151" s="1670">
        <f t="shared" ref="D151:K151" si="16">SUM(D129,D130,D139,D149,D150)</f>
        <v>15997</v>
      </c>
      <c r="E151" s="1670">
        <f t="shared" si="16"/>
        <v>35973</v>
      </c>
      <c r="F151" s="1670">
        <f t="shared" si="16"/>
        <v>99654</v>
      </c>
      <c r="G151" s="1670">
        <f t="shared" si="16"/>
        <v>46234</v>
      </c>
      <c r="H151" s="1670">
        <f t="shared" si="16"/>
        <v>0</v>
      </c>
      <c r="I151" s="1670">
        <f t="shared" si="16"/>
        <v>0</v>
      </c>
      <c r="J151" s="1670">
        <f t="shared" si="16"/>
        <v>0</v>
      </c>
      <c r="K151" s="1670">
        <f t="shared" si="16"/>
        <v>278725</v>
      </c>
      <c r="L151" s="1670">
        <f>SUM(L129,L130,L139,L149,L150)</f>
        <v>288525</v>
      </c>
    </row>
    <row r="152" spans="1:14" ht="12.75" customHeight="1" thickTop="1" x14ac:dyDescent="0.2">
      <c r="A152" s="2178" t="s">
        <v>1178</v>
      </c>
      <c r="B152" s="2179"/>
      <c r="C152" s="618"/>
      <c r="D152" s="618"/>
      <c r="E152" s="618"/>
      <c r="F152" s="618"/>
      <c r="G152" s="618"/>
      <c r="H152" s="618"/>
      <c r="I152" s="618"/>
      <c r="J152" s="616"/>
      <c r="K152" s="1684">
        <f>'Revenues 9-14'!D268-'Expenditures 15-22'!K151</f>
        <v>18436</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3" t="s">
        <v>621</v>
      </c>
      <c r="B154" s="2165"/>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1844</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1843</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1845</v>
      </c>
      <c r="C158" s="616"/>
      <c r="D158" s="616"/>
      <c r="E158" s="616"/>
      <c r="F158" s="616"/>
      <c r="G158" s="616"/>
      <c r="H158" s="467"/>
      <c r="I158" s="616"/>
      <c r="J158" s="616"/>
      <c r="K158" s="1671">
        <f>H158</f>
        <v>0</v>
      </c>
      <c r="L158" s="467">
        <v>0</v>
      </c>
      <c r="M158" s="619"/>
      <c r="N158" s="619"/>
    </row>
    <row r="159" spans="1:14" s="620" customFormat="1" ht="12" x14ac:dyDescent="0.2">
      <c r="A159" s="1826" t="s">
        <v>1846</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1847</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65254</v>
      </c>
      <c r="I169" s="616"/>
      <c r="J169" s="616"/>
      <c r="K169" s="1671">
        <f>SUM(C169:H169)</f>
        <v>65254</v>
      </c>
      <c r="L169" s="656">
        <v>65325</v>
      </c>
    </row>
    <row r="170" spans="1:14" ht="33.75" customHeight="1" x14ac:dyDescent="0.2">
      <c r="A170" s="669" t="s">
        <v>1670</v>
      </c>
      <c r="B170" s="671" t="s">
        <v>31</v>
      </c>
      <c r="C170" s="616"/>
      <c r="D170" s="616"/>
      <c r="E170" s="616"/>
      <c r="F170" s="616"/>
      <c r="G170" s="616"/>
      <c r="H170" s="569">
        <v>79376</v>
      </c>
      <c r="I170" s="616"/>
      <c r="J170" s="616"/>
      <c r="K170" s="1671">
        <f>SUM(C170:J170)</f>
        <v>79376</v>
      </c>
      <c r="L170" s="569">
        <v>79376</v>
      </c>
    </row>
    <row r="171" spans="1:14" ht="15.75" customHeight="1" x14ac:dyDescent="0.2">
      <c r="A171" s="621" t="s">
        <v>766</v>
      </c>
      <c r="B171" s="672" t="s">
        <v>84</v>
      </c>
      <c r="C171" s="616"/>
      <c r="D171" s="616"/>
      <c r="E171" s="466"/>
      <c r="F171" s="616"/>
      <c r="G171" s="616"/>
      <c r="H171" s="569">
        <v>1666</v>
      </c>
      <c r="I171" s="477"/>
      <c r="J171" s="616"/>
      <c r="K171" s="1671">
        <f>SUM(C171:J171)</f>
        <v>1666</v>
      </c>
      <c r="L171" s="569">
        <v>2000</v>
      </c>
    </row>
    <row r="172" spans="1:14" ht="12.75" customHeight="1" thickBot="1" x14ac:dyDescent="0.25">
      <c r="A172" s="1668" t="s">
        <v>638</v>
      </c>
      <c r="B172" s="1669" t="s">
        <v>492</v>
      </c>
      <c r="C172" s="616"/>
      <c r="D172" s="616"/>
      <c r="E172" s="1677">
        <f>SUM(E168,E169,E170,E171)</f>
        <v>0</v>
      </c>
      <c r="F172" s="616"/>
      <c r="G172" s="616"/>
      <c r="H172" s="1677">
        <f>SUM(H168,H169,H170,H171)</f>
        <v>146296</v>
      </c>
      <c r="I172" s="638"/>
      <c r="J172" s="616"/>
      <c r="K172" s="1677">
        <f>SUM(K168,K169,K170,K171)</f>
        <v>146296</v>
      </c>
      <c r="L172" s="1677">
        <f>SUM(L168,L169,L170,L171)</f>
        <v>146701</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146296</v>
      </c>
      <c r="I174" s="638"/>
      <c r="J174" s="616"/>
      <c r="K174" s="1677">
        <f>SUM(K160,K172,K173)</f>
        <v>146296</v>
      </c>
      <c r="L174" s="1677">
        <f>SUM(L160,L172,L173)</f>
        <v>146701</v>
      </c>
    </row>
    <row r="175" spans="1:14" ht="13.5" thickTop="1" x14ac:dyDescent="0.2">
      <c r="A175" s="2185" t="s">
        <v>996</v>
      </c>
      <c r="B175" s="2186"/>
      <c r="C175" s="616"/>
      <c r="D175" s="616"/>
      <c r="E175" s="616"/>
      <c r="F175" s="616"/>
      <c r="G175" s="616"/>
      <c r="H175" s="618"/>
      <c r="I175" s="616"/>
      <c r="J175" s="616"/>
      <c r="K175" s="1684">
        <f>'Revenues 9-14'!E268-'Expenditures 15-22'!K174</f>
        <v>-14070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2058</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52870</v>
      </c>
      <c r="D182" s="466">
        <v>10441</v>
      </c>
      <c r="E182" s="466">
        <v>25735</v>
      </c>
      <c r="F182" s="466">
        <v>20254</v>
      </c>
      <c r="G182" s="466"/>
      <c r="H182" s="466"/>
      <c r="I182" s="467"/>
      <c r="J182" s="467"/>
      <c r="K182" s="1671">
        <f>SUM(C182:J182)</f>
        <v>109300</v>
      </c>
      <c r="L182" s="466">
        <v>114955</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52870</v>
      </c>
      <c r="D184" s="1677">
        <f t="shared" ref="D184:J184" si="17">SUM(D180,D182,D183)</f>
        <v>10441</v>
      </c>
      <c r="E184" s="1677">
        <f t="shared" si="17"/>
        <v>25735</v>
      </c>
      <c r="F184" s="1677">
        <f t="shared" si="17"/>
        <v>20254</v>
      </c>
      <c r="G184" s="1677">
        <f t="shared" si="17"/>
        <v>0</v>
      </c>
      <c r="H184" s="1677">
        <f t="shared" si="17"/>
        <v>0</v>
      </c>
      <c r="I184" s="1677">
        <f t="shared" si="17"/>
        <v>0</v>
      </c>
      <c r="J184" s="1677">
        <f t="shared" si="17"/>
        <v>0</v>
      </c>
      <c r="K184" s="1677">
        <f>SUM(K180,K182,K183)</f>
        <v>109300</v>
      </c>
      <c r="L184" s="1677">
        <f>SUM(L180, L182:L183)</f>
        <v>114955</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v>5311</v>
      </c>
      <c r="I206" s="616"/>
      <c r="J206" s="616"/>
      <c r="K206" s="1671">
        <f>SUM(H206)</f>
        <v>5311</v>
      </c>
      <c r="L206" s="466">
        <v>5400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5311</v>
      </c>
      <c r="I208" s="616"/>
      <c r="J208" s="616"/>
      <c r="K208" s="1677">
        <f>SUM(K204,K205,K206,K207)</f>
        <v>5311</v>
      </c>
      <c r="L208" s="1677">
        <f>SUM(L204,L205,L206,L207)</f>
        <v>5400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52870</v>
      </c>
      <c r="D210" s="1670">
        <f>SUM(D184,D185)</f>
        <v>10441</v>
      </c>
      <c r="E210" s="1670">
        <f>SUM(E184,E185,E196)</f>
        <v>25735</v>
      </c>
      <c r="F210" s="1670">
        <f>SUM(F184,F185)</f>
        <v>20254</v>
      </c>
      <c r="G210" s="1670">
        <f>SUM(G184,G185)</f>
        <v>0</v>
      </c>
      <c r="H210" s="1670">
        <f>SUM(H184,H185,H196,H208,H209)</f>
        <v>5311</v>
      </c>
      <c r="I210" s="1670">
        <f>SUM(I184,I185)</f>
        <v>0</v>
      </c>
      <c r="J210" s="1670">
        <f>SUM(J184,J185)</f>
        <v>0</v>
      </c>
      <c r="K210" s="1671">
        <f>SUM(K184,K185,K196,K208,K209)</f>
        <v>114611</v>
      </c>
      <c r="L210" s="1670">
        <f>SUM(L184,L185,L196,L208,L209)</f>
        <v>120355</v>
      </c>
    </row>
    <row r="211" spans="1:14" ht="13.5" thickTop="1" x14ac:dyDescent="0.2">
      <c r="A211" s="2185" t="s">
        <v>996</v>
      </c>
      <c r="B211" s="2186"/>
      <c r="C211" s="618"/>
      <c r="D211" s="618"/>
      <c r="E211" s="618"/>
      <c r="F211" s="618"/>
      <c r="G211" s="618"/>
      <c r="H211" s="618"/>
      <c r="I211" s="616"/>
      <c r="J211" s="616"/>
      <c r="K211" s="1684">
        <f>'Revenues 9-14'!F268-'Expenditures 15-22'!K210</f>
        <v>-2171</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0" t="s">
        <v>965</v>
      </c>
      <c r="B213" s="2181"/>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5825</v>
      </c>
      <c r="E215" s="616"/>
      <c r="F215" s="616"/>
      <c r="G215" s="616"/>
      <c r="H215" s="616"/>
      <c r="I215" s="616"/>
      <c r="J215" s="616"/>
      <c r="K215" s="1671">
        <f>D215</f>
        <v>5825</v>
      </c>
      <c r="L215" s="466">
        <v>5890</v>
      </c>
    </row>
    <row r="216" spans="1:14" x14ac:dyDescent="0.2">
      <c r="A216" s="1504" t="s">
        <v>163</v>
      </c>
      <c r="B216" s="614" t="s">
        <v>967</v>
      </c>
      <c r="C216" s="616"/>
      <c r="D216" s="467"/>
      <c r="E216" s="616"/>
      <c r="F216" s="616"/>
      <c r="G216" s="616"/>
      <c r="H216" s="616"/>
      <c r="I216" s="616"/>
      <c r="J216" s="616"/>
      <c r="K216" s="1671">
        <f t="shared" ref="K216:K228" si="19">D216</f>
        <v>0</v>
      </c>
      <c r="L216" s="466">
        <v>0</v>
      </c>
    </row>
    <row r="217" spans="1:14" x14ac:dyDescent="0.2">
      <c r="A217" s="1504" t="s">
        <v>164</v>
      </c>
      <c r="B217" s="614">
        <v>1200</v>
      </c>
      <c r="C217" s="616"/>
      <c r="D217" s="466"/>
      <c r="E217" s="616"/>
      <c r="F217" s="616"/>
      <c r="G217" s="616"/>
      <c r="H217" s="616"/>
      <c r="I217" s="616"/>
      <c r="J217" s="616"/>
      <c r="K217" s="1671">
        <f t="shared" si="19"/>
        <v>0</v>
      </c>
      <c r="L217" s="466">
        <v>0</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c r="E219" s="616"/>
      <c r="F219" s="616"/>
      <c r="G219" s="616"/>
      <c r="H219" s="616"/>
      <c r="I219" s="616"/>
      <c r="J219" s="616"/>
      <c r="K219" s="1671">
        <f t="shared" si="19"/>
        <v>0</v>
      </c>
      <c r="L219" s="466">
        <v>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v>58</v>
      </c>
      <c r="E222" s="616"/>
      <c r="F222" s="616"/>
      <c r="G222" s="616"/>
      <c r="H222" s="616"/>
      <c r="I222" s="616"/>
      <c r="J222" s="616"/>
      <c r="K222" s="1671">
        <f t="shared" si="19"/>
        <v>58</v>
      </c>
      <c r="L222" s="466">
        <v>60</v>
      </c>
    </row>
    <row r="223" spans="1:14" x14ac:dyDescent="0.2">
      <c r="A223" s="1504" t="s">
        <v>963</v>
      </c>
      <c r="B223" s="614">
        <v>1500</v>
      </c>
      <c r="C223" s="616"/>
      <c r="D223" s="466">
        <v>1355</v>
      </c>
      <c r="E223" s="616"/>
      <c r="F223" s="616"/>
      <c r="G223" s="616"/>
      <c r="H223" s="616"/>
      <c r="I223" s="616"/>
      <c r="J223" s="616"/>
      <c r="K223" s="1671">
        <f t="shared" si="19"/>
        <v>1355</v>
      </c>
      <c r="L223" s="466">
        <v>1385</v>
      </c>
    </row>
    <row r="224" spans="1:14" x14ac:dyDescent="0.2">
      <c r="A224" s="1504" t="s">
        <v>964</v>
      </c>
      <c r="B224" s="614">
        <v>1600</v>
      </c>
      <c r="C224" s="616"/>
      <c r="D224" s="466"/>
      <c r="E224" s="616"/>
      <c r="F224" s="616"/>
      <c r="G224" s="616"/>
      <c r="H224" s="616"/>
      <c r="I224" s="616"/>
      <c r="J224" s="616"/>
      <c r="K224" s="1671">
        <f t="shared" si="19"/>
        <v>0</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c r="E226" s="616"/>
      <c r="F226" s="616"/>
      <c r="G226" s="616"/>
      <c r="H226" s="616"/>
      <c r="I226" s="616"/>
      <c r="J226" s="616"/>
      <c r="K226" s="1671">
        <f t="shared" si="19"/>
        <v>0</v>
      </c>
      <c r="L226" s="466">
        <v>0</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7238</v>
      </c>
      <c r="E229" s="616"/>
      <c r="F229" s="616"/>
      <c r="G229" s="616"/>
      <c r="H229" s="616"/>
      <c r="I229" s="616"/>
      <c r="J229" s="616"/>
      <c r="K229" s="1670">
        <f>SUM(K215:K228)</f>
        <v>7238</v>
      </c>
      <c r="L229" s="1670">
        <f>SUM(L215:L228)</f>
        <v>7335</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1876</v>
      </c>
      <c r="E232" s="616"/>
      <c r="F232" s="616"/>
      <c r="G232" s="616"/>
      <c r="H232" s="616"/>
      <c r="I232" s="616"/>
      <c r="J232" s="616"/>
      <c r="K232" s="1671">
        <f t="shared" ref="K232:K237" si="20">D232</f>
        <v>1876</v>
      </c>
      <c r="L232" s="466">
        <v>1990</v>
      </c>
    </row>
    <row r="233" spans="1:12" x14ac:dyDescent="0.2">
      <c r="A233" s="1504" t="s">
        <v>1090</v>
      </c>
      <c r="B233" s="614">
        <v>2120</v>
      </c>
      <c r="C233" s="616"/>
      <c r="D233" s="466">
        <v>7713</v>
      </c>
      <c r="E233" s="616"/>
      <c r="F233" s="616"/>
      <c r="G233" s="616"/>
      <c r="H233" s="616"/>
      <c r="I233" s="616"/>
      <c r="J233" s="616"/>
      <c r="K233" s="1671">
        <f t="shared" si="20"/>
        <v>7713</v>
      </c>
      <c r="L233" s="466">
        <v>7790</v>
      </c>
    </row>
    <row r="234" spans="1:12" x14ac:dyDescent="0.2">
      <c r="A234" s="1504" t="s">
        <v>198</v>
      </c>
      <c r="B234" s="614">
        <v>2130</v>
      </c>
      <c r="C234" s="616"/>
      <c r="D234" s="466"/>
      <c r="E234" s="616"/>
      <c r="F234" s="616"/>
      <c r="G234" s="616"/>
      <c r="H234" s="616"/>
      <c r="I234" s="616"/>
      <c r="J234" s="616"/>
      <c r="K234" s="1671">
        <f t="shared" si="20"/>
        <v>0</v>
      </c>
      <c r="L234" s="466">
        <v>0</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9589</v>
      </c>
      <c r="E238" s="616"/>
      <c r="F238" s="616"/>
      <c r="G238" s="616"/>
      <c r="H238" s="616"/>
      <c r="I238" s="616"/>
      <c r="J238" s="616"/>
      <c r="K238" s="1670">
        <f>SUM(K232:K237)</f>
        <v>9589</v>
      </c>
      <c r="L238" s="1670">
        <f>SUM(L232:L237)</f>
        <v>9780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15</v>
      </c>
      <c r="E240" s="616"/>
      <c r="F240" s="616"/>
      <c r="G240" s="616"/>
      <c r="H240" s="616"/>
      <c r="I240" s="616"/>
      <c r="J240" s="616"/>
      <c r="K240" s="1672">
        <f>D240</f>
        <v>15</v>
      </c>
      <c r="L240" s="481">
        <v>40</v>
      </c>
    </row>
    <row r="241" spans="1:12" x14ac:dyDescent="0.2">
      <c r="A241" s="1504" t="s">
        <v>815</v>
      </c>
      <c r="B241" s="614">
        <v>2220</v>
      </c>
      <c r="C241" s="616"/>
      <c r="D241" s="466"/>
      <c r="E241" s="616"/>
      <c r="F241" s="616"/>
      <c r="G241" s="616"/>
      <c r="H241" s="616"/>
      <c r="I241" s="616"/>
      <c r="J241" s="616"/>
      <c r="K241" s="1672">
        <f>D241</f>
        <v>0</v>
      </c>
      <c r="L241" s="466">
        <v>0</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15</v>
      </c>
      <c r="E243" s="616"/>
      <c r="F243" s="616"/>
      <c r="G243" s="616"/>
      <c r="H243" s="616"/>
      <c r="I243" s="616"/>
      <c r="J243" s="616"/>
      <c r="K243" s="1670">
        <f>SUM(K240:K242)</f>
        <v>15</v>
      </c>
      <c r="L243" s="1670">
        <f>SUM(L240:L242)</f>
        <v>40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v>
      </c>
      <c r="E245" s="616"/>
      <c r="F245" s="616"/>
      <c r="G245" s="616"/>
      <c r="H245" s="616"/>
      <c r="I245" s="616"/>
      <c r="J245" s="616"/>
      <c r="K245" s="1672">
        <f>D245</f>
        <v>1</v>
      </c>
      <c r="L245" s="481">
        <v>0</v>
      </c>
    </row>
    <row r="246" spans="1:12" x14ac:dyDescent="0.2">
      <c r="A246" s="1504" t="s">
        <v>818</v>
      </c>
      <c r="B246" s="614">
        <v>2320</v>
      </c>
      <c r="C246" s="616"/>
      <c r="D246" s="466">
        <v>1886</v>
      </c>
      <c r="E246" s="616"/>
      <c r="F246" s="616"/>
      <c r="G246" s="616"/>
      <c r="H246" s="616"/>
      <c r="I246" s="616"/>
      <c r="J246" s="616"/>
      <c r="K246" s="1672">
        <f t="shared" ref="K246:K256" si="21">D246</f>
        <v>1886</v>
      </c>
      <c r="L246" s="466">
        <v>1915</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1803</v>
      </c>
      <c r="B249" s="683" t="s">
        <v>282</v>
      </c>
      <c r="C249" s="616"/>
      <c r="D249" s="474"/>
      <c r="E249" s="616"/>
      <c r="F249" s="616"/>
      <c r="G249" s="616"/>
      <c r="H249" s="616"/>
      <c r="I249" s="616"/>
      <c r="J249" s="616"/>
      <c r="K249" s="1672">
        <f t="shared" si="21"/>
        <v>0</v>
      </c>
      <c r="L249" s="466">
        <v>0</v>
      </c>
    </row>
    <row r="250" spans="1:12" x14ac:dyDescent="0.2">
      <c r="A250" s="1505" t="s">
        <v>1804</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v>4133</v>
      </c>
      <c r="E254" s="616"/>
      <c r="F254" s="616"/>
      <c r="G254" s="616"/>
      <c r="H254" s="616"/>
      <c r="I254" s="616"/>
      <c r="J254" s="616"/>
      <c r="K254" s="1672">
        <f t="shared" si="21"/>
        <v>4133</v>
      </c>
      <c r="L254" s="466">
        <v>5095</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6020</v>
      </c>
      <c r="E257" s="616"/>
      <c r="F257" s="616"/>
      <c r="G257" s="616"/>
      <c r="H257" s="616"/>
      <c r="I257" s="616"/>
      <c r="J257" s="616"/>
      <c r="K257" s="1670">
        <f>SUM(K245:K256)</f>
        <v>6020</v>
      </c>
      <c r="L257" s="1670">
        <f>SUM(L245:L256)</f>
        <v>7010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c r="E259" s="616"/>
      <c r="F259" s="616"/>
      <c r="G259" s="616"/>
      <c r="H259" s="616"/>
      <c r="I259" s="616"/>
      <c r="J259" s="616"/>
      <c r="K259" s="1672">
        <f>D259</f>
        <v>0</v>
      </c>
      <c r="L259" s="481">
        <v>0</v>
      </c>
    </row>
    <row r="260" spans="1:14" s="597" customFormat="1" x14ac:dyDescent="0.2">
      <c r="A260" s="1522" t="s">
        <v>1802</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0</v>
      </c>
      <c r="E261" s="616"/>
      <c r="F261" s="616"/>
      <c r="G261" s="616"/>
      <c r="H261" s="616"/>
      <c r="I261" s="616"/>
      <c r="J261" s="616"/>
      <c r="K261" s="1670">
        <f>SUM(K259:K260)</f>
        <v>0</v>
      </c>
      <c r="L261" s="1670">
        <f>SUM(L259:L260)</f>
        <v>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v>0</v>
      </c>
    </row>
    <row r="264" spans="1:14" x14ac:dyDescent="0.2">
      <c r="A264" s="1504" t="s">
        <v>463</v>
      </c>
      <c r="B264" s="685">
        <v>2520</v>
      </c>
      <c r="C264" s="616"/>
      <c r="D264" s="466">
        <v>14349</v>
      </c>
      <c r="E264" s="616"/>
      <c r="F264" s="616"/>
      <c r="G264" s="616"/>
      <c r="H264" s="616"/>
      <c r="I264" s="616"/>
      <c r="J264" s="616"/>
      <c r="K264" s="1672">
        <f t="shared" ref="K264:K269" si="22">D264</f>
        <v>14349</v>
      </c>
      <c r="L264" s="466">
        <v>14400</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16526</v>
      </c>
      <c r="E266" s="616"/>
      <c r="F266" s="616"/>
      <c r="G266" s="616"/>
      <c r="H266" s="616"/>
      <c r="I266" s="616"/>
      <c r="J266" s="616"/>
      <c r="K266" s="1672">
        <f t="shared" si="22"/>
        <v>16526</v>
      </c>
      <c r="L266" s="466">
        <v>17100</v>
      </c>
    </row>
    <row r="267" spans="1:14" x14ac:dyDescent="0.2">
      <c r="A267" s="1504" t="s">
        <v>953</v>
      </c>
      <c r="B267" s="614">
        <v>2550</v>
      </c>
      <c r="C267" s="616"/>
      <c r="D267" s="466">
        <v>12200</v>
      </c>
      <c r="E267" s="616"/>
      <c r="F267" s="616"/>
      <c r="G267" s="616"/>
      <c r="H267" s="616"/>
      <c r="I267" s="616"/>
      <c r="J267" s="616"/>
      <c r="K267" s="1672">
        <f t="shared" si="22"/>
        <v>12200</v>
      </c>
      <c r="L267" s="466">
        <v>12275</v>
      </c>
    </row>
    <row r="268" spans="1:14" x14ac:dyDescent="0.2">
      <c r="A268" s="1504" t="s">
        <v>100</v>
      </c>
      <c r="B268" s="614">
        <v>2560</v>
      </c>
      <c r="C268" s="616"/>
      <c r="D268" s="466">
        <v>7846</v>
      </c>
      <c r="E268" s="616"/>
      <c r="F268" s="616"/>
      <c r="G268" s="616"/>
      <c r="H268" s="616"/>
      <c r="I268" s="616"/>
      <c r="J268" s="616"/>
      <c r="K268" s="1672">
        <f t="shared" si="22"/>
        <v>7846</v>
      </c>
      <c r="L268" s="466">
        <v>8070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50921</v>
      </c>
      <c r="E270" s="616"/>
      <c r="F270" s="616"/>
      <c r="G270" s="616"/>
      <c r="H270" s="616"/>
      <c r="I270" s="616"/>
      <c r="J270" s="616"/>
      <c r="K270" s="1670">
        <f>SUM(K263:K269)</f>
        <v>50921</v>
      </c>
      <c r="L270" s="1670">
        <f>SUM(L263:L269)</f>
        <v>51845</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66545</v>
      </c>
      <c r="E279" s="616"/>
      <c r="F279" s="616"/>
      <c r="G279" s="616"/>
      <c r="H279" s="616"/>
      <c r="I279" s="616"/>
      <c r="J279" s="616"/>
      <c r="K279" s="1677">
        <f>SUM(K238,K243,K257,K261,K270,K277,K278)</f>
        <v>66545</v>
      </c>
      <c r="L279" s="1677">
        <f>SUM(L238,L243,L257,L261,L270,L277,L278)</f>
        <v>68675</v>
      </c>
    </row>
    <row r="280" spans="1:12" ht="15.75" customHeight="1" thickTop="1" thickBot="1" x14ac:dyDescent="0.25">
      <c r="A280" s="1624" t="s">
        <v>875</v>
      </c>
      <c r="B280" s="1613">
        <v>3000</v>
      </c>
      <c r="C280" s="616"/>
      <c r="D280" s="576"/>
      <c r="E280" s="616"/>
      <c r="F280" s="616"/>
      <c r="G280" s="616"/>
      <c r="H280" s="616"/>
      <c r="I280" s="616"/>
      <c r="J280" s="616"/>
      <c r="K280" s="1679">
        <f>D280</f>
        <v>0</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1843</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76" t="s">
        <v>505</v>
      </c>
      <c r="B295" s="2177"/>
      <c r="C295" s="616"/>
      <c r="D295" s="1670">
        <f>SUM(D229,D279,D280,D285)</f>
        <v>73783</v>
      </c>
      <c r="E295" s="616"/>
      <c r="F295" s="616"/>
      <c r="G295" s="616"/>
      <c r="H295" s="1670">
        <f>H293</f>
        <v>0</v>
      </c>
      <c r="I295" s="616"/>
      <c r="J295" s="616"/>
      <c r="K295" s="1670">
        <f>SUM(K229,K279,K280,K285,K293,K294)</f>
        <v>73783</v>
      </c>
      <c r="L295" s="1670">
        <f>SUM(L229,L279,L280,L285,L293,L294)</f>
        <v>76010</v>
      </c>
    </row>
    <row r="296" spans="1:14" ht="13.5" thickTop="1" x14ac:dyDescent="0.2">
      <c r="A296" s="2185" t="s">
        <v>996</v>
      </c>
      <c r="B296" s="2186"/>
      <c r="C296" s="616"/>
      <c r="D296" s="618"/>
      <c r="E296" s="616"/>
      <c r="F296" s="616"/>
      <c r="G296" s="616"/>
      <c r="H296" s="687"/>
      <c r="I296" s="616"/>
      <c r="J296" s="616"/>
      <c r="K296" s="1684">
        <f>'Revenues 9-14'!G268-'Expenditures 15-22'!K295</f>
        <v>44581</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8" t="s">
        <v>143</v>
      </c>
      <c r="B298" s="2162"/>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v>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1848</v>
      </c>
      <c r="B306" s="690" t="s">
        <v>1843</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3" t="s">
        <v>277</v>
      </c>
      <c r="B312" s="2174"/>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9" t="s">
        <v>996</v>
      </c>
      <c r="B313" s="2170"/>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2" t="s">
        <v>149</v>
      </c>
      <c r="B315" s="2183"/>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4" t="s">
        <v>898</v>
      </c>
      <c r="B317" s="2183"/>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1803</v>
      </c>
      <c r="B320" s="698" t="s">
        <v>282</v>
      </c>
      <c r="C320" s="467"/>
      <c r="D320" s="467"/>
      <c r="E320" s="467">
        <v>618</v>
      </c>
      <c r="F320" s="467"/>
      <c r="G320" s="467"/>
      <c r="H320" s="467"/>
      <c r="I320" s="467"/>
      <c r="J320" s="467"/>
      <c r="K320" s="1671">
        <f t="shared" ref="K320:K327" si="24">SUM(C320:J320)</f>
        <v>618</v>
      </c>
      <c r="L320" s="467">
        <v>11600</v>
      </c>
      <c r="M320" s="665"/>
      <c r="N320" s="665"/>
    </row>
    <row r="321" spans="1:14" s="674" customFormat="1" x14ac:dyDescent="0.2">
      <c r="A321" s="1519" t="s">
        <v>300</v>
      </c>
      <c r="B321" s="697" t="s">
        <v>283</v>
      </c>
      <c r="C321" s="467"/>
      <c r="D321" s="467"/>
      <c r="E321" s="467">
        <v>5739</v>
      </c>
      <c r="F321" s="467"/>
      <c r="G321" s="467"/>
      <c r="H321" s="467"/>
      <c r="I321" s="467"/>
      <c r="J321" s="467"/>
      <c r="K321" s="1671">
        <f t="shared" si="24"/>
        <v>5739</v>
      </c>
      <c r="L321" s="467">
        <v>8000</v>
      </c>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v>0</v>
      </c>
      <c r="M322" s="665"/>
      <c r="N322" s="665"/>
    </row>
    <row r="323" spans="1:14" s="674" customFormat="1" x14ac:dyDescent="0.2">
      <c r="A323" s="1519" t="s">
        <v>702</v>
      </c>
      <c r="B323" s="697" t="s">
        <v>285</v>
      </c>
      <c r="C323" s="467"/>
      <c r="D323" s="467"/>
      <c r="E323" s="467">
        <v>2471</v>
      </c>
      <c r="F323" s="467"/>
      <c r="G323" s="467"/>
      <c r="H323" s="467"/>
      <c r="I323" s="467"/>
      <c r="J323" s="467"/>
      <c r="K323" s="1671">
        <f t="shared" si="24"/>
        <v>2471</v>
      </c>
      <c r="L323" s="467">
        <v>3000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v>17976</v>
      </c>
      <c r="D325" s="467">
        <v>4669</v>
      </c>
      <c r="E325" s="467">
        <v>28868</v>
      </c>
      <c r="F325" s="467">
        <v>235</v>
      </c>
      <c r="G325" s="467">
        <v>11369</v>
      </c>
      <c r="H325" s="467"/>
      <c r="I325" s="467"/>
      <c r="J325" s="467"/>
      <c r="K325" s="1671">
        <f t="shared" si="24"/>
        <v>63117</v>
      </c>
      <c r="L325" s="467">
        <v>65600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v>0</v>
      </c>
      <c r="M327" s="665"/>
      <c r="N327" s="665"/>
    </row>
    <row r="328" spans="1:14" s="674" customFormat="1" x14ac:dyDescent="0.2">
      <c r="A328" s="1520" t="s">
        <v>472</v>
      </c>
      <c r="B328" s="690" t="s">
        <v>1132</v>
      </c>
      <c r="C328" s="474"/>
      <c r="D328" s="474"/>
      <c r="E328" s="474">
        <v>26688</v>
      </c>
      <c r="F328" s="474"/>
      <c r="G328" s="474"/>
      <c r="H328" s="474"/>
      <c r="I328" s="474"/>
      <c r="J328" s="474"/>
      <c r="K328" s="1699">
        <f>SUM(C328:J328)</f>
        <v>26688</v>
      </c>
      <c r="L328" s="474">
        <v>26700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17976</v>
      </c>
      <c r="D330" s="1670">
        <f t="shared" ref="D330:J330" si="25">SUM(D319:D329)</f>
        <v>4669</v>
      </c>
      <c r="E330" s="1670">
        <f t="shared" si="25"/>
        <v>64384</v>
      </c>
      <c r="F330" s="1670">
        <f t="shared" si="25"/>
        <v>235</v>
      </c>
      <c r="G330" s="1670">
        <f t="shared" si="25"/>
        <v>11369</v>
      </c>
      <c r="H330" s="1670">
        <f t="shared" si="25"/>
        <v>0</v>
      </c>
      <c r="I330" s="1670">
        <f t="shared" si="25"/>
        <v>0</v>
      </c>
      <c r="J330" s="1670">
        <f t="shared" si="25"/>
        <v>0</v>
      </c>
      <c r="K330" s="1670">
        <f>SUM(K319:K329)</f>
        <v>98633</v>
      </c>
      <c r="L330" s="1670">
        <f>SUM(L319:L329)</f>
        <v>114900</v>
      </c>
      <c r="M330" s="665"/>
      <c r="N330" s="665"/>
    </row>
    <row r="331" spans="1:14" s="674" customFormat="1" ht="12.75" customHeight="1" thickTop="1" x14ac:dyDescent="0.2">
      <c r="A331" s="1831" t="s">
        <v>1849</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1843</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1845</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1850</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17976</v>
      </c>
      <c r="D342" s="1670">
        <f>SUM(D330)</f>
        <v>4669</v>
      </c>
      <c r="E342" s="1670">
        <f>SUM(E330)</f>
        <v>64384</v>
      </c>
      <c r="F342" s="1670">
        <f>SUM(F330)</f>
        <v>235</v>
      </c>
      <c r="G342" s="1670">
        <f>SUM(G330)</f>
        <v>11369</v>
      </c>
      <c r="H342" s="1670">
        <f>SUM(H330,H334,H340)</f>
        <v>0</v>
      </c>
      <c r="I342" s="1670">
        <f>SUM(I330)</f>
        <v>0</v>
      </c>
      <c r="J342" s="1670">
        <f>SUM(J330)</f>
        <v>0</v>
      </c>
      <c r="K342" s="1670">
        <f>SUM(K330,K334,K340)</f>
        <v>98633</v>
      </c>
      <c r="L342" s="1677">
        <f>SUM(L330,L340,L341)</f>
        <v>114900</v>
      </c>
    </row>
    <row r="343" spans="1:14" ht="12.75" customHeight="1" thickTop="1" x14ac:dyDescent="0.2">
      <c r="A343" s="2171" t="s">
        <v>996</v>
      </c>
      <c r="B343" s="2172"/>
      <c r="C343" s="616"/>
      <c r="D343" s="616"/>
      <c r="E343" s="616"/>
      <c r="F343" s="616"/>
      <c r="G343" s="616"/>
      <c r="H343" s="616"/>
      <c r="I343" s="616"/>
      <c r="J343" s="616"/>
      <c r="K343" s="1684">
        <f>'Revenues 9-14'!J268-'Expenditures 15-22'!K342</f>
        <v>-16138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1" t="s">
        <v>966</v>
      </c>
      <c r="B345" s="2162"/>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v>0</v>
      </c>
    </row>
    <row r="349" spans="1:14" x14ac:dyDescent="0.2">
      <c r="A349" s="1504" t="s">
        <v>197</v>
      </c>
      <c r="B349" s="614">
        <v>2540</v>
      </c>
      <c r="C349" s="466"/>
      <c r="D349" s="466"/>
      <c r="E349" s="466">
        <v>1218</v>
      </c>
      <c r="F349" s="466"/>
      <c r="G349" s="466"/>
      <c r="H349" s="466"/>
      <c r="I349" s="467"/>
      <c r="J349" s="467"/>
      <c r="K349" s="1671">
        <f>SUM(C349:J349)</f>
        <v>1218</v>
      </c>
      <c r="L349" s="466">
        <v>1220</v>
      </c>
    </row>
    <row r="350" spans="1:14" ht="12.75" customHeight="1" thickBot="1" x14ac:dyDescent="0.25">
      <c r="A350" s="1668" t="s">
        <v>719</v>
      </c>
      <c r="B350" s="1669" t="s">
        <v>35</v>
      </c>
      <c r="C350" s="1670">
        <f>SUM(C348:C349)</f>
        <v>0</v>
      </c>
      <c r="D350" s="1670">
        <f t="shared" ref="D350:L350" si="26">SUM(D348:D349)</f>
        <v>0</v>
      </c>
      <c r="E350" s="1670">
        <f t="shared" si="26"/>
        <v>1218</v>
      </c>
      <c r="F350" s="1670">
        <f t="shared" si="26"/>
        <v>0</v>
      </c>
      <c r="G350" s="1670">
        <f t="shared" si="26"/>
        <v>0</v>
      </c>
      <c r="H350" s="1670">
        <f t="shared" si="26"/>
        <v>0</v>
      </c>
      <c r="I350" s="1670">
        <f t="shared" si="26"/>
        <v>0</v>
      </c>
      <c r="J350" s="1670">
        <f t="shared" si="26"/>
        <v>0</v>
      </c>
      <c r="K350" s="1670">
        <f t="shared" si="26"/>
        <v>1218</v>
      </c>
      <c r="L350" s="1670">
        <f t="shared" si="26"/>
        <v>1220</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1218</v>
      </c>
      <c r="F352" s="1670">
        <f t="shared" si="27"/>
        <v>0</v>
      </c>
      <c r="G352" s="1670">
        <f t="shared" si="27"/>
        <v>0</v>
      </c>
      <c r="H352" s="1670">
        <f t="shared" si="27"/>
        <v>0</v>
      </c>
      <c r="I352" s="1670">
        <f t="shared" si="27"/>
        <v>0</v>
      </c>
      <c r="J352" s="1670">
        <f t="shared" si="27"/>
        <v>0</v>
      </c>
      <c r="K352" s="1670">
        <f t="shared" si="27"/>
        <v>1218</v>
      </c>
      <c r="L352" s="1670">
        <f t="shared" si="27"/>
        <v>1220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1851</v>
      </c>
      <c r="B354" s="683" t="s">
        <v>1843</v>
      </c>
      <c r="C354" s="616"/>
      <c r="D354" s="616"/>
      <c r="E354" s="616"/>
      <c r="F354" s="616"/>
      <c r="G354" s="616"/>
      <c r="H354" s="474"/>
      <c r="I354" s="701"/>
      <c r="J354" s="616"/>
      <c r="K354" s="1699">
        <f>H354</f>
        <v>0</v>
      </c>
      <c r="L354" s="471">
        <v>0</v>
      </c>
    </row>
    <row r="355" spans="1:14" ht="12.75" customHeight="1" x14ac:dyDescent="0.2">
      <c r="A355" s="1513" t="s">
        <v>1852</v>
      </c>
      <c r="B355" s="690" t="s">
        <v>1845</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1218</v>
      </c>
      <c r="F367" s="1670">
        <f t="shared" si="28"/>
        <v>0</v>
      </c>
      <c r="G367" s="1670">
        <f t="shared" si="28"/>
        <v>0</v>
      </c>
      <c r="H367" s="1670">
        <f t="shared" si="28"/>
        <v>0</v>
      </c>
      <c r="I367" s="1670">
        <f t="shared" si="28"/>
        <v>0</v>
      </c>
      <c r="J367" s="1670">
        <f t="shared" si="28"/>
        <v>0</v>
      </c>
      <c r="K367" s="1670">
        <f t="shared" si="28"/>
        <v>1218</v>
      </c>
      <c r="L367" s="1670">
        <f t="shared" si="28"/>
        <v>1220</v>
      </c>
    </row>
    <row r="368" spans="1:14" ht="13.5" thickTop="1" x14ac:dyDescent="0.2">
      <c r="A368" s="2185" t="s">
        <v>996</v>
      </c>
      <c r="B368" s="2186"/>
      <c r="C368" s="654"/>
      <c r="D368" s="654"/>
      <c r="E368" s="626"/>
      <c r="F368" s="626"/>
      <c r="G368" s="626"/>
      <c r="H368" s="626"/>
      <c r="I368" s="626"/>
      <c r="J368" s="623"/>
      <c r="K368" s="1671">
        <f>'Revenues 9-14'!K268-'Expenditures 15-22'!K367</f>
        <v>815</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F2" sqref="F2"/>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7" t="s">
        <v>1800</v>
      </c>
      <c r="B2" s="1528" t="s">
        <v>1949</v>
      </c>
      <c r="C2" s="714" t="s">
        <v>1950</v>
      </c>
      <c r="D2" s="714" t="s">
        <v>1951</v>
      </c>
      <c r="E2" s="714" t="s">
        <v>1952</v>
      </c>
      <c r="F2" s="714" t="s">
        <v>1953</v>
      </c>
    </row>
    <row r="3" spans="1:6" ht="12" customHeight="1" x14ac:dyDescent="0.2">
      <c r="A3" s="2188"/>
      <c r="B3" s="1525"/>
      <c r="C3" s="1526"/>
      <c r="D3" s="1527" t="s">
        <v>256</v>
      </c>
      <c r="E3" s="1526"/>
      <c r="F3" s="1527" t="s">
        <v>257</v>
      </c>
    </row>
    <row r="4" spans="1:6" ht="13.7" customHeight="1" x14ac:dyDescent="0.2">
      <c r="A4" s="715" t="s">
        <v>1155</v>
      </c>
      <c r="B4" s="1749">
        <f>'Revenues 9-14'!C5</f>
        <v>81315</v>
      </c>
      <c r="C4" s="1524">
        <v>14539</v>
      </c>
      <c r="D4" s="1752">
        <f>B4-C4</f>
        <v>66776</v>
      </c>
      <c r="E4" s="1524">
        <v>91385</v>
      </c>
      <c r="F4" s="1752">
        <f>E4-C4</f>
        <v>76846</v>
      </c>
    </row>
    <row r="5" spans="1:6" ht="13.7" customHeight="1" x14ac:dyDescent="0.2">
      <c r="A5" s="715" t="s">
        <v>870</v>
      </c>
      <c r="B5" s="1750">
        <f>'Revenues 9-14'!D5</f>
        <v>20329</v>
      </c>
      <c r="C5" s="585">
        <v>3635</v>
      </c>
      <c r="D5" s="1753">
        <f t="shared" ref="D5:D18" si="0">B5-C5</f>
        <v>16694</v>
      </c>
      <c r="E5" s="585">
        <v>22846</v>
      </c>
      <c r="F5" s="1753">
        <f>E5-C5</f>
        <v>19211</v>
      </c>
    </row>
    <row r="6" spans="1:6" ht="13.7" customHeight="1" x14ac:dyDescent="0.2">
      <c r="A6" s="715" t="s">
        <v>411</v>
      </c>
      <c r="B6" s="1750">
        <f>'Revenues 9-14'!E5</f>
        <v>132139</v>
      </c>
      <c r="C6" s="585">
        <v>22206</v>
      </c>
      <c r="D6" s="1753">
        <f t="shared" si="0"/>
        <v>109933</v>
      </c>
      <c r="E6" s="585">
        <v>139572</v>
      </c>
      <c r="F6" s="1753">
        <f t="shared" ref="F6:F18" si="1">E6-C6</f>
        <v>117366</v>
      </c>
    </row>
    <row r="7" spans="1:6" ht="13.7" customHeight="1" x14ac:dyDescent="0.2">
      <c r="A7" s="715" t="s">
        <v>155</v>
      </c>
      <c r="B7" s="1750">
        <f>'Revenues 9-14'!F5</f>
        <v>8131</v>
      </c>
      <c r="C7" s="585">
        <v>1454</v>
      </c>
      <c r="D7" s="1753">
        <f t="shared" si="0"/>
        <v>6677</v>
      </c>
      <c r="E7" s="585">
        <v>9139</v>
      </c>
      <c r="F7" s="1753">
        <f t="shared" si="1"/>
        <v>7685</v>
      </c>
    </row>
    <row r="8" spans="1:6" ht="13.7" customHeight="1" x14ac:dyDescent="0.2">
      <c r="A8" s="715" t="s">
        <v>1179</v>
      </c>
      <c r="B8" s="1750">
        <f>'Revenues 9-14'!G5</f>
        <v>57288</v>
      </c>
      <c r="C8" s="585">
        <v>10161</v>
      </c>
      <c r="D8" s="1753">
        <f t="shared" si="0"/>
        <v>47127</v>
      </c>
      <c r="E8" s="585">
        <v>63864</v>
      </c>
      <c r="F8" s="1753">
        <f t="shared" si="1"/>
        <v>53703</v>
      </c>
    </row>
    <row r="9" spans="1:6" ht="13.7" customHeight="1" x14ac:dyDescent="0.2">
      <c r="A9" s="715" t="s">
        <v>408</v>
      </c>
      <c r="B9" s="1750">
        <f>'Revenues 9-14'!H5</f>
        <v>0</v>
      </c>
      <c r="C9" s="585">
        <v>0</v>
      </c>
      <c r="D9" s="1753">
        <f t="shared" si="0"/>
        <v>0</v>
      </c>
      <c r="E9" s="585">
        <v>0</v>
      </c>
      <c r="F9" s="1753">
        <f t="shared" si="1"/>
        <v>0</v>
      </c>
    </row>
    <row r="10" spans="1:6" ht="13.7" customHeight="1" x14ac:dyDescent="0.2">
      <c r="A10" s="715" t="s">
        <v>407</v>
      </c>
      <c r="B10" s="1750">
        <f>'Revenues 9-14'!I5</f>
        <v>2033</v>
      </c>
      <c r="C10" s="585">
        <v>364</v>
      </c>
      <c r="D10" s="1753">
        <f t="shared" si="0"/>
        <v>1669</v>
      </c>
      <c r="E10" s="585">
        <v>2285</v>
      </c>
      <c r="F10" s="1753">
        <f t="shared" si="1"/>
        <v>1921</v>
      </c>
    </row>
    <row r="11" spans="1:6" x14ac:dyDescent="0.2">
      <c r="A11" s="715" t="s">
        <v>409</v>
      </c>
      <c r="B11" s="1750">
        <f>'Revenues 9-14'!J5</f>
        <v>82495</v>
      </c>
      <c r="C11" s="585">
        <v>14864</v>
      </c>
      <c r="D11" s="1753">
        <f t="shared" si="0"/>
        <v>67631</v>
      </c>
      <c r="E11" s="585">
        <v>93427</v>
      </c>
      <c r="F11" s="1753">
        <f t="shared" si="1"/>
        <v>78563</v>
      </c>
    </row>
    <row r="12" spans="1:6" ht="13.7" customHeight="1" x14ac:dyDescent="0.2">
      <c r="A12" s="715" t="s">
        <v>157</v>
      </c>
      <c r="B12" s="1750">
        <f>'Revenues 9-14'!K5</f>
        <v>2033</v>
      </c>
      <c r="C12" s="585">
        <v>363</v>
      </c>
      <c r="D12" s="1753">
        <f t="shared" si="0"/>
        <v>1670</v>
      </c>
      <c r="E12" s="585">
        <v>2285</v>
      </c>
      <c r="F12" s="1753">
        <f t="shared" si="1"/>
        <v>1922</v>
      </c>
    </row>
    <row r="13" spans="1:6" ht="13.7" customHeight="1" x14ac:dyDescent="0.2">
      <c r="A13" s="715" t="s">
        <v>936</v>
      </c>
      <c r="B13" s="1750">
        <f>SUM('Revenues 9-14'!C6:D6)</f>
        <v>928</v>
      </c>
      <c r="C13" s="585">
        <v>167</v>
      </c>
      <c r="D13" s="1753">
        <f t="shared" si="0"/>
        <v>761</v>
      </c>
      <c r="E13" s="585">
        <v>1051</v>
      </c>
      <c r="F13" s="1753">
        <f t="shared" si="1"/>
        <v>884</v>
      </c>
    </row>
    <row r="14" spans="1:6" ht="13.7" customHeight="1" x14ac:dyDescent="0.2">
      <c r="A14" s="715" t="s">
        <v>410</v>
      </c>
      <c r="B14" s="1750">
        <f>SUM('Revenues 9-14'!C7:D7,'Revenues 9-14'!F7:H7)</f>
        <v>1626</v>
      </c>
      <c r="C14" s="585">
        <v>291</v>
      </c>
      <c r="D14" s="1753">
        <f t="shared" si="0"/>
        <v>1335</v>
      </c>
      <c r="E14" s="585">
        <v>1828</v>
      </c>
      <c r="F14" s="1753">
        <f t="shared" si="1"/>
        <v>1537</v>
      </c>
    </row>
    <row r="15" spans="1:6" ht="13.7" customHeight="1" x14ac:dyDescent="0.2">
      <c r="A15" s="715" t="s">
        <v>1158</v>
      </c>
      <c r="B15" s="1750">
        <f>SUM('Revenues 9-14'!D9:E9,'Revenues 9-14'!H9)</f>
        <v>0</v>
      </c>
      <c r="C15" s="585">
        <v>0</v>
      </c>
      <c r="D15" s="1753">
        <f t="shared" si="0"/>
        <v>0</v>
      </c>
      <c r="E15" s="585">
        <v>0</v>
      </c>
      <c r="F15" s="1753">
        <f t="shared" si="1"/>
        <v>0</v>
      </c>
    </row>
    <row r="16" spans="1:6" ht="13.7" customHeight="1" x14ac:dyDescent="0.2">
      <c r="A16" s="715" t="s">
        <v>1159</v>
      </c>
      <c r="B16" s="1750">
        <f>'Revenues 9-14'!G8</f>
        <v>52876</v>
      </c>
      <c r="C16" s="585">
        <v>8620</v>
      </c>
      <c r="D16" s="1753">
        <f t="shared" si="0"/>
        <v>44256</v>
      </c>
      <c r="E16" s="585">
        <v>54182</v>
      </c>
      <c r="F16" s="1753">
        <f t="shared" si="1"/>
        <v>45562</v>
      </c>
    </row>
    <row r="17" spans="1:6" ht="13.7" customHeight="1" x14ac:dyDescent="0.2">
      <c r="A17" s="715" t="s">
        <v>1160</v>
      </c>
      <c r="B17" s="1750">
        <f>'Revenues 9-14'!C10</f>
        <v>0</v>
      </c>
      <c r="C17" s="585">
        <v>0</v>
      </c>
      <c r="D17" s="1753">
        <f t="shared" si="0"/>
        <v>0</v>
      </c>
      <c r="E17" s="585">
        <v>0</v>
      </c>
      <c r="F17" s="1753">
        <f t="shared" si="1"/>
        <v>0</v>
      </c>
    </row>
    <row r="18" spans="1:6" ht="13.7" customHeight="1" x14ac:dyDescent="0.2">
      <c r="A18" s="715" t="s">
        <v>762</v>
      </c>
      <c r="B18" s="1750">
        <f>SUM('Revenues 9-14'!C11:K11)</f>
        <v>0</v>
      </c>
      <c r="C18" s="585">
        <v>0</v>
      </c>
      <c r="D18" s="1753">
        <f t="shared" si="0"/>
        <v>0</v>
      </c>
      <c r="E18" s="585">
        <v>0</v>
      </c>
      <c r="F18" s="1753">
        <f t="shared" si="1"/>
        <v>0</v>
      </c>
    </row>
    <row r="19" spans="1:6" ht="13.7" customHeight="1" thickBot="1" x14ac:dyDescent="0.25">
      <c r="A19" s="1754" t="s">
        <v>1161</v>
      </c>
      <c r="B19" s="1751">
        <f>SUM(B4:B18)</f>
        <v>441193</v>
      </c>
      <c r="C19" s="1751">
        <f>SUM(C4:C18)</f>
        <v>76664</v>
      </c>
      <c r="D19" s="1751">
        <f>SUM(D4:D18)</f>
        <v>364529</v>
      </c>
      <c r="E19" s="1751">
        <f>SUM(E4:E18)</f>
        <v>481864</v>
      </c>
      <c r="F19" s="1751">
        <f>SUM(F4:F18)</f>
        <v>405200</v>
      </c>
    </row>
    <row r="20" spans="1:6" ht="13.5" thickTop="1" x14ac:dyDescent="0.2">
      <c r="B20" s="713"/>
      <c r="F20" s="716"/>
    </row>
    <row r="21" spans="1:6" x14ac:dyDescent="0.2">
      <c r="A21" s="717" t="s">
        <v>1806</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A32" sqref="A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3" t="s">
        <v>629</v>
      </c>
      <c r="B1" s="2194"/>
      <c r="C1" s="721"/>
    </row>
    <row r="2" spans="1:7" ht="33.75" x14ac:dyDescent="0.2">
      <c r="A2" s="2202" t="s">
        <v>1800</v>
      </c>
      <c r="B2" s="2203"/>
      <c r="C2" s="1884" t="s">
        <v>1954</v>
      </c>
      <c r="D2" s="723" t="s">
        <v>1955</v>
      </c>
      <c r="E2" s="723" t="s">
        <v>1956</v>
      </c>
      <c r="F2" s="1884" t="s">
        <v>1957</v>
      </c>
    </row>
    <row r="3" spans="1:7" ht="15.75" customHeight="1" x14ac:dyDescent="0.2">
      <c r="A3" s="2206" t="s">
        <v>1114</v>
      </c>
      <c r="B3" s="2207"/>
      <c r="C3" s="2195"/>
      <c r="D3" s="2196"/>
      <c r="E3" s="2196"/>
      <c r="F3" s="2197"/>
    </row>
    <row r="4" spans="1:7" ht="12.75" customHeight="1" thickBot="1" x14ac:dyDescent="0.25">
      <c r="A4" s="2204" t="s">
        <v>630</v>
      </c>
      <c r="B4" s="2205"/>
      <c r="C4" s="581"/>
      <c r="D4" s="581"/>
      <c r="E4" s="581"/>
      <c r="F4" s="1755">
        <f>SUM(C4+D4)-E4</f>
        <v>0</v>
      </c>
    </row>
    <row r="5" spans="1:7" ht="15.75" customHeight="1" thickTop="1" x14ac:dyDescent="0.2">
      <c r="A5" s="2189" t="s">
        <v>1110</v>
      </c>
      <c r="B5" s="2190"/>
      <c r="C5" s="2198"/>
      <c r="D5" s="2199"/>
      <c r="E5" s="2199"/>
      <c r="F5" s="2200"/>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1" t="s">
        <v>631</v>
      </c>
      <c r="B15" s="2192"/>
      <c r="C15" s="1755">
        <f>SUM(C6:C14)</f>
        <v>0</v>
      </c>
      <c r="D15" s="1755">
        <f>SUM(D6:D14)</f>
        <v>0</v>
      </c>
      <c r="E15" s="1755">
        <f>SUM(E6:E14)</f>
        <v>0</v>
      </c>
      <c r="F15" s="1755">
        <f>SUM(F6:F14)</f>
        <v>0</v>
      </c>
      <c r="G15" s="552"/>
    </row>
    <row r="16" spans="1:7" s="202" customFormat="1" ht="15.75" customHeight="1" thickTop="1" x14ac:dyDescent="0.2">
      <c r="A16" s="2201" t="s">
        <v>1111</v>
      </c>
      <c r="B16" s="2190"/>
      <c r="C16" s="2198"/>
      <c r="D16" s="2199"/>
      <c r="E16" s="2199"/>
      <c r="F16" s="2200"/>
    </row>
    <row r="17" spans="1:11" ht="12.75" customHeight="1" thickBot="1" x14ac:dyDescent="0.25">
      <c r="A17" s="2214" t="s">
        <v>64</v>
      </c>
      <c r="B17" s="2215"/>
      <c r="C17" s="726"/>
      <c r="D17" s="585"/>
      <c r="E17" s="726"/>
      <c r="F17" s="1755">
        <f>SUM(C17+D17)-E17</f>
        <v>0</v>
      </c>
    </row>
    <row r="18" spans="1:11" ht="12.75" customHeight="1" thickTop="1" thickBot="1" x14ac:dyDescent="0.25">
      <c r="A18" s="2214" t="s">
        <v>6</v>
      </c>
      <c r="B18" s="2215"/>
      <c r="C18" s="726"/>
      <c r="D18" s="585"/>
      <c r="E18" s="726"/>
      <c r="F18" s="1755">
        <f>SUM(C18+D18)-E18</f>
        <v>0</v>
      </c>
    </row>
    <row r="19" spans="1:11" ht="12.75" customHeight="1" thickTop="1" thickBot="1" x14ac:dyDescent="0.25">
      <c r="A19" s="2214" t="s">
        <v>388</v>
      </c>
      <c r="B19" s="2215"/>
      <c r="C19" s="726"/>
      <c r="D19" s="585"/>
      <c r="E19" s="726"/>
      <c r="F19" s="1755">
        <f>SUM(C19+D19)-E19</f>
        <v>0</v>
      </c>
    </row>
    <row r="20" spans="1:11" ht="12.75" customHeight="1" thickTop="1" thickBot="1" x14ac:dyDescent="0.25">
      <c r="A20" s="2214" t="s">
        <v>448</v>
      </c>
      <c r="B20" s="2215"/>
      <c r="C20" s="726"/>
      <c r="D20" s="585"/>
      <c r="E20" s="726"/>
      <c r="F20" s="1755">
        <f>SUM(C20+D20)-E20</f>
        <v>0</v>
      </c>
    </row>
    <row r="21" spans="1:11" ht="14.25" thickTop="1" thickBot="1" x14ac:dyDescent="0.25">
      <c r="A21" s="2191" t="s">
        <v>632</v>
      </c>
      <c r="B21" s="2192"/>
      <c r="C21" s="1755">
        <f>SUM(C17:C20)</f>
        <v>0</v>
      </c>
      <c r="D21" s="1755">
        <f>SUM(D17:D20)</f>
        <v>0</v>
      </c>
      <c r="E21" s="1755">
        <f>SUM(E17:E20)</f>
        <v>0</v>
      </c>
      <c r="F21" s="1755">
        <f>SUM(F17:F20)</f>
        <v>0</v>
      </c>
      <c r="G21" s="552"/>
    </row>
    <row r="22" spans="1:11" ht="15.75" customHeight="1" thickTop="1" x14ac:dyDescent="0.2">
      <c r="A22" s="2216" t="s">
        <v>1112</v>
      </c>
      <c r="B22" s="2190"/>
      <c r="C22" s="2198"/>
      <c r="D22" s="2199"/>
      <c r="E22" s="2199"/>
      <c r="F22" s="2200"/>
    </row>
    <row r="23" spans="1:11" ht="13.5" thickBot="1" x14ac:dyDescent="0.25">
      <c r="A23" s="2204" t="s">
        <v>633</v>
      </c>
      <c r="B23" s="2205"/>
      <c r="C23" s="581"/>
      <c r="D23" s="581"/>
      <c r="E23" s="581"/>
      <c r="F23" s="1755">
        <f>SUM(C23+D23)-E23</f>
        <v>0</v>
      </c>
      <c r="G23" s="552"/>
    </row>
    <row r="24" spans="1:11" ht="15.75" customHeight="1" thickTop="1" x14ac:dyDescent="0.2">
      <c r="A24" s="2216" t="s">
        <v>1113</v>
      </c>
      <c r="B24" s="2190"/>
      <c r="C24" s="2198"/>
      <c r="D24" s="2199"/>
      <c r="E24" s="2199"/>
      <c r="F24" s="2200"/>
    </row>
    <row r="25" spans="1:11" ht="13.5" thickBot="1" x14ac:dyDescent="0.25">
      <c r="A25" s="2204" t="s">
        <v>634</v>
      </c>
      <c r="B25" s="2205"/>
      <c r="C25" s="581"/>
      <c r="D25" s="581"/>
      <c r="E25" s="581"/>
      <c r="F25" s="1755">
        <f>SUM(C25+D25)-E25</f>
        <v>0</v>
      </c>
      <c r="G25" s="552"/>
    </row>
    <row r="26" spans="1:11" ht="15.75" customHeight="1" thickTop="1" x14ac:dyDescent="0.2">
      <c r="A26" s="2189" t="s">
        <v>657</v>
      </c>
      <c r="B26" s="2190"/>
      <c r="C26" s="727"/>
      <c r="D26" s="727"/>
      <c r="E26" s="727"/>
      <c r="F26" s="728"/>
    </row>
    <row r="27" spans="1:11" ht="13.5" thickBot="1" x14ac:dyDescent="0.25">
      <c r="A27" s="2191" t="s">
        <v>1070</v>
      </c>
      <c r="B27" s="2192"/>
      <c r="C27" s="585"/>
      <c r="D27" s="585"/>
      <c r="E27" s="585"/>
      <c r="F27" s="1755">
        <f>SUM(C27+D27)-E27</f>
        <v>0</v>
      </c>
      <c r="G27" s="552"/>
    </row>
    <row r="28" spans="1:11" ht="7.5" customHeight="1" thickTop="1" x14ac:dyDescent="0.2">
      <c r="A28" s="593"/>
    </row>
    <row r="29" spans="1:11" ht="23.25" customHeight="1" x14ac:dyDescent="0.2">
      <c r="A29" s="2217" t="s">
        <v>582</v>
      </c>
      <c r="B29" s="2194"/>
      <c r="C29" s="729"/>
      <c r="D29" s="729"/>
      <c r="E29" s="729"/>
      <c r="F29" s="729"/>
      <c r="G29" s="729"/>
      <c r="H29" s="729"/>
      <c r="I29" s="729"/>
      <c r="J29" s="729"/>
    </row>
    <row r="30" spans="1:11" ht="33.75" x14ac:dyDescent="0.2">
      <c r="A30" s="1529" t="s">
        <v>1071</v>
      </c>
      <c r="B30" s="730" t="s">
        <v>1124</v>
      </c>
      <c r="C30" s="1885" t="s">
        <v>583</v>
      </c>
      <c r="D30" s="1885" t="s">
        <v>1673</v>
      </c>
      <c r="E30" s="1885" t="s">
        <v>1958</v>
      </c>
      <c r="F30" s="1885" t="s">
        <v>1959</v>
      </c>
      <c r="G30" s="1885" t="s">
        <v>1909</v>
      </c>
      <c r="H30" s="1885" t="s">
        <v>1960</v>
      </c>
      <c r="I30" s="1885" t="s">
        <v>1961</v>
      </c>
      <c r="J30" s="1886" t="s">
        <v>2</v>
      </c>
      <c r="K30" s="731"/>
    </row>
    <row r="31" spans="1:11" ht="12" customHeight="1" x14ac:dyDescent="0.2">
      <c r="A31" s="732" t="s">
        <v>2157</v>
      </c>
      <c r="B31" s="733">
        <v>39004</v>
      </c>
      <c r="C31" s="734">
        <v>400000</v>
      </c>
      <c r="D31" s="735">
        <v>4</v>
      </c>
      <c r="E31" s="734">
        <v>116880</v>
      </c>
      <c r="F31" s="734"/>
      <c r="G31" s="734"/>
      <c r="H31" s="734">
        <v>23376</v>
      </c>
      <c r="I31" s="1756">
        <f>((E31+F31)-H31)+G31</f>
        <v>93504</v>
      </c>
      <c r="J31" s="734">
        <v>34606</v>
      </c>
      <c r="K31" s="736"/>
    </row>
    <row r="32" spans="1:11" ht="12" customHeight="1" x14ac:dyDescent="0.2">
      <c r="A32" s="732" t="s">
        <v>2082</v>
      </c>
      <c r="B32" s="733">
        <v>39479</v>
      </c>
      <c r="C32" s="734">
        <v>295000</v>
      </c>
      <c r="D32" s="735">
        <v>1</v>
      </c>
      <c r="E32" s="734">
        <v>235000</v>
      </c>
      <c r="F32" s="734"/>
      <c r="G32" s="734"/>
      <c r="H32" s="734">
        <v>10000</v>
      </c>
      <c r="I32" s="1756">
        <f>((E32+F32)-H32)+G32</f>
        <v>225000</v>
      </c>
      <c r="J32" s="734">
        <v>225000</v>
      </c>
      <c r="K32" s="736"/>
    </row>
    <row r="33" spans="1:11" ht="12" customHeight="1" x14ac:dyDescent="0.2">
      <c r="A33" s="732" t="s">
        <v>2083</v>
      </c>
      <c r="B33" s="733">
        <v>42977</v>
      </c>
      <c r="C33" s="734">
        <v>500000</v>
      </c>
      <c r="D33" s="735">
        <v>2</v>
      </c>
      <c r="E33" s="734">
        <v>500000</v>
      </c>
      <c r="F33" s="734"/>
      <c r="G33" s="734"/>
      <c r="H33" s="734">
        <v>46000</v>
      </c>
      <c r="I33" s="1756">
        <f t="shared" ref="I33:I48" si="1">((E33+F33)-H33)+G33</f>
        <v>454000</v>
      </c>
      <c r="J33" s="734">
        <v>454000</v>
      </c>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1195000</v>
      </c>
      <c r="D49" s="745"/>
      <c r="E49" s="1756">
        <f t="shared" ref="E49:J49" si="2">SUM(E31:E48)</f>
        <v>851880</v>
      </c>
      <c r="F49" s="1756">
        <f t="shared" si="2"/>
        <v>0</v>
      </c>
      <c r="G49" s="1756">
        <f t="shared" si="2"/>
        <v>0</v>
      </c>
      <c r="H49" s="1756">
        <f t="shared" si="2"/>
        <v>79376</v>
      </c>
      <c r="I49" s="1756">
        <f t="shared" si="2"/>
        <v>772504</v>
      </c>
      <c r="J49" s="1756">
        <f t="shared" si="2"/>
        <v>713606</v>
      </c>
      <c r="K49" s="737"/>
    </row>
    <row r="50" spans="1:11" ht="6" customHeight="1" x14ac:dyDescent="0.2">
      <c r="A50" s="746"/>
      <c r="B50" s="736"/>
      <c r="C50" s="736"/>
      <c r="D50" s="736"/>
      <c r="E50" s="736"/>
      <c r="F50" s="736"/>
      <c r="G50" s="736"/>
      <c r="H50" s="736"/>
      <c r="I50" s="736"/>
      <c r="J50" s="746"/>
    </row>
    <row r="51" spans="1:11" x14ac:dyDescent="0.2">
      <c r="A51" s="747" t="s">
        <v>1805</v>
      </c>
      <c r="B51" s="746"/>
      <c r="C51" s="737"/>
      <c r="D51" s="737"/>
      <c r="E51" s="737"/>
      <c r="F51" s="737"/>
      <c r="G51" s="737"/>
      <c r="H51" s="736"/>
      <c r="I51" s="736"/>
      <c r="J51" s="746"/>
    </row>
    <row r="52" spans="1:11" ht="11.25" customHeight="1" x14ac:dyDescent="0.2">
      <c r="A52" s="748" t="s">
        <v>912</v>
      </c>
      <c r="B52" s="2208" t="s">
        <v>584</v>
      </c>
      <c r="C52" s="2209"/>
      <c r="D52" s="2209"/>
      <c r="E52" s="749" t="s">
        <v>845</v>
      </c>
      <c r="F52" s="2210"/>
      <c r="G52" s="2211"/>
      <c r="H52" s="736"/>
      <c r="I52" s="736"/>
      <c r="J52" s="746"/>
    </row>
    <row r="53" spans="1:11" ht="11.25" customHeight="1" x14ac:dyDescent="0.2">
      <c r="A53" s="750" t="s">
        <v>913</v>
      </c>
      <c r="B53" s="751" t="s">
        <v>951</v>
      </c>
      <c r="C53" s="746"/>
      <c r="D53" s="737"/>
      <c r="E53" s="749" t="s">
        <v>497</v>
      </c>
      <c r="F53" s="2212"/>
      <c r="G53" s="2213"/>
      <c r="H53" s="736"/>
      <c r="I53" s="736"/>
      <c r="J53" s="746"/>
    </row>
    <row r="54" spans="1:11" ht="11.25" customHeight="1" x14ac:dyDescent="0.2">
      <c r="A54" s="752" t="s">
        <v>914</v>
      </c>
      <c r="B54" s="747" t="s">
        <v>952</v>
      </c>
      <c r="C54" s="746"/>
      <c r="D54" s="737"/>
      <c r="E54" s="749" t="s">
        <v>498</v>
      </c>
      <c r="F54" s="2212"/>
      <c r="G54" s="221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2" t="s">
        <v>856</v>
      </c>
      <c r="B1" s="2243"/>
      <c r="C1" s="2243"/>
      <c r="D1" s="2243"/>
      <c r="E1" s="2243"/>
      <c r="F1" s="2243"/>
      <c r="G1" s="2244"/>
      <c r="H1" s="1530"/>
      <c r="I1" s="760"/>
      <c r="J1" s="433"/>
    </row>
    <row r="2" spans="1:11" ht="26.25" x14ac:dyDescent="0.2">
      <c r="A2" s="2221" t="s">
        <v>1677</v>
      </c>
      <c r="B2" s="2222"/>
      <c r="C2" s="2222"/>
      <c r="D2" s="2222"/>
      <c r="E2" s="2223"/>
      <c r="F2" s="761" t="s">
        <v>904</v>
      </c>
      <c r="G2" s="762" t="s">
        <v>1674</v>
      </c>
      <c r="H2" s="762" t="s">
        <v>410</v>
      </c>
      <c r="I2" s="762" t="s">
        <v>1158</v>
      </c>
      <c r="J2" s="762" t="s">
        <v>1810</v>
      </c>
      <c r="K2" s="762" t="s">
        <v>138</v>
      </c>
    </row>
    <row r="3" spans="1:11" x14ac:dyDescent="0.2">
      <c r="A3" s="2224" t="s">
        <v>1962</v>
      </c>
      <c r="B3" s="2225"/>
      <c r="C3" s="2225"/>
      <c r="D3" s="2225"/>
      <c r="E3" s="2226"/>
      <c r="F3" s="763"/>
      <c r="G3" s="764"/>
      <c r="H3" s="764"/>
      <c r="I3" s="764"/>
      <c r="J3" s="765"/>
      <c r="K3" s="765"/>
    </row>
    <row r="4" spans="1:11" x14ac:dyDescent="0.2">
      <c r="A4" s="2227" t="s">
        <v>369</v>
      </c>
      <c r="B4" s="2228"/>
      <c r="C4" s="2228"/>
      <c r="D4" s="2228"/>
      <c r="E4" s="2209"/>
      <c r="F4" s="766"/>
      <c r="G4" s="767"/>
      <c r="H4" s="768"/>
      <c r="I4" s="767"/>
      <c r="J4" s="769"/>
      <c r="K4" s="769"/>
    </row>
    <row r="5" spans="1:11" x14ac:dyDescent="0.2">
      <c r="A5" s="2245" t="s">
        <v>1069</v>
      </c>
      <c r="B5" s="2218"/>
      <c r="C5" s="2218"/>
      <c r="D5" s="2218"/>
      <c r="E5" s="2246"/>
      <c r="F5" s="770" t="s">
        <v>848</v>
      </c>
      <c r="G5" s="771"/>
      <c r="H5" s="764">
        <v>1626</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1653</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5" t="s">
        <v>1811</v>
      </c>
      <c r="B10" s="2218"/>
      <c r="C10" s="2218"/>
      <c r="D10" s="2218"/>
      <c r="E10" s="2247"/>
      <c r="F10" s="783" t="s">
        <v>862</v>
      </c>
      <c r="G10" s="782"/>
      <c r="H10" s="784"/>
      <c r="I10" s="764"/>
      <c r="J10" s="765"/>
      <c r="K10" s="765"/>
    </row>
    <row r="11" spans="1:11" x14ac:dyDescent="0.2">
      <c r="A11" s="2245" t="s">
        <v>160</v>
      </c>
      <c r="B11" s="2218"/>
      <c r="C11" s="2218"/>
      <c r="D11" s="2218"/>
      <c r="E11" s="2246"/>
      <c r="F11" s="770" t="s">
        <v>852</v>
      </c>
      <c r="G11" s="771"/>
      <c r="H11" s="764"/>
      <c r="I11" s="764"/>
      <c r="J11" s="765"/>
      <c r="K11" s="773"/>
    </row>
    <row r="12" spans="1:11" ht="13.5" thickBot="1" x14ac:dyDescent="0.25">
      <c r="A12" s="2235" t="s">
        <v>905</v>
      </c>
      <c r="B12" s="2236"/>
      <c r="C12" s="2236"/>
      <c r="D12" s="2236"/>
      <c r="E12" s="2237"/>
      <c r="F12" s="1757"/>
      <c r="G12" s="1758">
        <f>SUM(G5:G11)</f>
        <v>0</v>
      </c>
      <c r="H12" s="1758">
        <f>SUM(H5:H11)</f>
        <v>1626</v>
      </c>
      <c r="I12" s="1758">
        <f>SUM(I5:I11)</f>
        <v>0</v>
      </c>
      <c r="J12" s="1758">
        <f>SUM(J5:J11)</f>
        <v>0</v>
      </c>
      <c r="K12" s="1758">
        <f>SUM(K5:K11)</f>
        <v>1653</v>
      </c>
    </row>
    <row r="13" spans="1:11" ht="13.5" thickTop="1" x14ac:dyDescent="0.2">
      <c r="A13" s="2229" t="s">
        <v>370</v>
      </c>
      <c r="B13" s="2230"/>
      <c r="C13" s="2230"/>
      <c r="D13" s="2230"/>
      <c r="E13" s="2231"/>
      <c r="F13" s="785"/>
      <c r="G13" s="786"/>
      <c r="H13" s="787"/>
      <c r="I13" s="788"/>
      <c r="J13" s="788"/>
      <c r="K13" s="788"/>
    </row>
    <row r="14" spans="1:11" x14ac:dyDescent="0.2">
      <c r="A14" s="2251" t="s">
        <v>456</v>
      </c>
      <c r="B14" s="2251"/>
      <c r="C14" s="2251"/>
      <c r="D14" s="2251"/>
      <c r="E14" s="2252"/>
      <c r="F14" s="789" t="s">
        <v>854</v>
      </c>
      <c r="G14" s="782"/>
      <c r="H14" s="764">
        <v>1626</v>
      </c>
      <c r="I14" s="771"/>
      <c r="J14" s="773"/>
      <c r="K14" s="765">
        <v>928</v>
      </c>
    </row>
    <row r="15" spans="1:11" x14ac:dyDescent="0.2">
      <c r="A15" s="2218" t="s">
        <v>4</v>
      </c>
      <c r="B15" s="2218"/>
      <c r="C15" s="2218"/>
      <c r="D15" s="2218"/>
      <c r="E15" s="2246"/>
      <c r="F15" s="789" t="s">
        <v>855</v>
      </c>
      <c r="G15" s="771"/>
      <c r="H15" s="764"/>
      <c r="I15" s="764"/>
      <c r="J15" s="765"/>
      <c r="K15" s="765"/>
    </row>
    <row r="16" spans="1:11" x14ac:dyDescent="0.2">
      <c r="A16" s="2218" t="s">
        <v>298</v>
      </c>
      <c r="B16" s="2218"/>
      <c r="C16" s="2218"/>
      <c r="D16" s="2218"/>
      <c r="E16" s="2246"/>
      <c r="F16" s="789" t="s">
        <v>923</v>
      </c>
      <c r="G16" s="772"/>
      <c r="H16" s="767"/>
      <c r="I16" s="767"/>
      <c r="J16" s="769"/>
      <c r="K16" s="769"/>
    </row>
    <row r="17" spans="1:11" x14ac:dyDescent="0.2">
      <c r="A17" s="2240" t="s">
        <v>935</v>
      </c>
      <c r="B17" s="2240"/>
      <c r="C17" s="2240"/>
      <c r="D17" s="2240"/>
      <c r="E17" s="2241"/>
      <c r="F17" s="790"/>
      <c r="G17" s="791"/>
      <c r="H17" s="792"/>
      <c r="I17" s="792"/>
      <c r="J17" s="793"/>
      <c r="K17" s="794"/>
    </row>
    <row r="18" spans="1:11" x14ac:dyDescent="0.2">
      <c r="A18" s="2232" t="s">
        <v>368</v>
      </c>
      <c r="B18" s="2233"/>
      <c r="C18" s="2233"/>
      <c r="D18" s="2233"/>
      <c r="E18" s="2234"/>
      <c r="F18" s="789" t="s">
        <v>932</v>
      </c>
      <c r="G18" s="782"/>
      <c r="H18" s="782"/>
      <c r="I18" s="782"/>
      <c r="J18" s="765"/>
      <c r="K18" s="795"/>
    </row>
    <row r="19" spans="1:11" ht="21.75" customHeight="1" x14ac:dyDescent="0.2">
      <c r="A19" s="2253" t="s">
        <v>1807</v>
      </c>
      <c r="B19" s="2253"/>
      <c r="C19" s="2253"/>
      <c r="D19" s="2253"/>
      <c r="E19" s="2254"/>
      <c r="F19" s="789" t="s">
        <v>933</v>
      </c>
      <c r="G19" s="782"/>
      <c r="H19" s="782"/>
      <c r="I19" s="782"/>
      <c r="J19" s="765"/>
      <c r="K19" s="795"/>
    </row>
    <row r="20" spans="1:11" x14ac:dyDescent="0.2">
      <c r="A20" s="2232" t="s">
        <v>1812</v>
      </c>
      <c r="B20" s="2233"/>
      <c r="C20" s="2233"/>
      <c r="D20" s="2233"/>
      <c r="E20" s="2234"/>
      <c r="F20" s="789" t="s">
        <v>934</v>
      </c>
      <c r="G20" s="782"/>
      <c r="H20" s="782"/>
      <c r="I20" s="782"/>
      <c r="J20" s="765"/>
      <c r="K20" s="795"/>
    </row>
    <row r="21" spans="1:11" ht="13.5" thickBot="1" x14ac:dyDescent="0.25">
      <c r="A21" s="2238" t="s">
        <v>638</v>
      </c>
      <c r="B21" s="2238"/>
      <c r="C21" s="2238"/>
      <c r="D21" s="2238"/>
      <c r="E21" s="2238"/>
      <c r="F21" s="1759"/>
      <c r="G21" s="792"/>
      <c r="H21" s="796"/>
      <c r="I21" s="796"/>
      <c r="J21" s="1760">
        <f>SUM(J18:J20)</f>
        <v>0</v>
      </c>
      <c r="K21" s="793"/>
    </row>
    <row r="22" spans="1:11" ht="13.5" thickTop="1" x14ac:dyDescent="0.2">
      <c r="A22" s="2218" t="s">
        <v>1813</v>
      </c>
      <c r="B22" s="2218"/>
      <c r="C22" s="2218"/>
      <c r="D22" s="2218"/>
      <c r="E22" s="2246"/>
      <c r="F22" s="789" t="s">
        <v>862</v>
      </c>
      <c r="G22" s="782"/>
      <c r="H22" s="764"/>
      <c r="I22" s="764"/>
      <c r="J22" s="797"/>
      <c r="K22" s="765"/>
    </row>
    <row r="23" spans="1:11" ht="13.5" thickBot="1" x14ac:dyDescent="0.25">
      <c r="A23" s="2239" t="s">
        <v>906</v>
      </c>
      <c r="B23" s="2238"/>
      <c r="C23" s="2238"/>
      <c r="D23" s="2238"/>
      <c r="E23" s="2238"/>
      <c r="F23" s="1761"/>
      <c r="G23" s="1758">
        <f>SUM(G14:G16,G21,G22)</f>
        <v>0</v>
      </c>
      <c r="H23" s="1758">
        <f>SUM(H14:H16,H21,H22)</f>
        <v>1626</v>
      </c>
      <c r="I23" s="1758">
        <f>SUM(I14:I16,I21,I22)</f>
        <v>0</v>
      </c>
      <c r="J23" s="1758">
        <f>SUM(J14:J16,J21,J22)</f>
        <v>0</v>
      </c>
      <c r="K23" s="1758">
        <f>SUM(K14:K16,K21,K22)</f>
        <v>928</v>
      </c>
    </row>
    <row r="24" spans="1:11" ht="14.25" thickTop="1" thickBot="1" x14ac:dyDescent="0.25">
      <c r="A24" s="2239" t="s">
        <v>1963</v>
      </c>
      <c r="B24" s="2238"/>
      <c r="C24" s="2238"/>
      <c r="D24" s="2238"/>
      <c r="E24" s="2238"/>
      <c r="F24" s="1762"/>
      <c r="G24" s="1763">
        <f>SUM(G3,G12)-G23</f>
        <v>0</v>
      </c>
      <c r="H24" s="1763">
        <f>SUM(H3,H12)-H23</f>
        <v>0</v>
      </c>
      <c r="I24" s="1763">
        <f>SUM(I3,I12)-I23</f>
        <v>0</v>
      </c>
      <c r="J24" s="1763">
        <f>SUM(J3,J12)-J23</f>
        <v>0</v>
      </c>
      <c r="K24" s="1763">
        <f>SUM(K3,K12)-K23</f>
        <v>725</v>
      </c>
    </row>
    <row r="25" spans="1:11" ht="13.5" thickTop="1" x14ac:dyDescent="0.2">
      <c r="A25" s="798" t="s">
        <v>420</v>
      </c>
      <c r="B25" s="799"/>
      <c r="C25" s="799"/>
      <c r="D25" s="799"/>
      <c r="E25" s="800"/>
      <c r="F25" s="801">
        <v>714</v>
      </c>
      <c r="G25" s="802"/>
      <c r="H25" s="802"/>
      <c r="I25" s="802"/>
      <c r="J25" s="797"/>
      <c r="K25" s="797">
        <v>725</v>
      </c>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1908</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2062</v>
      </c>
      <c r="E30" s="808" t="s">
        <v>768</v>
      </c>
      <c r="F30" s="202"/>
      <c r="G30" s="805"/>
    </row>
    <row r="31" spans="1:11" x14ac:dyDescent="0.2">
      <c r="A31" s="809"/>
      <c r="D31" s="237"/>
      <c r="E31" s="810" t="s">
        <v>769</v>
      </c>
      <c r="F31" s="811" t="s">
        <v>539</v>
      </c>
      <c r="G31" s="764"/>
      <c r="H31" s="2248"/>
      <c r="I31" s="2249"/>
      <c r="J31" s="2249"/>
      <c r="K31" s="2249"/>
    </row>
    <row r="32" spans="1:11" x14ac:dyDescent="0.2">
      <c r="A32" s="809"/>
      <c r="B32" s="237"/>
      <c r="C32" s="237"/>
      <c r="D32" s="237"/>
      <c r="E32" s="805"/>
      <c r="F32" s="811" t="s">
        <v>540</v>
      </c>
      <c r="G32" s="764"/>
      <c r="H32" s="2250"/>
      <c r="I32" s="2249"/>
      <c r="J32" s="2249"/>
      <c r="K32" s="2249"/>
    </row>
    <row r="33" spans="1:11" ht="1.5" customHeight="1" x14ac:dyDescent="0.2">
      <c r="A33" s="812" t="s">
        <v>1169</v>
      </c>
      <c r="B33" s="364"/>
      <c r="C33" s="364"/>
      <c r="D33" s="364"/>
      <c r="E33" s="364"/>
      <c r="F33" s="364"/>
      <c r="G33" s="813"/>
      <c r="H33" s="2250"/>
      <c r="I33" s="2249"/>
      <c r="J33" s="2249"/>
      <c r="K33" s="2249"/>
    </row>
    <row r="34" spans="1:11" x14ac:dyDescent="0.2">
      <c r="A34" s="814" t="s">
        <v>1814</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8" t="s">
        <v>541</v>
      </c>
      <c r="B41" s="2219"/>
      <c r="C41" s="2219"/>
      <c r="D41" s="2219"/>
      <c r="E41" s="2219"/>
      <c r="F41" s="2220"/>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1808</v>
      </c>
      <c r="B46" s="408" t="s">
        <v>1675</v>
      </c>
    </row>
    <row r="47" spans="1:11" s="823" customFormat="1" ht="12.75" customHeight="1" x14ac:dyDescent="0.2">
      <c r="A47" s="821"/>
      <c r="B47" s="822" t="s">
        <v>1676</v>
      </c>
      <c r="E47" s="822"/>
      <c r="K47" s="824"/>
    </row>
    <row r="48" spans="1:11" ht="12.75" customHeight="1" x14ac:dyDescent="0.2">
      <c r="A48" s="1532" t="s">
        <v>1809</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7" t="s">
        <v>1907</v>
      </c>
      <c r="B1" s="2258"/>
      <c r="C1" s="2259"/>
      <c r="D1" s="826"/>
      <c r="E1" s="827"/>
      <c r="F1" s="827"/>
      <c r="G1" s="828"/>
      <c r="H1" s="829"/>
      <c r="I1" s="830"/>
      <c r="J1" s="2255"/>
      <c r="K1" s="2256"/>
      <c r="L1" s="2256"/>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81150</v>
      </c>
      <c r="D5" s="841"/>
      <c r="E5" s="841"/>
      <c r="F5" s="1760">
        <f>(C5+D5)-E5</f>
        <v>81150</v>
      </c>
      <c r="G5" s="837"/>
      <c r="H5" s="842"/>
      <c r="I5" s="842"/>
      <c r="J5" s="842"/>
      <c r="K5" s="793"/>
      <c r="L5" s="1769">
        <f>F5-K5</f>
        <v>81150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1827178</v>
      </c>
      <c r="D8" s="844">
        <v>19966</v>
      </c>
      <c r="E8" s="844"/>
      <c r="F8" s="1760">
        <f>(C8+D8)-E8</f>
        <v>1847144</v>
      </c>
      <c r="G8" s="843">
        <v>50</v>
      </c>
      <c r="H8" s="765">
        <v>1437043</v>
      </c>
      <c r="I8" s="765">
        <v>70200</v>
      </c>
      <c r="J8" s="765"/>
      <c r="K8" s="1769">
        <f>(H8+I8)-J8</f>
        <v>1507243</v>
      </c>
      <c r="L8" s="1769">
        <f>F8-K8</f>
        <v>339901</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69247</v>
      </c>
      <c r="D10" s="846"/>
      <c r="E10" s="846"/>
      <c r="F10" s="1764">
        <f>(C10+D10)-E10</f>
        <v>69247</v>
      </c>
      <c r="G10" s="843">
        <v>20</v>
      </c>
      <c r="H10" s="847">
        <v>69247</v>
      </c>
      <c r="I10" s="847"/>
      <c r="J10" s="847"/>
      <c r="K10" s="1769">
        <f>(H10+I10)-J10</f>
        <v>69247</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754916</v>
      </c>
      <c r="D12" s="844">
        <v>77890</v>
      </c>
      <c r="E12" s="844"/>
      <c r="F12" s="1760">
        <f>(C12+D12)-E12</f>
        <v>832806</v>
      </c>
      <c r="G12" s="843">
        <v>10</v>
      </c>
      <c r="H12" s="765">
        <v>717389</v>
      </c>
      <c r="I12" s="765">
        <v>8182</v>
      </c>
      <c r="J12" s="765"/>
      <c r="K12" s="1769">
        <f>(H12+I12)-J12</f>
        <v>725571</v>
      </c>
      <c r="L12" s="1769">
        <f>F12-K12</f>
        <v>107235</v>
      </c>
    </row>
    <row r="13" spans="1:14" ht="14.25" thickTop="1" thickBot="1" x14ac:dyDescent="0.25">
      <c r="A13" s="848" t="s">
        <v>1122</v>
      </c>
      <c r="B13" s="840">
        <v>252</v>
      </c>
      <c r="C13" s="844">
        <v>367090</v>
      </c>
      <c r="D13" s="844"/>
      <c r="E13" s="844"/>
      <c r="F13" s="1760">
        <f>(C13+D13)-E13</f>
        <v>367090</v>
      </c>
      <c r="G13" s="843">
        <v>5</v>
      </c>
      <c r="H13" s="765">
        <v>344682</v>
      </c>
      <c r="I13" s="765">
        <v>5602</v>
      </c>
      <c r="J13" s="765"/>
      <c r="K13" s="1769">
        <f>(H13+I13)-J13</f>
        <v>350284</v>
      </c>
      <c r="L13" s="1769">
        <f>F13-K13</f>
        <v>16806</v>
      </c>
    </row>
    <row r="14" spans="1:14" ht="14.25" thickTop="1" thickBot="1" x14ac:dyDescent="0.25">
      <c r="A14" s="848" t="s">
        <v>1123</v>
      </c>
      <c r="B14" s="840">
        <v>253</v>
      </c>
      <c r="C14" s="765">
        <v>107800</v>
      </c>
      <c r="D14" s="765"/>
      <c r="E14" s="765"/>
      <c r="F14" s="1760">
        <f>(C14+D14)-E14</f>
        <v>107800</v>
      </c>
      <c r="G14" s="843">
        <v>3</v>
      </c>
      <c r="H14" s="765">
        <v>107800</v>
      </c>
      <c r="I14" s="765"/>
      <c r="J14" s="765"/>
      <c r="K14" s="1769">
        <f>(H14+I14)-J14</f>
        <v>107800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3207381</v>
      </c>
      <c r="D16" s="1760">
        <f>SUM(D3,D5:D6,D8:D10,D12:D15)</f>
        <v>97856</v>
      </c>
      <c r="E16" s="1760">
        <f>SUM(E3,E5:E6,E8:E10,E12:E15)</f>
        <v>0</v>
      </c>
      <c r="F16" s="1760">
        <f>SUM(F3,F5:F6,F8:F10,F12:F15)</f>
        <v>3305237</v>
      </c>
      <c r="G16" s="843"/>
      <c r="H16" s="1760">
        <f>SUM(H3,H6,H8:H10,H12:H14,)</f>
        <v>2676161</v>
      </c>
      <c r="I16" s="1760">
        <f>SUM(I3,I6,I8:I10,I12:I14,)</f>
        <v>83984</v>
      </c>
      <c r="J16" s="1760">
        <f>SUM(J3,J6,J8:J10,J12:J14,)</f>
        <v>0</v>
      </c>
      <c r="K16" s="1760">
        <f>(H16+I16)-J16</f>
        <v>2760145</v>
      </c>
      <c r="L16" s="1760">
        <f>F16-K16</f>
        <v>545092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83984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A6" sqref="A6:F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3" t="s">
        <v>1973</v>
      </c>
      <c r="B1" s="2264"/>
      <c r="C1" s="2264"/>
      <c r="D1" s="2264"/>
      <c r="E1" s="2264"/>
      <c r="F1" s="2265"/>
      <c r="G1" s="855"/>
    </row>
    <row r="2" spans="1:7" ht="15" customHeight="1" thickBot="1" x14ac:dyDescent="0.25">
      <c r="A2" s="2266" t="s">
        <v>477</v>
      </c>
      <c r="B2" s="2267"/>
      <c r="C2" s="2267"/>
      <c r="D2" s="2267"/>
      <c r="E2" s="2267"/>
      <c r="F2" s="2268"/>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9"/>
      <c r="B5" s="2270"/>
      <c r="C5" s="2270"/>
      <c r="D5" s="2270"/>
      <c r="E5" s="2270"/>
      <c r="F5" s="2270"/>
    </row>
    <row r="6" spans="1:7" ht="13.5" customHeight="1" thickBot="1" x14ac:dyDescent="0.25">
      <c r="A6" s="2260" t="s">
        <v>1104</v>
      </c>
      <c r="B6" s="2261"/>
      <c r="C6" s="2261"/>
      <c r="D6" s="2261"/>
      <c r="E6" s="2261"/>
      <c r="F6" s="2262"/>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2064771</v>
      </c>
      <c r="G8" s="865"/>
    </row>
    <row r="9" spans="1:7" x14ac:dyDescent="0.2">
      <c r="A9" s="869" t="s">
        <v>460</v>
      </c>
      <c r="B9" s="870" t="s">
        <v>1875</v>
      </c>
      <c r="C9" s="871"/>
      <c r="D9" s="869" t="s">
        <v>501</v>
      </c>
      <c r="E9" s="868"/>
      <c r="F9" s="1909">
        <f>'Expenditures 15-22'!K151</f>
        <v>278725</v>
      </c>
      <c r="G9" s="872"/>
    </row>
    <row r="10" spans="1:7" x14ac:dyDescent="0.2">
      <c r="A10" s="869" t="s">
        <v>499</v>
      </c>
      <c r="B10" s="870" t="s">
        <v>1876</v>
      </c>
      <c r="C10" s="871"/>
      <c r="D10" s="869" t="s">
        <v>501</v>
      </c>
      <c r="E10" s="868"/>
      <c r="F10" s="1909">
        <f>'Expenditures 15-22'!K174</f>
        <v>146296</v>
      </c>
      <c r="G10" s="872"/>
    </row>
    <row r="11" spans="1:7" x14ac:dyDescent="0.2">
      <c r="A11" s="869" t="s">
        <v>461</v>
      </c>
      <c r="B11" s="870" t="s">
        <v>1877</v>
      </c>
      <c r="C11" s="871"/>
      <c r="D11" s="869" t="s">
        <v>501</v>
      </c>
      <c r="E11" s="868"/>
      <c r="F11" s="1909">
        <f>'Expenditures 15-22'!K210</f>
        <v>114611</v>
      </c>
      <c r="G11" s="872"/>
    </row>
    <row r="12" spans="1:7" x14ac:dyDescent="0.2">
      <c r="A12" s="869" t="s">
        <v>462</v>
      </c>
      <c r="B12" s="870" t="s">
        <v>1878</v>
      </c>
      <c r="C12" s="871"/>
      <c r="D12" s="869" t="s">
        <v>501</v>
      </c>
      <c r="E12" s="868"/>
      <c r="F12" s="1909">
        <f>'Expenditures 15-22'!K295</f>
        <v>73783</v>
      </c>
      <c r="G12" s="872"/>
    </row>
    <row r="13" spans="1:7" x14ac:dyDescent="0.2">
      <c r="A13" s="869" t="s">
        <v>106</v>
      </c>
      <c r="B13" s="870" t="s">
        <v>1879</v>
      </c>
      <c r="C13" s="871"/>
      <c r="D13" s="869" t="s">
        <v>501</v>
      </c>
      <c r="E13" s="868"/>
      <c r="F13" s="1909">
        <f>'Expenditures 15-22'!K342</f>
        <v>98633</v>
      </c>
      <c r="G13" s="873"/>
    </row>
    <row r="14" spans="1:7" ht="12" customHeight="1" thickBot="1" x14ac:dyDescent="0.25">
      <c r="A14" s="1770"/>
      <c r="B14" s="1771"/>
      <c r="C14" s="1772"/>
      <c r="D14" s="1773" t="s">
        <v>501</v>
      </c>
      <c r="E14" s="1774" t="s">
        <v>958</v>
      </c>
      <c r="F14" s="1775">
        <f>SUM(F8:F13)</f>
        <v>2776819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4">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2000</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94799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39517</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29680</v>
      </c>
      <c r="G52" s="865"/>
    </row>
    <row r="53" spans="1:7" x14ac:dyDescent="0.2">
      <c r="A53" s="869" t="s">
        <v>459</v>
      </c>
      <c r="B53" s="869" t="s">
        <v>1475</v>
      </c>
      <c r="C53" s="889">
        <f>'Expenditures 15-22'!B102</f>
        <v>4000</v>
      </c>
      <c r="D53" s="888" t="str">
        <f>'Expenditures 15-22'!A102</f>
        <v>Total Payments to Other Govt Units</v>
      </c>
      <c r="E53" s="868"/>
      <c r="F53" s="1913">
        <f>'Expenditures 15-22'!K102</f>
        <v>36600</v>
      </c>
      <c r="G53" s="865"/>
    </row>
    <row r="54" spans="1:7" x14ac:dyDescent="0.2">
      <c r="A54" s="869" t="s">
        <v>459</v>
      </c>
      <c r="B54" s="869" t="s">
        <v>1476</v>
      </c>
      <c r="C54" s="889" t="s">
        <v>982</v>
      </c>
      <c r="D54" s="885" t="s">
        <v>1095</v>
      </c>
      <c r="E54" s="868"/>
      <c r="F54" s="1913">
        <f>'Expenditures 15-22'!G114</f>
        <v>40253</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1880</v>
      </c>
      <c r="C57" s="889">
        <f>'Expenditures 15-22'!B139</f>
        <v>4000</v>
      </c>
      <c r="D57" s="887" t="str">
        <f>'Expenditures 15-22'!A139</f>
        <v>Total Payments to Other Govt Units</v>
      </c>
      <c r="E57" s="868"/>
      <c r="F57" s="1913">
        <f>'Expenditures 15-22'!K139</f>
        <v>0</v>
      </c>
      <c r="G57" s="865"/>
    </row>
    <row r="58" spans="1:7" x14ac:dyDescent="0.2">
      <c r="A58" s="869" t="s">
        <v>460</v>
      </c>
      <c r="B58" s="869" t="s">
        <v>1881</v>
      </c>
      <c r="C58" s="886" t="s">
        <v>982</v>
      </c>
      <c r="D58" s="885" t="s">
        <v>1095</v>
      </c>
      <c r="E58" s="868"/>
      <c r="F58" s="1915">
        <f>'Expenditures 15-22'!G151</f>
        <v>46234</v>
      </c>
      <c r="G58" s="865"/>
    </row>
    <row r="59" spans="1:7" x14ac:dyDescent="0.2">
      <c r="A59" s="893" t="s">
        <v>460</v>
      </c>
      <c r="B59" s="856" t="s">
        <v>1882</v>
      </c>
      <c r="C59" s="894" t="s">
        <v>982</v>
      </c>
      <c r="D59" s="856" t="s">
        <v>291</v>
      </c>
      <c r="F59" s="1916">
        <f>'Expenditures 15-22'!I151</f>
        <v>0</v>
      </c>
      <c r="G59" s="865"/>
    </row>
    <row r="60" spans="1:7" x14ac:dyDescent="0.2">
      <c r="A60" s="893" t="s">
        <v>499</v>
      </c>
      <c r="B60" s="856" t="s">
        <v>1883</v>
      </c>
      <c r="C60" s="894">
        <v>4000</v>
      </c>
      <c r="D60" s="856" t="s">
        <v>312</v>
      </c>
      <c r="F60" s="1914">
        <f>'Expenditures 15-22'!K160</f>
        <v>0</v>
      </c>
      <c r="G60" s="865"/>
    </row>
    <row r="61" spans="1:7" x14ac:dyDescent="0.2">
      <c r="A61" s="895" t="s">
        <v>499</v>
      </c>
      <c r="B61" s="895" t="s">
        <v>1884</v>
      </c>
      <c r="C61" s="896" t="str">
        <f>'Expenditures 15-22'!B170</f>
        <v>5300</v>
      </c>
      <c r="D61" s="897" t="s">
        <v>311</v>
      </c>
      <c r="E61" s="879"/>
      <c r="F61" s="1913">
        <f>'Expenditures 15-22'!K170</f>
        <v>79376</v>
      </c>
      <c r="G61" s="865"/>
    </row>
    <row r="62" spans="1:7" x14ac:dyDescent="0.2">
      <c r="A62" s="869" t="s">
        <v>461</v>
      </c>
      <c r="B62" s="869" t="s">
        <v>1885</v>
      </c>
      <c r="C62" s="886">
        <f>'Expenditures 15-22'!B185</f>
        <v>3000</v>
      </c>
      <c r="D62" s="876" t="s">
        <v>449</v>
      </c>
      <c r="E62" s="868"/>
      <c r="F62" s="1913">
        <f>'Expenditures 15-22'!K185-SUM('Expenditures 15-22'!G185,'Expenditures 15-22'!I185)</f>
        <v>0</v>
      </c>
      <c r="G62" s="865"/>
    </row>
    <row r="63" spans="1:7" x14ac:dyDescent="0.2">
      <c r="A63" s="869" t="s">
        <v>461</v>
      </c>
      <c r="B63" s="869" t="s">
        <v>1886</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1887</v>
      </c>
      <c r="C64" s="896" t="str">
        <f>'Expenditures 15-22'!B206</f>
        <v>5300</v>
      </c>
      <c r="D64" s="892" t="s">
        <v>311</v>
      </c>
      <c r="E64" s="868"/>
      <c r="F64" s="1913">
        <f>'Expenditures 15-22'!K206</f>
        <v>5311</v>
      </c>
      <c r="G64" s="865"/>
    </row>
    <row r="65" spans="1:8" x14ac:dyDescent="0.2">
      <c r="A65" s="869" t="s">
        <v>461</v>
      </c>
      <c r="B65" s="869" t="s">
        <v>1888</v>
      </c>
      <c r="C65" s="886" t="s">
        <v>982</v>
      </c>
      <c r="D65" s="885" t="s">
        <v>1095</v>
      </c>
      <c r="E65" s="868"/>
      <c r="F65" s="1913">
        <f>'Expenditures 15-22'!G210</f>
        <v>0</v>
      </c>
      <c r="G65" s="865"/>
    </row>
    <row r="66" spans="1:8" x14ac:dyDescent="0.2">
      <c r="A66" s="869" t="s">
        <v>461</v>
      </c>
      <c r="B66" s="869" t="s">
        <v>1889</v>
      </c>
      <c r="C66" s="886" t="s">
        <v>982</v>
      </c>
      <c r="D66" s="885" t="s">
        <v>291</v>
      </c>
      <c r="E66" s="868"/>
      <c r="F66" s="1913">
        <f>'Expenditures 15-22'!I210</f>
        <v>0</v>
      </c>
      <c r="G66" s="865"/>
    </row>
    <row r="67" spans="1:8" x14ac:dyDescent="0.2">
      <c r="A67" s="869" t="s">
        <v>462</v>
      </c>
      <c r="B67" s="869" t="s">
        <v>1890</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1891</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1892</v>
      </c>
      <c r="C70" s="886">
        <f>'Expenditures 15-22'!B221</f>
        <v>1300</v>
      </c>
      <c r="D70" s="887" t="str">
        <f>'Expenditures 15-22'!A221</f>
        <v>Adult/Continuing Education Programs</v>
      </c>
      <c r="E70" s="868"/>
      <c r="F70" s="1913">
        <f>'Expenditures 15-22'!K221</f>
        <v>0</v>
      </c>
      <c r="G70" s="865"/>
    </row>
    <row r="71" spans="1:8" x14ac:dyDescent="0.2">
      <c r="A71" s="869" t="s">
        <v>462</v>
      </c>
      <c r="B71" s="869" t="s">
        <v>1893</v>
      </c>
      <c r="C71" s="886">
        <f>'Expenditures 15-22'!B224</f>
        <v>1600</v>
      </c>
      <c r="D71" s="887" t="str">
        <f>'Expenditures 15-22'!A224</f>
        <v>Summer School Programs</v>
      </c>
      <c r="E71" s="868"/>
      <c r="F71" s="1913">
        <f>'Expenditures 15-22'!K224</f>
        <v>0</v>
      </c>
      <c r="G71" s="865"/>
    </row>
    <row r="72" spans="1:8" x14ac:dyDescent="0.2">
      <c r="A72" s="869" t="s">
        <v>462</v>
      </c>
      <c r="B72" s="869" t="s">
        <v>1894</v>
      </c>
      <c r="C72" s="886">
        <f>'Expenditures 15-22'!B280</f>
        <v>3000</v>
      </c>
      <c r="D72" s="876" t="s">
        <v>449</v>
      </c>
      <c r="E72" s="868"/>
      <c r="F72" s="1913">
        <f>'Expenditures 15-22'!K280</f>
        <v>0</v>
      </c>
      <c r="G72" s="865"/>
    </row>
    <row r="73" spans="1:8" x14ac:dyDescent="0.2">
      <c r="A73" s="869" t="s">
        <v>462</v>
      </c>
      <c r="B73" s="869" t="s">
        <v>1895</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1896</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1897</v>
      </c>
      <c r="E76" s="1774" t="s">
        <v>958</v>
      </c>
      <c r="F76" s="1778">
        <f>SUM(F18:F74)</f>
        <v>371770</v>
      </c>
      <c r="G76" s="865"/>
    </row>
    <row r="77" spans="1:8" s="893" customFormat="1" ht="12" customHeight="1" thickTop="1" thickBot="1" x14ac:dyDescent="0.25">
      <c r="A77" s="1779"/>
      <c r="B77" s="1776"/>
      <c r="C77" s="1772"/>
      <c r="D77" s="1777" t="s">
        <v>1898</v>
      </c>
      <c r="E77" s="1774"/>
      <c r="F77" s="1780">
        <f>(F14-F76)</f>
        <v>2405049</v>
      </c>
      <c r="G77" s="869"/>
    </row>
    <row r="78" spans="1:8" s="893" customFormat="1" ht="12" customHeight="1" thickTop="1" x14ac:dyDescent="0.2">
      <c r="A78" s="1781"/>
      <c r="B78" s="1776"/>
      <c r="C78" s="1772"/>
      <c r="D78" s="1777" t="s">
        <v>2060</v>
      </c>
      <c r="E78" s="1774"/>
      <c r="F78" s="898">
        <v>142.69999999999999</v>
      </c>
      <c r="G78" s="899"/>
      <c r="H78" s="869"/>
    </row>
    <row r="79" spans="1:8" s="893" customFormat="1" ht="12" customHeight="1" thickBot="1" x14ac:dyDescent="0.25">
      <c r="A79" s="1782"/>
      <c r="B79" s="1776"/>
      <c r="C79" s="1772"/>
      <c r="D79" s="1777" t="s">
        <v>1899</v>
      </c>
      <c r="E79" s="1774" t="s">
        <v>958</v>
      </c>
      <c r="F79" s="1783">
        <f>IF(F78&gt;0,F77/F78," Complete Line 78")</f>
        <v>16853.88227049755</v>
      </c>
      <c r="G79" s="869"/>
    </row>
    <row r="80" spans="1:8" s="893" customFormat="1" ht="8.25" customHeight="1" thickTop="1" x14ac:dyDescent="0.2">
      <c r="A80" s="900"/>
      <c r="B80" s="869"/>
      <c r="C80" s="871"/>
      <c r="D80" s="901"/>
      <c r="E80" s="868"/>
      <c r="F80" s="902"/>
      <c r="G80" s="869"/>
    </row>
    <row r="81" spans="1:7" s="893" customFormat="1" ht="12" thickBot="1" x14ac:dyDescent="0.25">
      <c r="A81" s="2260" t="s">
        <v>1105</v>
      </c>
      <c r="B81" s="2261"/>
      <c r="C81" s="2261"/>
      <c r="D81" s="2261"/>
      <c r="E81" s="2261"/>
      <c r="F81" s="2262"/>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579</v>
      </c>
      <c r="G94" s="912"/>
    </row>
    <row r="95" spans="1:7" x14ac:dyDescent="0.2">
      <c r="A95" s="908" t="s">
        <v>140</v>
      </c>
      <c r="B95" s="908" t="s">
        <v>175</v>
      </c>
      <c r="C95" s="910">
        <v>1700</v>
      </c>
      <c r="D95" s="918" t="str">
        <f>'Revenues 9-14'!A82</f>
        <v>Total District/School Activity Income</v>
      </c>
      <c r="E95" s="906"/>
      <c r="F95" s="1789">
        <f>SUM('Revenues 9-14'!C82,'Revenues 9-14'!D82)</f>
        <v>23811</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9402</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2001</v>
      </c>
      <c r="C105" s="913">
        <v>3100</v>
      </c>
      <c r="D105" s="919" t="str">
        <f>'Revenues 9-14'!A132</f>
        <v>Total Special Education</v>
      </c>
      <c r="E105" s="906"/>
      <c r="F105" s="1789">
        <f>SUM('Revenues 9-14'!C132:D132,'Revenues 9-14'!F132)</f>
        <v>5287</v>
      </c>
      <c r="G105" s="912"/>
    </row>
    <row r="106" spans="1:7" x14ac:dyDescent="0.2">
      <c r="A106" s="908" t="s">
        <v>673</v>
      </c>
      <c r="B106" s="908" t="s">
        <v>2002</v>
      </c>
      <c r="C106" s="920">
        <v>3200</v>
      </c>
      <c r="D106" s="911" t="str">
        <f>'Revenues 9-14'!A141</f>
        <v>Total Career and Technical Education</v>
      </c>
      <c r="E106" s="906"/>
      <c r="F106" s="1789">
        <f>SUM('Revenues 9-14'!C141,'Revenues 9-14'!D141,'Revenues 9-14'!G141)</f>
        <v>1695</v>
      </c>
      <c r="G106" s="912"/>
    </row>
    <row r="107" spans="1:7" x14ac:dyDescent="0.2">
      <c r="A107" s="921" t="s">
        <v>664</v>
      </c>
      <c r="B107" s="908" t="s">
        <v>2003</v>
      </c>
      <c r="C107" s="920">
        <v>3300</v>
      </c>
      <c r="D107" s="911" t="str">
        <f>'Revenues 9-14'!A145</f>
        <v>Total Bilingual Ed</v>
      </c>
      <c r="E107" s="906"/>
      <c r="F107" s="1789">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9">
        <f>'Revenues 9-14'!C146</f>
        <v>2366</v>
      </c>
      <c r="G108" s="912"/>
    </row>
    <row r="109" spans="1:7" x14ac:dyDescent="0.2">
      <c r="A109" s="908" t="s">
        <v>673</v>
      </c>
      <c r="B109" s="908" t="s">
        <v>2005</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9">
        <f>SUM('Revenues 9-14'!C148,'Revenues 9-14'!D148)</f>
        <v>1653</v>
      </c>
      <c r="G110" s="912"/>
    </row>
    <row r="111" spans="1:7" x14ac:dyDescent="0.2">
      <c r="A111" s="908" t="s">
        <v>668</v>
      </c>
      <c r="B111" s="908" t="s">
        <v>2007</v>
      </c>
      <c r="C111" s="922">
        <v>3500</v>
      </c>
      <c r="D111" s="911" t="str">
        <f>'Revenues 9-14'!A155</f>
        <v>Total Transportation</v>
      </c>
      <c r="E111" s="906"/>
      <c r="F111" s="1789">
        <f>SUM('Revenues 9-14'!C155,'Revenues 9-14'!D155,'Revenues 9-14'!F155,'Revenues 9-14'!G155)</f>
        <v>57486</v>
      </c>
      <c r="G111" s="912"/>
    </row>
    <row r="112" spans="1:7" x14ac:dyDescent="0.2">
      <c r="A112" s="908" t="s">
        <v>459</v>
      </c>
      <c r="B112" s="908" t="s">
        <v>2008</v>
      </c>
      <c r="C112" s="920">
        <f>'Revenues 9-14'!B156</f>
        <v>3610</v>
      </c>
      <c r="D112" s="911" t="str">
        <f>'Revenues 9-14'!A156</f>
        <v>Learning Improvement - Change Grants</v>
      </c>
      <c r="E112" s="906"/>
      <c r="F112" s="1789">
        <f>'Revenues 9-14'!C156</f>
        <v>0</v>
      </c>
      <c r="G112" s="912"/>
    </row>
    <row r="113" spans="1:7" x14ac:dyDescent="0.2">
      <c r="A113" s="908" t="s">
        <v>668</v>
      </c>
      <c r="B113" s="908" t="s">
        <v>2009</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9">
        <f>SUM('Revenues 9-14'!C158,'Revenues 9-14'!F158,'Revenues 9-14'!G158)</f>
        <v>41911</v>
      </c>
      <c r="G114" s="912"/>
    </row>
    <row r="115" spans="1:7" x14ac:dyDescent="0.2">
      <c r="A115" s="908" t="s">
        <v>668</v>
      </c>
      <c r="B115" s="908" t="s">
        <v>2011</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7">
        <f>SUM('Revenues 9-14'!C163:G163)</f>
        <v>0</v>
      </c>
      <c r="G118" s="912"/>
    </row>
    <row r="119" spans="1:7" x14ac:dyDescent="0.2">
      <c r="A119" s="923" t="s">
        <v>504</v>
      </c>
      <c r="B119" s="923" t="s">
        <v>2015</v>
      </c>
      <c r="C119" s="924">
        <f>'Revenues 9-14'!B164</f>
        <v>3815</v>
      </c>
      <c r="D119" s="925" t="str">
        <f>'Revenues 9-14'!A164</f>
        <v>State Charter Schools</v>
      </c>
      <c r="E119" s="906"/>
      <c r="F119" s="1907">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9">
        <f>'Revenues 9-14'!D167</f>
        <v>0</v>
      </c>
      <c r="G120" s="930"/>
    </row>
    <row r="121" spans="1:7" x14ac:dyDescent="0.2">
      <c r="A121" s="927" t="s">
        <v>500</v>
      </c>
      <c r="B121" s="927" t="s">
        <v>2017</v>
      </c>
      <c r="C121" s="928">
        <f>'Revenues 9-14'!B168</f>
        <v>3999</v>
      </c>
      <c r="D121" s="929" t="s">
        <v>543</v>
      </c>
      <c r="E121" s="931"/>
      <c r="F121" s="1789">
        <f>SUM('Revenues 9-14'!C168:G168,'Revenues 9-14'!J168)</f>
        <v>17253</v>
      </c>
      <c r="G121" s="930"/>
    </row>
    <row r="122" spans="1:7" x14ac:dyDescent="0.2">
      <c r="A122" s="927" t="s">
        <v>459</v>
      </c>
      <c r="B122" s="927" t="s">
        <v>2018</v>
      </c>
      <c r="C122" s="932">
        <f>'Revenues 9-14'!B177</f>
        <v>4045</v>
      </c>
      <c r="D122" s="929" t="str">
        <f>'Revenues 9-14'!A177 &amp; " (Subtract)"</f>
        <v>Head Start (Subtract)</v>
      </c>
      <c r="E122" s="906"/>
      <c r="F122" s="1789">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2020</v>
      </c>
      <c r="C124" s="932">
        <v>4100</v>
      </c>
      <c r="D124" s="933" t="str">
        <f>'Revenues 9-14'!A188</f>
        <v>Total Title V</v>
      </c>
      <c r="E124" s="906"/>
      <c r="F124" s="1789">
        <f>SUM('Revenues 9-14'!C188,'Revenues 9-14'!D188,'Revenues 9-14'!F188,'Revenues 9-14'!G188)</f>
        <v>0</v>
      </c>
      <c r="G124" s="930"/>
    </row>
    <row r="125" spans="1:7" x14ac:dyDescent="0.2">
      <c r="A125" s="927" t="s">
        <v>664</v>
      </c>
      <c r="B125" s="927" t="s">
        <v>2021</v>
      </c>
      <c r="C125" s="932">
        <v>4200</v>
      </c>
      <c r="D125" s="929" t="str">
        <f>'Revenues 9-14'!A198</f>
        <v>Total Food Service</v>
      </c>
      <c r="E125" s="906"/>
      <c r="F125" s="1789">
        <f>SUM('Revenues 9-14'!C198,'Revenues 9-14'!G198)</f>
        <v>130810</v>
      </c>
      <c r="G125" s="930"/>
    </row>
    <row r="126" spans="1:7" x14ac:dyDescent="0.2">
      <c r="A126" s="927" t="s">
        <v>668</v>
      </c>
      <c r="B126" s="927" t="s">
        <v>2022</v>
      </c>
      <c r="C126" s="932">
        <v>4300</v>
      </c>
      <c r="D126" s="933" t="str">
        <f>'Revenues 9-14'!A204</f>
        <v>Total Title I</v>
      </c>
      <c r="E126" s="906"/>
      <c r="F126" s="1789">
        <f>SUM('Revenues 9-14'!C204,'Revenues 9-14'!D204,'Revenues 9-14'!F204,'Revenues 9-14'!G204)</f>
        <v>673050</v>
      </c>
      <c r="G126" s="930"/>
    </row>
    <row r="127" spans="1:7" x14ac:dyDescent="0.2">
      <c r="A127" s="927" t="s">
        <v>668</v>
      </c>
      <c r="B127" s="927" t="s">
        <v>2023</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2025</v>
      </c>
      <c r="C129" s="932">
        <f>'Revenues 9-14'!B214</f>
        <v>4625</v>
      </c>
      <c r="D129" s="933" t="str">
        <f>'Revenues 9-14'!A214</f>
        <v>Fed - Spec Education - IDEA - Room &amp; Board</v>
      </c>
      <c r="E129" s="906"/>
      <c r="F129" s="1789">
        <f>SUM('Revenues 9-14'!C214,'Revenues 9-14'!D214,'Revenues 9-14'!F214,'Revenues 9-14'!G214)</f>
        <v>319</v>
      </c>
      <c r="G129" s="930"/>
    </row>
    <row r="130" spans="1:7" x14ac:dyDescent="0.2">
      <c r="A130" s="927" t="s">
        <v>668</v>
      </c>
      <c r="B130" s="927" t="s">
        <v>2026</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2027</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2028</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9">
        <v>0</v>
      </c>
      <c r="G138" s="905"/>
    </row>
    <row r="139" spans="1:7" s="867" customFormat="1" hidden="1" x14ac:dyDescent="0.2">
      <c r="A139" s="934" t="s">
        <v>206</v>
      </c>
      <c r="B139" s="934" t="s">
        <v>2034</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2042</v>
      </c>
      <c r="C157" s="940" t="s">
        <v>841</v>
      </c>
      <c r="D157" s="941" t="s">
        <v>777</v>
      </c>
      <c r="E157" s="942"/>
      <c r="F157" s="1789">
        <f>SUM(F133:F156)</f>
        <v>0</v>
      </c>
      <c r="G157" s="905"/>
    </row>
    <row r="158" spans="1:7" s="867" customFormat="1" x14ac:dyDescent="0.2">
      <c r="A158" s="938" t="s">
        <v>459</v>
      </c>
      <c r="B158" s="939" t="s">
        <v>2043</v>
      </c>
      <c r="C158" s="940" t="s">
        <v>1427</v>
      </c>
      <c r="D158" s="941" t="s">
        <v>1428</v>
      </c>
      <c r="E158" s="942"/>
      <c r="F158" s="1789">
        <f>SUM('Revenues 9-14'!C253)</f>
        <v>0</v>
      </c>
      <c r="G158" s="905"/>
    </row>
    <row r="159" spans="1:7" s="867" customFormat="1" x14ac:dyDescent="0.2">
      <c r="A159" s="938" t="s">
        <v>500</v>
      </c>
      <c r="B159" s="939" t="s">
        <v>2044</v>
      </c>
      <c r="C159" s="940" t="s">
        <v>1466</v>
      </c>
      <c r="D159" s="941" t="s">
        <v>1467</v>
      </c>
      <c r="E159" s="942"/>
      <c r="F159" s="1789">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7">
        <f>SUM('Revenues 9-14'!C259,'Revenues 9-14'!D259,'Revenues 9-14'!F259,'Revenues 9-14'!G259)</f>
        <v>349</v>
      </c>
      <c r="G164" s="930"/>
    </row>
    <row r="165" spans="1:7" x14ac:dyDescent="0.2">
      <c r="A165" s="927" t="s">
        <v>668</v>
      </c>
      <c r="B165" s="927" t="s">
        <v>2050</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9">
        <f>SUM('Revenues 9-14'!C263:D263,'Revenues 9-14'!F263:G263)</f>
        <v>3164</v>
      </c>
      <c r="G168" s="947">
        <v>6320</v>
      </c>
    </row>
    <row r="169" spans="1:7" x14ac:dyDescent="0.2">
      <c r="A169" s="927" t="s">
        <v>668</v>
      </c>
      <c r="B169" s="927" t="s">
        <v>2052</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2053</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1918</v>
      </c>
      <c r="C171" s="1920">
        <v>3100</v>
      </c>
      <c r="D171" s="1921" t="s">
        <v>1920</v>
      </c>
      <c r="E171" s="906"/>
      <c r="F171" s="1906">
        <v>380342</v>
      </c>
      <c r="G171" s="927"/>
    </row>
    <row r="172" spans="1:7" x14ac:dyDescent="0.2">
      <c r="A172" s="1918" t="s">
        <v>664</v>
      </c>
      <c r="B172" s="1919" t="s">
        <v>1918</v>
      </c>
      <c r="C172" s="1920">
        <v>3300</v>
      </c>
      <c r="D172" s="1921" t="s">
        <v>1921</v>
      </c>
      <c r="E172" s="906"/>
      <c r="F172" s="1906">
        <v>141</v>
      </c>
      <c r="G172" s="927"/>
    </row>
    <row r="173" spans="1:7" ht="6" customHeight="1" x14ac:dyDescent="0.2">
      <c r="A173" s="927"/>
      <c r="B173" s="927"/>
      <c r="C173" s="949"/>
      <c r="D173" s="927"/>
      <c r="E173" s="906"/>
      <c r="F173" s="950"/>
      <c r="G173" s="947"/>
    </row>
    <row r="174" spans="1:7" x14ac:dyDescent="0.2">
      <c r="A174" s="1770"/>
      <c r="B174" s="1784"/>
      <c r="C174" s="1785"/>
      <c r="D174" s="1786" t="s">
        <v>2054</v>
      </c>
      <c r="E174" s="1787" t="s">
        <v>958</v>
      </c>
      <c r="F174" s="1788">
        <f>SUM(F84:F132,F157:F172)</f>
        <v>1349618</v>
      </c>
    </row>
    <row r="175" spans="1:7" ht="12" customHeight="1" x14ac:dyDescent="0.2">
      <c r="A175" s="1770"/>
      <c r="B175" s="1784"/>
      <c r="C175" s="1785"/>
      <c r="D175" s="1786" t="s">
        <v>2055</v>
      </c>
      <c r="E175" s="1787"/>
      <c r="F175" s="1789">
        <f>'PCTC-OEPP 27-28'!F77-F174</f>
        <v>1055431</v>
      </c>
    </row>
    <row r="176" spans="1:7" ht="12" customHeight="1" x14ac:dyDescent="0.2">
      <c r="A176" s="1770"/>
      <c r="B176" s="1784"/>
      <c r="C176" s="1785"/>
      <c r="D176" s="1786" t="s">
        <v>1815</v>
      </c>
      <c r="E176" s="1787"/>
      <c r="F176" s="1789">
        <f>'Cap Outlay Deprec 26'!I18</f>
        <v>83984</v>
      </c>
    </row>
    <row r="177" spans="1:7" ht="12" customHeight="1" x14ac:dyDescent="0.2">
      <c r="A177" s="1770"/>
      <c r="B177" s="1784"/>
      <c r="C177" s="1785"/>
      <c r="D177" s="1786" t="s">
        <v>2056</v>
      </c>
      <c r="E177" s="1787"/>
      <c r="F177" s="1789">
        <f>F175+F176</f>
        <v>1139415</v>
      </c>
    </row>
    <row r="178" spans="1:7" ht="12" customHeight="1" x14ac:dyDescent="0.2">
      <c r="A178" s="1770"/>
      <c r="B178" s="1790"/>
      <c r="C178" s="1785"/>
      <c r="D178" s="1786" t="str">
        <f>D78</f>
        <v>9 Month ADA from District Average Daily Attendance/Prior General State Aid Inquiry 2018-2019</v>
      </c>
      <c r="E178" s="1787"/>
      <c r="F178" s="1791">
        <f>'PCTC-OEPP 27-28'!F78</f>
        <v>142.69999999999999</v>
      </c>
      <c r="G178" s="930"/>
    </row>
    <row r="179" spans="1:7" ht="12" customHeight="1" thickBot="1" x14ac:dyDescent="0.25">
      <c r="A179" s="1770"/>
      <c r="B179" s="1790"/>
      <c r="C179" s="1785"/>
      <c r="D179" s="1786" t="s">
        <v>2057</v>
      </c>
      <c r="E179" s="1787" t="s">
        <v>1545</v>
      </c>
      <c r="F179" s="1792">
        <f>F177/F178</f>
        <v>7984.6881569726702</v>
      </c>
      <c r="G179" s="856">
        <v>6323</v>
      </c>
    </row>
    <row r="180" spans="1:7" ht="12" thickTop="1" x14ac:dyDescent="0.2">
      <c r="B180" s="930"/>
      <c r="C180" s="949"/>
      <c r="D180" s="930"/>
      <c r="E180" s="949"/>
      <c r="F180" s="930"/>
      <c r="G180" s="951">
        <v>6326</v>
      </c>
    </row>
    <row r="181" spans="1:7" ht="12.2" customHeight="1" x14ac:dyDescent="0.2">
      <c r="A181" s="930" t="s">
        <v>1919</v>
      </c>
      <c r="B181" s="930"/>
      <c r="C181" s="949"/>
      <c r="D181" s="930"/>
      <c r="E181" s="949"/>
      <c r="F181" s="930"/>
      <c r="G181" s="930"/>
    </row>
    <row r="182" spans="1:7" s="1922" customFormat="1" ht="12.2" customHeight="1" x14ac:dyDescent="0.2">
      <c r="A182" s="1922" t="s">
        <v>1992</v>
      </c>
      <c r="B182" s="1923"/>
      <c r="C182" s="1924"/>
      <c r="D182" s="1923"/>
      <c r="E182" s="1924"/>
      <c r="F182" s="1923"/>
      <c r="G182" s="1923"/>
    </row>
    <row r="183" spans="1:7" s="1922" customFormat="1" ht="12.2" customHeight="1" x14ac:dyDescent="0.2">
      <c r="A183" s="1925" t="s">
        <v>1994</v>
      </c>
      <c r="C183" s="1924"/>
      <c r="D183" s="1923"/>
      <c r="E183" s="1924"/>
      <c r="F183" s="1923"/>
      <c r="G183" s="1923"/>
    </row>
    <row r="184" spans="1:7" ht="12" customHeight="1" x14ac:dyDescent="0.2">
      <c r="C184" s="949"/>
      <c r="D184" s="930"/>
      <c r="E184" s="949"/>
      <c r="F184" s="930"/>
      <c r="G184" s="930"/>
    </row>
    <row r="185" spans="1:7" x14ac:dyDescent="0.2">
      <c r="A185" s="1926" t="s">
        <v>1923</v>
      </c>
      <c r="B185" s="1927" t="s">
        <v>1922</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view="pageLayout" zoomScaleNormal="100" workbookViewId="0">
      <selection activeCell="A67" sqref="A6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1830</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4" t="s">
        <v>1816</v>
      </c>
      <c r="B4" s="2275"/>
      <c r="C4" s="2275"/>
      <c r="D4" s="2275"/>
      <c r="E4" s="2275"/>
      <c r="F4" s="2275"/>
      <c r="G4" s="2276"/>
    </row>
    <row r="5" spans="1:7" x14ac:dyDescent="0.25">
      <c r="A5" s="2277"/>
      <c r="B5" s="2278"/>
      <c r="C5" s="2278"/>
      <c r="D5" s="2278"/>
      <c r="E5" s="2278"/>
      <c r="F5" s="2278"/>
      <c r="G5" s="2279"/>
    </row>
    <row r="6" spans="1:7" ht="18.75" x14ac:dyDescent="0.25">
      <c r="A6" s="1534" t="s">
        <v>1817</v>
      </c>
      <c r="B6" s="1535"/>
      <c r="C6" s="1535"/>
      <c r="D6" s="1535"/>
      <c r="E6" s="1535"/>
      <c r="F6" s="1535"/>
      <c r="G6" s="1536"/>
    </row>
    <row r="7" spans="1:7" ht="30.75" customHeight="1" x14ac:dyDescent="0.25">
      <c r="A7" s="2280" t="s">
        <v>1930</v>
      </c>
      <c r="B7" s="2281"/>
      <c r="C7" s="2281"/>
      <c r="D7" s="2281"/>
      <c r="E7" s="2281"/>
      <c r="F7" s="2281"/>
      <c r="G7" s="2282"/>
    </row>
    <row r="8" spans="1:7" ht="15.75" customHeight="1" x14ac:dyDescent="0.25">
      <c r="A8" s="2283" t="s">
        <v>1905</v>
      </c>
      <c r="B8" s="2284"/>
      <c r="C8" s="2284"/>
      <c r="D8" s="2284"/>
      <c r="E8" s="2284"/>
      <c r="F8" s="2284"/>
      <c r="G8" s="2285"/>
    </row>
    <row r="9" spans="1:7" ht="35.25" customHeight="1" x14ac:dyDescent="0.25">
      <c r="A9" s="2280" t="s">
        <v>1933</v>
      </c>
      <c r="B9" s="2281"/>
      <c r="C9" s="2281"/>
      <c r="D9" s="2281"/>
      <c r="E9" s="2281"/>
      <c r="F9" s="2281"/>
      <c r="G9" s="2282"/>
    </row>
    <row r="10" spans="1:7" ht="15" customHeight="1" x14ac:dyDescent="0.25">
      <c r="A10" s="1537" t="s">
        <v>1818</v>
      </c>
      <c r="B10" s="1538"/>
      <c r="C10" s="1538"/>
      <c r="D10" s="1538"/>
      <c r="E10" s="1538"/>
      <c r="F10" s="1538"/>
      <c r="G10" s="1539"/>
    </row>
    <row r="11" spans="1:7" ht="17.25" customHeight="1" x14ac:dyDescent="0.25">
      <c r="A11" s="2280" t="s">
        <v>1932</v>
      </c>
      <c r="B11" s="2281"/>
      <c r="C11" s="2281"/>
      <c r="D11" s="2281"/>
      <c r="E11" s="2281"/>
      <c r="F11" s="2281"/>
      <c r="G11" s="2282"/>
    </row>
    <row r="12" spans="1:7" ht="15" customHeight="1" x14ac:dyDescent="0.25">
      <c r="A12" s="1537" t="s">
        <v>1823</v>
      </c>
      <c r="B12" s="1538"/>
      <c r="C12" s="1538"/>
      <c r="D12" s="1538"/>
      <c r="E12" s="1538"/>
      <c r="F12" s="1538"/>
      <c r="G12" s="1539"/>
    </row>
    <row r="13" spans="1:7" ht="32.25" customHeight="1" x14ac:dyDescent="0.25">
      <c r="A13" s="2271" t="s">
        <v>1974</v>
      </c>
      <c r="B13" s="2272"/>
      <c r="C13" s="2272"/>
      <c r="D13" s="2272"/>
      <c r="E13" s="2272"/>
      <c r="F13" s="2272"/>
      <c r="G13" s="2273"/>
    </row>
    <row r="14" spans="1:7" x14ac:dyDescent="0.25">
      <c r="A14" s="1661" t="s">
        <v>1831</v>
      </c>
      <c r="B14" s="1662"/>
      <c r="C14" s="1662"/>
      <c r="D14" s="1662"/>
      <c r="E14" s="1662"/>
      <c r="F14" s="1662"/>
      <c r="G14" s="1663"/>
    </row>
    <row r="15" spans="1:7" ht="61.5" customHeight="1" x14ac:dyDescent="0.25">
      <c r="A15" s="1546" t="s">
        <v>1824</v>
      </c>
      <c r="B15" s="1546" t="s">
        <v>1825</v>
      </c>
      <c r="C15" s="1546" t="s">
        <v>1826</v>
      </c>
      <c r="D15" s="1547" t="s">
        <v>1827</v>
      </c>
      <c r="E15" s="1547" t="s">
        <v>1819</v>
      </c>
      <c r="F15" s="1547" t="s">
        <v>1828</v>
      </c>
      <c r="G15" s="1547" t="s">
        <v>1829</v>
      </c>
    </row>
    <row r="16" spans="1:7" x14ac:dyDescent="0.25">
      <c r="A16" s="1648" t="s">
        <v>1832</v>
      </c>
      <c r="B16" s="1649" t="s">
        <v>1822</v>
      </c>
      <c r="C16" s="1650" t="s">
        <v>1820</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1" t="s">
        <v>2096</v>
      </c>
      <c r="B17" s="1942" t="s">
        <v>2097</v>
      </c>
      <c r="C17" s="1943" t="s">
        <v>2098</v>
      </c>
      <c r="D17" s="1844">
        <v>112005</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87005</v>
      </c>
      <c r="H17" s="1647"/>
    </row>
    <row r="18" spans="1:8" x14ac:dyDescent="0.25">
      <c r="A18" s="1941" t="s">
        <v>2099</v>
      </c>
      <c r="B18" s="1942" t="s">
        <v>2100</v>
      </c>
      <c r="C18" s="1943" t="s">
        <v>2098</v>
      </c>
      <c r="D18" s="1844">
        <v>4089</v>
      </c>
      <c r="E18" s="1540">
        <f t="shared" ref="E18:E140" si="2">IF(D18&lt;=25000,D18,IF(D18&gt;25000,25000,0))</f>
        <v>4089</v>
      </c>
      <c r="F18" s="1932">
        <f t="shared" si="1"/>
        <v>4089</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116094</v>
      </c>
      <c r="E141" s="1541">
        <f t="shared" si="0"/>
        <v>25000</v>
      </c>
      <c r="F141" s="1933">
        <f>SUM(F17:F140)</f>
        <v>29089</v>
      </c>
      <c r="G141" s="1795">
        <f>SUM(G17:G140)</f>
        <v>87005</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view="pageLayout" colorId="8" zoomScaleNormal="110" workbookViewId="0">
      <selection activeCell="E8" sqref="E8"/>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6" t="s">
        <v>1679</v>
      </c>
      <c r="B5" s="2287"/>
      <c r="C5" s="2287"/>
      <c r="D5" s="2287"/>
      <c r="E5" s="2287"/>
      <c r="F5" s="2287"/>
      <c r="G5" s="2288"/>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1931</v>
      </c>
      <c r="B10" s="971"/>
      <c r="C10" s="976"/>
      <c r="D10" s="972"/>
      <c r="E10" s="973">
        <v>116461</v>
      </c>
      <c r="F10" s="974"/>
      <c r="G10" s="975"/>
      <c r="H10" s="162"/>
      <c r="I10" s="162"/>
    </row>
    <row r="11" spans="1:9" s="668" customFormat="1" ht="22.5" customHeight="1" x14ac:dyDescent="0.2">
      <c r="A11" s="2291" t="s">
        <v>1975</v>
      </c>
      <c r="B11" s="2292"/>
      <c r="C11" s="2292"/>
      <c r="D11" s="2293"/>
      <c r="E11" s="977">
        <v>6277</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949124</v>
      </c>
      <c r="F19" s="1799"/>
      <c r="G19" s="1801">
        <f>'Expenditures 15-22'!K33-SUM('Expenditures 15-22'!G33,'Expenditures 15-22'!I33)+'Expenditures 15-22'!D229</f>
        <v>949124</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153084</v>
      </c>
      <c r="F21" s="1802"/>
      <c r="G21" s="1805">
        <f>'Expenditures 15-22'!K42-SUM('Expenditures 15-22'!G42,'Expenditures 15-22'!I42)+'Expenditures 15-22'!K120-SUM('Expenditures 15-22'!G120,'Expenditures 15-22'!I120)+'Expenditures 15-22'!K180-SUM('Expenditures 15-22'!G180,'Expenditures 15-22'!I180)+'Expenditures 15-22'!D238</f>
        <v>153084</v>
      </c>
      <c r="H21" s="987"/>
      <c r="I21" s="162"/>
    </row>
    <row r="22" spans="1:9" s="668" customFormat="1" ht="12" customHeight="1" x14ac:dyDescent="0.2">
      <c r="A22" s="994" t="s">
        <v>564</v>
      </c>
      <c r="B22" s="995"/>
      <c r="C22" s="993">
        <v>2200</v>
      </c>
      <c r="D22" s="1802"/>
      <c r="E22" s="1804">
        <f>'Expenditures 15-22'!K47-SUM('Expenditures 15-22'!G47,'Expenditures 15-22'!I47)+'Expenditures 15-22'!D243</f>
        <v>139465</v>
      </c>
      <c r="F22" s="1802"/>
      <c r="G22" s="1805">
        <f>'Expenditures 15-22'!K47-SUM('Expenditures 15-22'!G47,'Expenditures 15-22'!I47)+'Expenditures 15-22'!D243</f>
        <v>139465</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296680</v>
      </c>
      <c r="F23" s="1802"/>
      <c r="G23" s="1804">
        <f>'Expenditures 15-22'!K53-SUM('Expenditures 15-22'!G53,'Expenditures 15-22'!I53)+'Expenditures 15-22'!D257+'Expenditures 15-22'!K330-SUM('Expenditures 15-22'!G330,'Expenditures 15-22'!I330)</f>
        <v>296680</v>
      </c>
      <c r="H23" s="987"/>
      <c r="I23" s="162"/>
    </row>
    <row r="24" spans="1:9" s="668" customFormat="1" ht="12" customHeight="1" x14ac:dyDescent="0.2">
      <c r="A24" s="994" t="s">
        <v>566</v>
      </c>
      <c r="B24" s="995"/>
      <c r="C24" s="993">
        <v>2400</v>
      </c>
      <c r="D24" s="1802"/>
      <c r="E24" s="1804">
        <f>'Expenditures 15-22'!K57-SUM('Expenditures 15-22'!G57,'Expenditures 15-22'!I57)+'Expenditures 15-22'!D261</f>
        <v>3525</v>
      </c>
      <c r="F24" s="1802"/>
      <c r="G24" s="1805">
        <f>'Expenditures 15-22'!K57-SUM('Expenditures 15-22'!G57,'Expenditures 15-22'!I57)+'Expenditures 15-22'!D261</f>
        <v>3525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134686</v>
      </c>
      <c r="E27" s="1804">
        <f>E8</f>
        <v>0</v>
      </c>
      <c r="F27" s="1804">
        <f>'Expenditures 15-22'!K60-SUM('Expenditures 15-22'!G60,'Expenditures 15-22'!I60)+'Expenditures 15-22'!D264-E8</f>
        <v>134686</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252361</v>
      </c>
      <c r="F28" s="1806">
        <f>'Expenditures 15-22'!K61-SUM('Expenditures 15-22'!G61,'Expenditures 15-22'!I61)+'Expenditures 15-22'!K124-SUM('Expenditures 15-22'!G124,'Expenditures 15-22'!I124)+'Expenditures 15-22'!D266-E9</f>
        <v>252361</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134754</v>
      </c>
      <c r="F29" s="1802"/>
      <c r="G29" s="1805">
        <f>'Expenditures 15-22'!K62-SUM('Expenditures 15-22'!G62,'Expenditures 15-22'!I62)+'Expenditures 15-22'!K125-SUM('Expenditures 15-22'!G125,'Expenditures 15-22'!I125)+'Expenditures 15-22'!K182-SUM('Expenditures 15-22'!G182,'Expenditures 15-22'!I182)+'Expenditures 15-22'!D267</f>
        <v>134754</v>
      </c>
      <c r="H29" s="985"/>
    </row>
    <row r="30" spans="1:9" ht="12" customHeight="1" x14ac:dyDescent="0.2">
      <c r="A30" s="994" t="s">
        <v>100</v>
      </c>
      <c r="B30" s="997"/>
      <c r="C30" s="993">
        <v>2560</v>
      </c>
      <c r="D30" s="1802"/>
      <c r="E30" s="1804">
        <f>'Expenditures 15-22'!K63-SUM('Expenditures 15-22'!G63,'Expenditures 15-22'!I63)+'Expenditures 15-22'!D268-E10</f>
        <v>53174</v>
      </c>
      <c r="F30" s="1802"/>
      <c r="G30" s="1804">
        <f>'Expenditures 15-22'!K63-SUM('Expenditures 15-22'!G63,'Expenditures 15-22'!I63)+'Expenditures 15-22'!D268-E10</f>
        <v>53174</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191372</v>
      </c>
      <c r="F33" s="1802"/>
      <c r="G33" s="1804">
        <f>'Expenditures 15-22'!K67-SUM('Expenditures 15-22'!G67,'Expenditures 15-22'!I67)+'Expenditures 15-22'!D272</f>
        <v>191372</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3599</v>
      </c>
      <c r="E36" s="1804">
        <f>E13</f>
        <v>0</v>
      </c>
      <c r="F36" s="1804">
        <f>'Expenditures 15-22'!K70-SUM('Expenditures 15-22'!G70,'Expenditures 15-22'!I70)+'Expenditures 15-22'!D275-E13</f>
        <v>3599</v>
      </c>
      <c r="G36" s="1804">
        <f>E13</f>
        <v>0</v>
      </c>
    </row>
    <row r="37" spans="1:7" ht="12" customHeight="1" x14ac:dyDescent="0.2">
      <c r="A37" s="994" t="s">
        <v>404</v>
      </c>
      <c r="B37" s="997"/>
      <c r="C37" s="993">
        <v>2660</v>
      </c>
      <c r="D37" s="1804">
        <f>'Expenditures 15-22'!K71-SUM('Expenditures 15-22'!G71,'Expenditures 15-22'!I71)+'Expenditures 15-22'!D276-E14</f>
        <v>32313</v>
      </c>
      <c r="E37" s="1804">
        <f>E14</f>
        <v>0</v>
      </c>
      <c r="F37" s="1804">
        <f>'Expenditures 15-22'!K71-SUM('Expenditures 15-22'!G71,'Expenditures 15-22'!I71)+'Expenditures 15-22'!D276-E14</f>
        <v>32313</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478</v>
      </c>
      <c r="F38" s="1802"/>
      <c r="G38" s="1804">
        <f>'Expenditures 15-22'!K73-SUM('Expenditures 15-22'!G73,'Expenditures 15-22'!I73)+'Expenditures 15-22'!K128-SUM('Expenditures 15-22'!G128,'Expenditures 15-22'!I128)+'Expenditures 15-22'!K183-SUM('Expenditures 15-22'!G183,'Expenditures 15-22'!I183)+'Expenditures 15-22'!D278</f>
        <v>478</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29680</v>
      </c>
      <c r="F39" s="1802"/>
      <c r="G39" s="1804">
        <f>'Expenditures 15-22'!K75-SUM('Expenditures 15-22'!G75,'Expenditures 15-22'!I75)+'Expenditures 15-22'!K130-SUM('Expenditures 15-22'!G130,'Expenditures 15-22'!I130)+'Expenditures 15-22'!K185-SUM('Expenditures 15-22'!G185,'Expenditures 15-22'!I185)+'Expenditures 15-22'!D280</f>
        <v>29680</v>
      </c>
    </row>
    <row r="40" spans="1:7" ht="12" customHeight="1" x14ac:dyDescent="0.2">
      <c r="A40" s="990" t="s">
        <v>1821</v>
      </c>
      <c r="B40" s="991"/>
      <c r="C40" s="993"/>
      <c r="D40" s="1802"/>
      <c r="E40" s="1806">
        <f>-'Contracts Paid in CY 29'!G141</f>
        <v>-87005</v>
      </c>
      <c r="F40" s="1802"/>
      <c r="G40" s="1806">
        <f>-'Contracts Paid in CY 29'!G141</f>
        <v>-87005</v>
      </c>
    </row>
    <row r="41" spans="1:7" ht="12" customHeight="1" x14ac:dyDescent="0.2">
      <c r="A41" s="998" t="s">
        <v>156</v>
      </c>
      <c r="B41" s="999"/>
      <c r="C41" s="1000"/>
      <c r="D41" s="1806">
        <f>SUM(D19:D39)</f>
        <v>170598</v>
      </c>
      <c r="E41" s="1806">
        <f>SUM(E19:E40)</f>
        <v>2116692</v>
      </c>
      <c r="F41" s="1806">
        <f>SUM(F19:F39)</f>
        <v>422959</v>
      </c>
      <c r="G41" s="1806">
        <f>SUM(G19:G40)</f>
        <v>1864331</v>
      </c>
    </row>
    <row r="42" spans="1:7" x14ac:dyDescent="0.2">
      <c r="A42" s="987"/>
      <c r="B42" s="162"/>
      <c r="C42" s="1001"/>
      <c r="D42" s="2289" t="s">
        <v>522</v>
      </c>
      <c r="E42" s="2290"/>
      <c r="F42" s="1002" t="s">
        <v>523</v>
      </c>
      <c r="G42" s="1003"/>
    </row>
    <row r="43" spans="1:7" ht="12" customHeight="1" x14ac:dyDescent="0.2">
      <c r="A43" s="987"/>
      <c r="B43" s="162"/>
      <c r="C43" s="1001"/>
      <c r="D43" s="1807" t="s">
        <v>473</v>
      </c>
      <c r="E43" s="1808">
        <f>D41</f>
        <v>170598</v>
      </c>
      <c r="F43" s="1807" t="s">
        <v>473</v>
      </c>
      <c r="G43" s="1808">
        <f>F41</f>
        <v>422959</v>
      </c>
    </row>
    <row r="44" spans="1:7" ht="12" customHeight="1" x14ac:dyDescent="0.2">
      <c r="A44" s="987"/>
      <c r="B44" s="162"/>
      <c r="C44" s="1001"/>
      <c r="D44" s="1807" t="s">
        <v>474</v>
      </c>
      <c r="E44" s="1808">
        <f>E41</f>
        <v>2116692</v>
      </c>
      <c r="F44" s="1807" t="s">
        <v>474</v>
      </c>
      <c r="G44" s="1808">
        <f>G41</f>
        <v>1864331</v>
      </c>
    </row>
    <row r="45" spans="1:7" ht="12" customHeight="1" x14ac:dyDescent="0.2">
      <c r="A45" s="987"/>
      <c r="B45" s="162"/>
      <c r="C45" s="162"/>
      <c r="D45" s="1809" t="s">
        <v>1006</v>
      </c>
      <c r="E45" s="1810">
        <f>(E43/E44)</f>
        <v>8.0596515695245216E-2</v>
      </c>
      <c r="F45" s="1809" t="s">
        <v>1006</v>
      </c>
      <c r="G45" s="1810">
        <f>(G43/G44)</f>
        <v>0.22686904846832456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view="pageLayout" zoomScaleNormal="110" workbookViewId="0">
      <selection sqref="A1:F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7" t="s">
        <v>1379</v>
      </c>
      <c r="B1" s="2297"/>
      <c r="C1" s="2297"/>
      <c r="D1" s="2297"/>
      <c r="E1" s="2297"/>
      <c r="F1" s="2297"/>
    </row>
    <row r="2" spans="1:10" x14ac:dyDescent="0.2">
      <c r="A2" s="1887" t="s">
        <v>1910</v>
      </c>
      <c r="B2" s="1848"/>
      <c r="C2" s="1887"/>
      <c r="D2" s="1848"/>
      <c r="E2" s="1848"/>
      <c r="F2" s="1849"/>
    </row>
    <row r="3" spans="1:10" x14ac:dyDescent="0.2">
      <c r="A3" s="1887" t="s">
        <v>1976</v>
      </c>
      <c r="B3" s="1848"/>
      <c r="C3" s="1887"/>
      <c r="D3" s="1848"/>
      <c r="E3" s="1848"/>
      <c r="F3" s="1849"/>
    </row>
    <row r="4" spans="1:10" ht="3.75" customHeight="1" x14ac:dyDescent="0.2">
      <c r="A4" s="1848"/>
      <c r="B4" s="1848"/>
      <c r="C4" s="1848"/>
      <c r="D4" s="1848"/>
      <c r="E4" s="1848"/>
      <c r="F4" s="1849"/>
    </row>
    <row r="5" spans="1:10" ht="15" x14ac:dyDescent="0.25">
      <c r="A5" s="2298" t="s">
        <v>1546</v>
      </c>
      <c r="B5" s="2299"/>
      <c r="C5" s="2300"/>
      <c r="D5" s="2300"/>
      <c r="E5" s="2300"/>
      <c r="F5" s="2300"/>
    </row>
    <row r="6" spans="1:10" ht="12" customHeight="1" x14ac:dyDescent="0.25">
      <c r="A6" s="1850"/>
      <c r="B6" s="1851"/>
      <c r="C6" s="2301" t="str">
        <f>COVER!A17</f>
        <v>Brooklyn UD 188</v>
      </c>
      <c r="D6" s="2301"/>
      <c r="E6" s="2301"/>
      <c r="F6" s="1852"/>
    </row>
    <row r="7" spans="1:10" ht="11.25" customHeight="1" thickBot="1" x14ac:dyDescent="0.3">
      <c r="A7" s="1850"/>
      <c r="B7" s="1851"/>
      <c r="C7" s="2302">
        <f>COVER!A13</f>
        <v>50082188022</v>
      </c>
      <c r="D7" s="2302"/>
      <c r="E7" s="2302"/>
      <c r="F7" s="1852"/>
    </row>
    <row r="8" spans="1:10" ht="25.5" customHeight="1" thickBot="1" x14ac:dyDescent="0.25">
      <c r="A8" s="1893" t="s">
        <v>1906</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2062</v>
      </c>
      <c r="D13" s="1865" t="s">
        <v>2062</v>
      </c>
      <c r="E13" s="1868" t="s">
        <v>2062</v>
      </c>
      <c r="F13" s="1867" t="s">
        <v>2084</v>
      </c>
      <c r="H13" s="1878">
        <f t="shared" si="0"/>
        <v>5</v>
      </c>
      <c r="I13" s="1878">
        <f t="shared" si="1"/>
        <v>5</v>
      </c>
      <c r="J13" s="1878">
        <f t="shared" si="2"/>
        <v>5</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t="s">
        <v>2062</v>
      </c>
      <c r="D20" s="1865" t="s">
        <v>2062</v>
      </c>
      <c r="E20" s="1868" t="s">
        <v>2062</v>
      </c>
      <c r="F20" s="1867" t="s">
        <v>2085</v>
      </c>
      <c r="H20" s="1878">
        <f t="shared" si="0"/>
        <v>5</v>
      </c>
      <c r="I20" s="1878">
        <f t="shared" si="1"/>
        <v>5</v>
      </c>
      <c r="J20" s="1878">
        <f t="shared" si="2"/>
        <v>5</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2062</v>
      </c>
      <c r="D26" s="1865" t="s">
        <v>2062</v>
      </c>
      <c r="E26" s="1868" t="s">
        <v>2062</v>
      </c>
      <c r="F26" s="1867" t="s">
        <v>2086</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2062</v>
      </c>
      <c r="D31" s="1865" t="s">
        <v>2062</v>
      </c>
      <c r="E31" s="1868" t="s">
        <v>2062</v>
      </c>
      <c r="F31" s="1867" t="s">
        <v>2087</v>
      </c>
      <c r="H31" s="1878">
        <f t="shared" si="0"/>
        <v>5</v>
      </c>
      <c r="I31" s="1878">
        <f t="shared" si="1"/>
        <v>5</v>
      </c>
      <c r="J31" s="1878">
        <f t="shared" si="2"/>
        <v>5</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20</v>
      </c>
      <c r="I34" s="1878">
        <f>SUM(I11:I32)</f>
        <v>20</v>
      </c>
      <c r="J34" s="1878">
        <f>SUM(J11:J32)</f>
        <v>20</v>
      </c>
      <c r="K34" s="1878">
        <f>SUM(H34:J34)</f>
        <v>60</v>
      </c>
    </row>
    <row r="35" spans="1:11" ht="12" customHeight="1" x14ac:dyDescent="0.2">
      <c r="A35" s="1871" t="s">
        <v>1392</v>
      </c>
      <c r="B35" s="1872"/>
      <c r="C35" s="2303"/>
      <c r="D35" s="2303"/>
      <c r="E35" s="2303"/>
      <c r="F35" s="2304"/>
    </row>
    <row r="36" spans="1:11" ht="12" customHeight="1" x14ac:dyDescent="0.2">
      <c r="A36" s="2294"/>
      <c r="B36" s="2295"/>
      <c r="C36" s="2295"/>
      <c r="D36" s="2295"/>
      <c r="E36" s="2295"/>
      <c r="F36" s="2296"/>
    </row>
    <row r="37" spans="1:11" ht="12" customHeight="1" x14ac:dyDescent="0.2">
      <c r="A37" s="2294"/>
      <c r="B37" s="2295"/>
      <c r="C37" s="2295"/>
      <c r="D37" s="2295"/>
      <c r="E37" s="2295"/>
      <c r="F37" s="2296"/>
    </row>
    <row r="38" spans="1:11" ht="12" customHeight="1" x14ac:dyDescent="0.2">
      <c r="A38" s="2308"/>
      <c r="B38" s="2309"/>
      <c r="C38" s="2309"/>
      <c r="D38" s="2309"/>
      <c r="E38" s="2309"/>
      <c r="F38" s="2310"/>
    </row>
    <row r="39" spans="1:11" ht="4.5" hidden="1" customHeight="1" x14ac:dyDescent="0.2">
      <c r="A39" s="1873"/>
      <c r="B39" s="1873"/>
      <c r="C39" s="1873"/>
      <c r="D39" s="1873"/>
      <c r="E39" s="1873"/>
      <c r="F39" s="1873"/>
    </row>
    <row r="40" spans="1:11" s="1870" customFormat="1" ht="12" customHeight="1" x14ac:dyDescent="0.25">
      <c r="A40" s="1874" t="s">
        <v>1391</v>
      </c>
      <c r="B40" s="1875"/>
      <c r="C40" s="2311"/>
      <c r="D40" s="2311"/>
      <c r="E40" s="2311"/>
      <c r="F40" s="2312"/>
      <c r="H40" s="1879"/>
      <c r="I40" s="1879"/>
      <c r="J40" s="1879"/>
      <c r="K40" s="1879"/>
    </row>
    <row r="41" spans="1:11" s="1870" customFormat="1" ht="12" customHeight="1" x14ac:dyDescent="0.25">
      <c r="A41" s="2313"/>
      <c r="B41" s="2314"/>
      <c r="C41" s="2314"/>
      <c r="D41" s="2314"/>
      <c r="E41" s="2314"/>
      <c r="F41" s="2315"/>
      <c r="H41" s="1879"/>
      <c r="I41" s="1879"/>
      <c r="J41" s="1879"/>
      <c r="K41" s="1879"/>
    </row>
    <row r="42" spans="1:11" s="1870" customFormat="1" ht="12" customHeight="1" x14ac:dyDescent="0.25">
      <c r="A42" s="2313"/>
      <c r="B42" s="2314"/>
      <c r="C42" s="2314"/>
      <c r="D42" s="2314"/>
      <c r="E42" s="2314"/>
      <c r="F42" s="2315"/>
      <c r="H42" s="1879"/>
      <c r="I42" s="1879"/>
      <c r="J42" s="1879"/>
      <c r="K42" s="1879"/>
    </row>
    <row r="43" spans="1:11" s="1870" customFormat="1" ht="15" x14ac:dyDescent="0.25">
      <c r="A43" s="2305"/>
      <c r="B43" s="2306"/>
      <c r="C43" s="2306"/>
      <c r="D43" s="2306"/>
      <c r="E43" s="2306"/>
      <c r="F43" s="2307"/>
      <c r="H43" s="1879"/>
      <c r="I43" s="1879"/>
      <c r="J43" s="1879"/>
      <c r="K43" s="1879"/>
    </row>
    <row r="44" spans="1:11" s="1870" customFormat="1" ht="12" hidden="1" customHeight="1" x14ac:dyDescent="0.25">
      <c r="A44" s="2305"/>
      <c r="B44" s="2306"/>
      <c r="C44" s="2306"/>
      <c r="D44" s="2306"/>
      <c r="E44" s="2306"/>
      <c r="F44" s="2307"/>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view="pageLayout" colorId="8" zoomScaleNormal="110" workbookViewId="0"/>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1" t="str">
        <f>COVER!A17</f>
        <v>Brooklyn UD 188</v>
      </c>
      <c r="J6" s="2322"/>
      <c r="Q6" s="1664"/>
    </row>
    <row r="7" spans="1:17" x14ac:dyDescent="0.2">
      <c r="A7" s="2323" t="s">
        <v>869</v>
      </c>
      <c r="B7" s="2324"/>
      <c r="C7" s="2324"/>
      <c r="D7" s="2324"/>
      <c r="E7" s="2325"/>
      <c r="F7" s="1017"/>
      <c r="G7" s="1009"/>
      <c r="H7" s="1016" t="s">
        <v>372</v>
      </c>
      <c r="I7" s="2326">
        <f>COVER!A13</f>
        <v>50082188022</v>
      </c>
      <c r="J7" s="2326"/>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1977</v>
      </c>
      <c r="F9" s="1023"/>
      <c r="G9" s="1023"/>
      <c r="H9" s="1896"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7" t="s">
        <v>481</v>
      </c>
      <c r="B11" s="2328"/>
      <c r="C11" s="2329"/>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138184</v>
      </c>
      <c r="F12" s="1039"/>
      <c r="G12" s="1811">
        <f t="shared" ref="G12:G18" si="0">SUM(E12:F12)</f>
        <v>138184</v>
      </c>
      <c r="H12" s="1040">
        <v>142882</v>
      </c>
      <c r="I12" s="1039"/>
      <c r="J12" s="1811">
        <f t="shared" ref="J12:J18" si="1">SUM(H12:I12)</f>
        <v>142882</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191372</v>
      </c>
      <c r="F17" s="1039"/>
      <c r="G17" s="1811">
        <f t="shared" si="0"/>
        <v>191372</v>
      </c>
      <c r="H17" s="1040">
        <v>85000</v>
      </c>
      <c r="I17" s="1039"/>
      <c r="J17" s="1811">
        <f t="shared" si="1"/>
        <v>85000</v>
      </c>
    </row>
    <row r="18" spans="1:10" ht="22.5" customHeight="1" x14ac:dyDescent="0.2">
      <c r="A18" s="1042">
        <v>7</v>
      </c>
      <c r="B18" s="2330" t="s">
        <v>7</v>
      </c>
      <c r="C18" s="2331"/>
      <c r="D18" s="2332"/>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329556</v>
      </c>
      <c r="F19" s="1813">
        <f t="shared" si="2"/>
        <v>0</v>
      </c>
      <c r="G19" s="1813">
        <f t="shared" si="2"/>
        <v>329556</v>
      </c>
      <c r="H19" s="1813">
        <f t="shared" si="2"/>
        <v>227882</v>
      </c>
      <c r="I19" s="1813">
        <f t="shared" si="2"/>
        <v>0</v>
      </c>
      <c r="J19" s="1813">
        <f t="shared" si="2"/>
        <v>227882</v>
      </c>
    </row>
    <row r="20" spans="1:10" ht="13.5" thickTop="1" x14ac:dyDescent="0.2">
      <c r="A20" s="1035">
        <v>9</v>
      </c>
      <c r="B20" s="2333" t="s">
        <v>1979</v>
      </c>
      <c r="C20" s="2333"/>
      <c r="D20" s="2334"/>
      <c r="E20" s="1046"/>
      <c r="F20" s="1046"/>
      <c r="G20" s="1046"/>
      <c r="H20" s="1046"/>
      <c r="I20" s="1046"/>
      <c r="J20" s="1814">
        <f>IF(AND(G19&gt;0,J19&gt;0),(((J19-G19)/G19)),"Enter Budget Data")</f>
        <v>-0.30851812741992257</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39"/>
      <c r="D26" s="2339"/>
      <c r="E26" s="1050"/>
      <c r="F26" s="2338"/>
      <c r="G26" s="2338"/>
    </row>
    <row r="27" spans="1:10" x14ac:dyDescent="0.2">
      <c r="B27" s="1047"/>
      <c r="C27" s="1051" t="s">
        <v>1033</v>
      </c>
      <c r="D27" s="1052"/>
      <c r="E27" s="1053"/>
      <c r="F27" s="2335" t="s">
        <v>1509</v>
      </c>
      <c r="G27" s="2335"/>
    </row>
    <row r="28" spans="1:10" ht="28.5" customHeight="1" x14ac:dyDescent="0.2">
      <c r="B28" s="1047"/>
      <c r="C28" s="2337"/>
      <c r="D28" s="2337"/>
      <c r="E28" s="1054"/>
      <c r="F28" s="2337"/>
      <c r="G28" s="2337"/>
    </row>
    <row r="29" spans="1:10" x14ac:dyDescent="0.2">
      <c r="B29" s="1047"/>
      <c r="C29" s="1055" t="s">
        <v>1561</v>
      </c>
      <c r="E29" s="1056"/>
      <c r="F29" s="2336" t="s">
        <v>1510</v>
      </c>
      <c r="G29" s="2336"/>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8" t="s">
        <v>132</v>
      </c>
      <c r="D33" s="2319"/>
      <c r="E33" s="2319"/>
      <c r="F33" s="2319"/>
      <c r="G33" s="2319"/>
      <c r="H33" s="2319"/>
      <c r="I33" s="2319"/>
    </row>
    <row r="34" spans="1:10" ht="10.35" customHeight="1" x14ac:dyDescent="0.2">
      <c r="C34" s="2319"/>
      <c r="D34" s="2319"/>
      <c r="E34" s="2319"/>
      <c r="F34" s="2319"/>
      <c r="G34" s="2319"/>
      <c r="H34" s="2319"/>
      <c r="I34" s="2319"/>
    </row>
    <row r="35" spans="1:10" ht="7.5" customHeight="1" x14ac:dyDescent="0.2">
      <c r="C35" s="1062"/>
    </row>
    <row r="36" spans="1:10" ht="13.5" customHeight="1" x14ac:dyDescent="0.2">
      <c r="B36" s="1061"/>
      <c r="C36" s="2320" t="s">
        <v>1981</v>
      </c>
      <c r="D36" s="2319"/>
      <c r="E36" s="2319"/>
      <c r="F36" s="2319"/>
      <c r="G36" s="2319"/>
      <c r="H36" s="2319"/>
      <c r="I36" s="2319"/>
      <c r="J36" s="1063"/>
    </row>
    <row r="37" spans="1:10" ht="22.5" customHeight="1" x14ac:dyDescent="0.2">
      <c r="C37" s="2319"/>
      <c r="D37" s="2319"/>
      <c r="E37" s="2319"/>
      <c r="F37" s="2319"/>
      <c r="G37" s="2319"/>
      <c r="H37" s="2319"/>
      <c r="I37" s="2319"/>
      <c r="J37" s="1063"/>
    </row>
    <row r="38" spans="1:10" ht="7.5" customHeight="1" x14ac:dyDescent="0.2">
      <c r="C38" s="1062"/>
      <c r="D38" s="1064"/>
      <c r="E38" s="1065"/>
      <c r="F38" s="1066"/>
      <c r="G38" s="1065"/>
    </row>
    <row r="39" spans="1:10" ht="13.5" customHeight="1" x14ac:dyDescent="0.2">
      <c r="B39" s="1061"/>
      <c r="C39" s="2316" t="s">
        <v>882</v>
      </c>
      <c r="D39" s="2317"/>
      <c r="E39" s="2317"/>
      <c r="F39" s="2317"/>
      <c r="G39" s="2317"/>
      <c r="H39" s="2317"/>
      <c r="I39" s="2317"/>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zoomScale="110" zoomScaleNormal="110" workbookViewId="0">
      <selection activeCell="H12" sqref="H12"/>
    </sheetView>
  </sheetViews>
  <sheetFormatPr defaultColWidth="9.140625" defaultRowHeight="12.75" x14ac:dyDescent="0.2"/>
  <cols>
    <col min="1" max="1" width="3" style="329" customWidth="1"/>
    <col min="2" max="2" width="12.7109375" style="329" customWidth="1"/>
    <col min="3" max="3" width="2.42578125" style="329" customWidth="1"/>
    <col min="4" max="4" width="11.28515625" style="329" customWidth="1"/>
    <col min="5" max="5" width="2.42578125" style="329" customWidth="1"/>
    <col min="6" max="6" width="20.28515625" style="329" customWidth="1"/>
    <col min="7" max="7" width="2.42578125" style="329" customWidth="1"/>
    <col min="8" max="8" width="36.140625" style="329" customWidth="1"/>
    <col min="9" max="9" width="2.42578125" style="329" customWidth="1"/>
    <col min="10" max="10" width="11" style="329" bestFit="1" customWidth="1"/>
    <col min="11" max="16384" width="9.140625" style="329"/>
  </cols>
  <sheetData>
    <row r="2" spans="1:10" x14ac:dyDescent="0.2">
      <c r="A2" s="389" t="s">
        <v>258</v>
      </c>
    </row>
    <row r="3" spans="1:10" x14ac:dyDescent="0.2">
      <c r="A3" s="329" t="s">
        <v>259</v>
      </c>
    </row>
    <row r="5" spans="1:10" x14ac:dyDescent="0.2">
      <c r="A5" s="1068"/>
      <c r="B5" s="1938" t="s">
        <v>2088</v>
      </c>
      <c r="D5" s="1938" t="s">
        <v>2089</v>
      </c>
      <c r="F5" s="1938" t="s">
        <v>1077</v>
      </c>
      <c r="H5" s="1938" t="s">
        <v>481</v>
      </c>
      <c r="J5" s="1938" t="s">
        <v>865</v>
      </c>
    </row>
    <row r="6" spans="1:10" x14ac:dyDescent="0.2">
      <c r="A6" s="1068"/>
      <c r="B6" s="1937">
        <v>15</v>
      </c>
      <c r="C6" s="1937"/>
      <c r="D6" s="1937">
        <v>1790</v>
      </c>
      <c r="E6" s="1937"/>
      <c r="F6" s="1937" t="s">
        <v>1155</v>
      </c>
      <c r="G6" s="1937"/>
      <c r="H6" s="1937" t="s">
        <v>2090</v>
      </c>
      <c r="I6" s="1937"/>
      <c r="J6" s="1939">
        <v>23811</v>
      </c>
    </row>
    <row r="7" spans="1:10" x14ac:dyDescent="0.2">
      <c r="A7" s="1068"/>
      <c r="B7" s="1937"/>
      <c r="C7" s="1937"/>
      <c r="D7" s="1937"/>
      <c r="E7" s="1937"/>
      <c r="F7" s="1937"/>
      <c r="G7" s="1937"/>
      <c r="H7" s="1937"/>
      <c r="I7" s="1937"/>
      <c r="J7" s="1939"/>
    </row>
    <row r="8" spans="1:10" x14ac:dyDescent="0.2">
      <c r="A8" s="1068"/>
      <c r="B8" s="1937">
        <v>16</v>
      </c>
      <c r="C8" s="1937"/>
      <c r="D8" s="1937">
        <v>1999</v>
      </c>
      <c r="E8" s="1937"/>
      <c r="F8" s="1937" t="s">
        <v>1155</v>
      </c>
      <c r="G8" s="1937"/>
      <c r="H8" s="1937" t="s">
        <v>2147</v>
      </c>
      <c r="I8" s="1937"/>
      <c r="J8" s="1939">
        <v>9558</v>
      </c>
    </row>
    <row r="9" spans="1:10" x14ac:dyDescent="0.2">
      <c r="A9" s="1069"/>
      <c r="B9" s="1937"/>
      <c r="C9" s="1937"/>
      <c r="D9" s="1937"/>
      <c r="E9" s="1937"/>
      <c r="F9" s="1937"/>
      <c r="G9" s="1937"/>
      <c r="H9" s="1937"/>
      <c r="I9" s="1937"/>
      <c r="J9" s="1939"/>
    </row>
    <row r="10" spans="1:10" x14ac:dyDescent="0.2">
      <c r="A10" s="1069"/>
      <c r="B10" s="1937">
        <v>17</v>
      </c>
      <c r="C10" s="1937"/>
      <c r="D10" s="1937">
        <v>3999</v>
      </c>
      <c r="E10" s="1937"/>
      <c r="F10" s="1937" t="s">
        <v>1155</v>
      </c>
      <c r="G10" s="1937"/>
      <c r="H10" s="1937" t="s">
        <v>2148</v>
      </c>
      <c r="I10" s="1937"/>
      <c r="J10" s="1939">
        <v>20020</v>
      </c>
    </row>
    <row r="11" spans="1:10" x14ac:dyDescent="0.2">
      <c r="A11" s="1069"/>
      <c r="B11" s="1937"/>
      <c r="C11" s="1937"/>
      <c r="D11" s="1937"/>
      <c r="E11" s="1937"/>
      <c r="F11" s="1937"/>
      <c r="G11" s="1937"/>
      <c r="H11" s="1937" t="s">
        <v>2151</v>
      </c>
      <c r="I11" s="1937"/>
      <c r="J11" s="1944">
        <v>-2767</v>
      </c>
    </row>
    <row r="12" spans="1:10" x14ac:dyDescent="0.2">
      <c r="A12" s="1069"/>
      <c r="B12" s="1937"/>
      <c r="C12" s="1937"/>
      <c r="D12" s="1937"/>
      <c r="E12" s="1937"/>
      <c r="F12" s="1937"/>
      <c r="G12" s="1937"/>
      <c r="H12" s="1937"/>
      <c r="I12" s="1937"/>
      <c r="J12" s="1939">
        <f>+J10+J11</f>
        <v>17253</v>
      </c>
    </row>
    <row r="13" spans="1:10" x14ac:dyDescent="0.2">
      <c r="A13" s="1069"/>
      <c r="B13" s="1937"/>
      <c r="C13" s="1937"/>
      <c r="D13" s="1937"/>
      <c r="E13" s="1937"/>
      <c r="F13" s="1937"/>
      <c r="G13" s="1937"/>
      <c r="H13" s="1937"/>
      <c r="I13" s="1937"/>
      <c r="J13" s="1939"/>
    </row>
    <row r="14" spans="1:10" x14ac:dyDescent="0.2">
      <c r="A14" s="1069"/>
      <c r="B14" s="1937">
        <v>18</v>
      </c>
      <c r="C14" s="1937"/>
      <c r="D14" s="1937">
        <v>4399</v>
      </c>
      <c r="E14" s="1937"/>
      <c r="F14" s="1937" t="s">
        <v>1155</v>
      </c>
      <c r="G14" s="1937"/>
      <c r="H14" s="1937" t="s">
        <v>2149</v>
      </c>
      <c r="I14" s="1937"/>
      <c r="J14" s="1939">
        <v>387500</v>
      </c>
    </row>
    <row r="15" spans="1:10" x14ac:dyDescent="0.2">
      <c r="A15" s="1069"/>
      <c r="B15" s="1937"/>
      <c r="C15" s="1937"/>
      <c r="D15" s="1937"/>
      <c r="E15" s="1937"/>
      <c r="F15" s="1937"/>
      <c r="G15" s="1937"/>
      <c r="H15" s="1937"/>
      <c r="I15" s="1937"/>
      <c r="J15" s="1939"/>
    </row>
    <row r="16" spans="1:10" x14ac:dyDescent="0.2">
      <c r="A16" s="1069"/>
      <c r="B16" s="1937">
        <v>21</v>
      </c>
      <c r="C16" s="1937"/>
      <c r="D16" s="1937">
        <v>2900</v>
      </c>
      <c r="E16" s="1937"/>
      <c r="F16" s="1937" t="s">
        <v>1155</v>
      </c>
      <c r="G16" s="1937"/>
      <c r="H16" s="1937" t="s">
        <v>2150</v>
      </c>
      <c r="I16" s="1937"/>
      <c r="J16" s="1939">
        <v>478</v>
      </c>
    </row>
    <row r="17" spans="1:10" x14ac:dyDescent="0.2">
      <c r="A17" s="1069"/>
      <c r="B17" s="1937"/>
      <c r="C17" s="1937"/>
      <c r="D17" s="1937"/>
      <c r="E17" s="1937"/>
      <c r="F17" s="1937"/>
      <c r="G17" s="1937"/>
      <c r="H17" s="1937"/>
      <c r="I17" s="1937"/>
      <c r="J17" s="1939"/>
    </row>
    <row r="18" spans="1:10" x14ac:dyDescent="0.2">
      <c r="A18" s="1069"/>
      <c r="B18" s="1937">
        <v>23</v>
      </c>
      <c r="C18" s="1937"/>
      <c r="D18" s="1937">
        <v>5400</v>
      </c>
      <c r="E18" s="1937"/>
      <c r="F18" s="1937" t="s">
        <v>450</v>
      </c>
      <c r="G18" s="1937"/>
      <c r="H18" s="1937" t="s">
        <v>2095</v>
      </c>
      <c r="I18" s="1937"/>
      <c r="J18" s="1939">
        <v>1666</v>
      </c>
    </row>
    <row r="19" spans="1:10" x14ac:dyDescent="0.2">
      <c r="A19" s="1069"/>
      <c r="B19" s="1937"/>
      <c r="C19" s="1937"/>
      <c r="D19" s="1937"/>
      <c r="E19" s="1937"/>
      <c r="F19" s="1937"/>
      <c r="G19" s="1937"/>
      <c r="H19" s="1937"/>
      <c r="I19" s="1937"/>
      <c r="J19" s="1939"/>
    </row>
    <row r="20" spans="1:10" x14ac:dyDescent="0.2">
      <c r="A20" s="1069"/>
      <c r="B20" s="1937"/>
      <c r="C20" s="1937"/>
      <c r="D20" s="1937"/>
      <c r="E20" s="1937"/>
      <c r="F20" s="1937"/>
      <c r="G20" s="1937"/>
      <c r="H20" s="1937"/>
      <c r="I20" s="1937"/>
      <c r="J20" s="1939"/>
    </row>
    <row r="21" spans="1:10" x14ac:dyDescent="0.2">
      <c r="A21" s="1069"/>
      <c r="B21" s="1937"/>
      <c r="C21" s="1937"/>
      <c r="D21" s="1937"/>
      <c r="E21" s="1937"/>
      <c r="F21" s="1937"/>
      <c r="G21" s="1937"/>
      <c r="H21" s="1937"/>
      <c r="I21" s="1937"/>
      <c r="J21" s="1939"/>
    </row>
    <row r="22" spans="1:10" x14ac:dyDescent="0.2">
      <c r="A22" s="1069"/>
      <c r="B22" s="1937"/>
      <c r="C22" s="1937"/>
      <c r="D22" s="1937"/>
      <c r="E22" s="1937"/>
      <c r="F22" s="1937"/>
      <c r="G22" s="1937"/>
      <c r="H22" s="1937"/>
      <c r="I22" s="1937"/>
      <c r="J22" s="1939"/>
    </row>
    <row r="23" spans="1:10" x14ac:dyDescent="0.2">
      <c r="A23" s="1069"/>
      <c r="B23" s="1937"/>
      <c r="C23" s="1937"/>
      <c r="D23" s="1937"/>
      <c r="E23" s="1937"/>
      <c r="F23" s="1937"/>
      <c r="G23" s="1937"/>
      <c r="H23" s="1937"/>
      <c r="I23" s="1937"/>
      <c r="J23" s="1939"/>
    </row>
    <row r="24" spans="1:10" x14ac:dyDescent="0.2">
      <c r="A24" s="1069"/>
      <c r="B24" s="1937"/>
      <c r="C24" s="1937"/>
      <c r="D24" s="1937"/>
      <c r="E24" s="1937"/>
      <c r="F24" s="1937"/>
      <c r="G24" s="1937"/>
      <c r="H24" s="1937"/>
      <c r="I24" s="1937"/>
      <c r="J24" s="1939"/>
    </row>
    <row r="25" spans="1:10" x14ac:dyDescent="0.2">
      <c r="A25" s="1069"/>
      <c r="B25" s="1937"/>
      <c r="C25" s="1937"/>
      <c r="D25" s="1937"/>
      <c r="E25" s="1937"/>
      <c r="F25" s="1937"/>
      <c r="G25" s="1937"/>
      <c r="H25" s="1937"/>
      <c r="I25" s="1937"/>
      <c r="J25" s="1939"/>
    </row>
    <row r="26" spans="1:10" x14ac:dyDescent="0.2">
      <c r="A26" s="1069"/>
      <c r="B26" s="1937"/>
      <c r="C26" s="1937"/>
      <c r="D26" s="1937"/>
      <c r="E26" s="1937"/>
      <c r="F26" s="1937"/>
      <c r="G26" s="1937"/>
      <c r="H26" s="1937"/>
      <c r="I26" s="1937"/>
      <c r="J26" s="1939"/>
    </row>
    <row r="27" spans="1:10" x14ac:dyDescent="0.2">
      <c r="A27" s="1069"/>
      <c r="B27" s="1937"/>
      <c r="C27" s="1937"/>
      <c r="D27" s="1937"/>
      <c r="E27" s="1937"/>
      <c r="F27" s="1937"/>
      <c r="G27" s="1937"/>
      <c r="H27" s="1937"/>
      <c r="I27" s="1937"/>
      <c r="J27" s="1939"/>
    </row>
    <row r="28" spans="1:10" x14ac:dyDescent="0.2">
      <c r="A28" s="1069"/>
      <c r="B28" s="1937"/>
      <c r="C28" s="1937"/>
      <c r="D28" s="1937"/>
      <c r="E28" s="1937"/>
      <c r="F28" s="1937"/>
      <c r="G28" s="1937"/>
      <c r="H28" s="1937"/>
      <c r="I28" s="1937"/>
      <c r="J28" s="1939"/>
    </row>
    <row r="29" spans="1:10" x14ac:dyDescent="0.2">
      <c r="A29" s="1069"/>
      <c r="J29" s="1940"/>
    </row>
    <row r="30" spans="1:10" x14ac:dyDescent="0.2">
      <c r="A30" s="1069"/>
      <c r="J30" s="1940"/>
    </row>
    <row r="31" spans="1:10" x14ac:dyDescent="0.2">
      <c r="A31" s="1069"/>
      <c r="J31" s="1940"/>
    </row>
    <row r="32" spans="1:10" x14ac:dyDescent="0.2">
      <c r="A32" s="1069"/>
      <c r="J32" s="1940"/>
    </row>
    <row r="33" spans="1:10" x14ac:dyDescent="0.2">
      <c r="A33" s="1069"/>
      <c r="J33" s="1940"/>
    </row>
    <row r="34" spans="1:10" x14ac:dyDescent="0.2">
      <c r="A34" s="1069"/>
      <c r="J34" s="1940"/>
    </row>
    <row r="35" spans="1:10" x14ac:dyDescent="0.2">
      <c r="A35" s="1069"/>
    </row>
    <row r="36" spans="1:10" x14ac:dyDescent="0.2">
      <c r="A36" s="1069"/>
    </row>
    <row r="37" spans="1:10" x14ac:dyDescent="0.2">
      <c r="A37" s="1069"/>
    </row>
    <row r="38" spans="1:10" x14ac:dyDescent="0.2">
      <c r="A38" s="1069"/>
    </row>
    <row r="39" spans="1:10" x14ac:dyDescent="0.2">
      <c r="A39" s="1069"/>
    </row>
    <row r="40" spans="1:10" x14ac:dyDescent="0.2">
      <c r="A40" s="1069"/>
    </row>
    <row r="41" spans="1:10" x14ac:dyDescent="0.2">
      <c r="A41" s="1069"/>
    </row>
    <row r="42" spans="1:10" x14ac:dyDescent="0.2">
      <c r="A42" s="1069"/>
    </row>
    <row r="43" spans="1:10" x14ac:dyDescent="0.2">
      <c r="A43" s="1069"/>
    </row>
    <row r="44" spans="1:10" x14ac:dyDescent="0.2">
      <c r="A44" s="1069"/>
    </row>
    <row r="45" spans="1:10" x14ac:dyDescent="0.2">
      <c r="A45" s="1069"/>
    </row>
    <row r="46" spans="1:10" x14ac:dyDescent="0.2">
      <c r="A46" s="1069"/>
    </row>
    <row r="47" spans="1:10" x14ac:dyDescent="0.2">
      <c r="A47" s="1069"/>
    </row>
    <row r="48" spans="1:10"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Brooklyn UD 188</v>
      </c>
    </row>
    <row r="65" spans="2:2" x14ac:dyDescent="0.2">
      <c r="B65" s="1070">
        <f>COVER!A13</f>
        <v>50082188022</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0" t="s">
        <v>1685</v>
      </c>
      <c r="B18" s="234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1028700</xdr:colOff>
                <xdr:row>4</xdr:row>
                <xdr:rowOff>38100</xdr:rowOff>
              </from>
              <to>
                <xdr:col>1</xdr:col>
                <xdr:colOff>1943100</xdr:colOff>
                <xdr:row>8</xdr:row>
                <xdr:rowOff>76200</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zoomScaleNormal="110" workbookViewId="0">
      <selection activeCell="D22" sqref="D2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1" t="s">
        <v>1690</v>
      </c>
      <c r="B1" s="2342"/>
      <c r="C1" s="2342"/>
      <c r="D1" s="2342"/>
      <c r="E1" s="2342"/>
      <c r="F1" s="2343"/>
    </row>
    <row r="2" spans="1:8" ht="45" customHeight="1" x14ac:dyDescent="0.2">
      <c r="A2" s="2351" t="s">
        <v>1985</v>
      </c>
      <c r="B2" s="2352"/>
      <c r="C2" s="2352"/>
      <c r="D2" s="2352"/>
      <c r="E2" s="2352"/>
      <c r="F2" s="2353"/>
      <c r="G2" s="1074"/>
      <c r="H2" s="1074"/>
    </row>
    <row r="3" spans="1:8" ht="57" customHeight="1" x14ac:dyDescent="0.2">
      <c r="A3" s="2354" t="s">
        <v>1686</v>
      </c>
      <c r="B3" s="2355"/>
      <c r="C3" s="2355"/>
      <c r="D3" s="2355"/>
      <c r="E3" s="2355"/>
      <c r="F3" s="2356"/>
      <c r="G3" s="1074"/>
      <c r="H3" s="1074"/>
    </row>
    <row r="4" spans="1:8" ht="14.25" customHeight="1" x14ac:dyDescent="0.2">
      <c r="A4" s="2360" t="s">
        <v>1986</v>
      </c>
      <c r="B4" s="2361"/>
      <c r="C4" s="2361"/>
      <c r="D4" s="2361"/>
      <c r="E4" s="2361"/>
      <c r="F4" s="2362"/>
      <c r="G4" s="1074"/>
      <c r="H4" s="1074"/>
    </row>
    <row r="5" spans="1:8" ht="14.25" customHeight="1" x14ac:dyDescent="0.2">
      <c r="A5" s="2363" t="s">
        <v>1982</v>
      </c>
      <c r="B5" s="2364"/>
      <c r="C5" s="2364"/>
      <c r="D5" s="2364"/>
      <c r="E5" s="2364"/>
      <c r="F5" s="2365"/>
      <c r="G5" s="1074"/>
      <c r="H5" s="1074"/>
    </row>
    <row r="6" spans="1:8" s="1075" customFormat="1" ht="41.25" customHeight="1" x14ac:dyDescent="0.2">
      <c r="A6" s="2357" t="s">
        <v>1691</v>
      </c>
      <c r="B6" s="2358"/>
      <c r="C6" s="2358"/>
      <c r="D6" s="2358"/>
      <c r="E6" s="2358"/>
      <c r="F6" s="2359"/>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1929486</v>
      </c>
      <c r="C8" s="1815">
        <f>'Acct Summary 7-8'!D8</f>
        <v>297161</v>
      </c>
      <c r="D8" s="1815">
        <f>'Acct Summary 7-8'!F8</f>
        <v>112440</v>
      </c>
      <c r="E8" s="1815">
        <f>'Acct Summary 7-8'!I8</f>
        <v>2033</v>
      </c>
      <c r="F8" s="1815">
        <f>SUM(B8:E8)</f>
        <v>2341120</v>
      </c>
    </row>
    <row r="9" spans="1:8" s="1079" customFormat="1" ht="14.25" customHeight="1" thickBot="1" x14ac:dyDescent="0.25">
      <c r="A9" s="1078" t="s">
        <v>1369</v>
      </c>
      <c r="B9" s="1816">
        <f>'Acct Summary 7-8'!C17</f>
        <v>2064771</v>
      </c>
      <c r="C9" s="1816">
        <f>'Acct Summary 7-8'!D17</f>
        <v>278725</v>
      </c>
      <c r="D9" s="1816">
        <f>'Acct Summary 7-8'!F17</f>
        <v>114611</v>
      </c>
      <c r="E9" s="1815"/>
      <c r="F9" s="1815">
        <f>SUM(B9:E9)</f>
        <v>2458107</v>
      </c>
    </row>
    <row r="10" spans="1:8" s="1079" customFormat="1" ht="14.25" thickTop="1" thickBot="1" x14ac:dyDescent="0.25">
      <c r="A10" s="1080" t="s">
        <v>1370</v>
      </c>
      <c r="B10" s="1817">
        <f>(B8-B9)</f>
        <v>-135285</v>
      </c>
      <c r="C10" s="1817">
        <f>(C8-C9)</f>
        <v>18436</v>
      </c>
      <c r="D10" s="1817">
        <f>(D8-D9)</f>
        <v>-2171</v>
      </c>
      <c r="E10" s="1816">
        <f>(E8-E9)</f>
        <v>2033</v>
      </c>
      <c r="F10" s="1818">
        <f>SUM(F8-F9)</f>
        <v>-116987</v>
      </c>
    </row>
    <row r="11" spans="1:8" s="1079" customFormat="1" ht="14.25" thickTop="1" thickBot="1" x14ac:dyDescent="0.25">
      <c r="A11" s="1081" t="s">
        <v>1983</v>
      </c>
      <c r="B11" s="1819">
        <f>'Acct Summary 7-8'!C81</f>
        <v>574671</v>
      </c>
      <c r="C11" s="1819">
        <f>'Acct Summary 7-8'!D81</f>
        <v>26627</v>
      </c>
      <c r="D11" s="1819">
        <f>'Acct Summary 7-8'!F81</f>
        <v>13959</v>
      </c>
      <c r="E11" s="1819">
        <f>'Acct Summary 7-8'!I81</f>
        <v>16496</v>
      </c>
      <c r="F11" s="1820">
        <f>SUM(B11:E11)</f>
        <v>631753</v>
      </c>
    </row>
    <row r="12" spans="1:8" ht="16.5" customHeight="1" thickTop="1" x14ac:dyDescent="0.2">
      <c r="A12" s="1082"/>
      <c r="B12" s="1083"/>
      <c r="C12" s="2345" t="str">
        <f>IF(AND(F10&lt;0,F11&gt;=0,ABS(F10*3)&gt;ABS(F11)),A16,IF(AND(F10&lt;0,F11&gt;0,ABS(F10*3)&lt;=ABS(F11)),A17,IF(AND(F10&lt;0,F11&lt;0),A16,IF(F11=0,A19,A18))))</f>
        <v>Unbalanced -  however, a deficit reduction plan is not required at this time.</v>
      </c>
      <c r="D12" s="2346"/>
      <c r="E12" s="2346"/>
      <c r="F12" s="2347"/>
    </row>
    <row r="13" spans="1:8" ht="19.5" customHeight="1" x14ac:dyDescent="0.2">
      <c r="A13" s="1084"/>
      <c r="B13" s="1085"/>
      <c r="C13" s="2345"/>
      <c r="D13" s="2346"/>
      <c r="E13" s="2346"/>
      <c r="F13" s="2347"/>
      <c r="H13" s="1074"/>
    </row>
    <row r="14" spans="1:8" ht="19.5" customHeight="1" x14ac:dyDescent="0.2">
      <c r="A14" s="1084"/>
      <c r="B14" s="1085"/>
      <c r="C14" s="2345"/>
      <c r="D14" s="2346"/>
      <c r="E14" s="2346"/>
      <c r="F14" s="2347"/>
      <c r="H14" s="1074"/>
    </row>
    <row r="15" spans="1:8" ht="17.25" customHeight="1" x14ac:dyDescent="0.2">
      <c r="A15" s="1084"/>
      <c r="B15" s="1085"/>
      <c r="C15" s="2348"/>
      <c r="D15" s="2349"/>
      <c r="E15" s="2349"/>
      <c r="F15" s="2350"/>
      <c r="H15" s="1074"/>
    </row>
    <row r="16" spans="1:8" s="310" customFormat="1" ht="51.75" hidden="1" customHeight="1" x14ac:dyDescent="0.2">
      <c r="A16" s="2344" t="s">
        <v>1687</v>
      </c>
      <c r="B16" s="2344"/>
      <c r="C16" s="2344"/>
      <c r="D16" s="2344"/>
      <c r="E16" s="2344"/>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view="pageLayout" topLeftCell="A32" colorId="8" zoomScaleNormal="110" workbookViewId="0">
      <selection activeCell="D67" sqref="D67"/>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6" t="s">
        <v>665</v>
      </c>
      <c r="B3" s="2367"/>
      <c r="C3" s="2367"/>
      <c r="D3" s="2368"/>
    </row>
    <row r="4" spans="1:4" x14ac:dyDescent="0.2">
      <c r="A4" s="1152" t="s">
        <v>1692</v>
      </c>
      <c r="B4" s="1153"/>
      <c r="C4" s="1154"/>
      <c r="D4" s="1155"/>
    </row>
    <row r="5" spans="1:4" ht="21" customHeight="1" x14ac:dyDescent="0.2">
      <c r="A5" s="1148"/>
      <c r="B5" s="1149">
        <v>1</v>
      </c>
      <c r="C5" s="1150" t="s">
        <v>1833</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7" t="s">
        <v>1504</v>
      </c>
      <c r="D7" s="2378"/>
    </row>
    <row r="8" spans="1:4" s="668" customFormat="1" ht="12.75" x14ac:dyDescent="0.2">
      <c r="A8" s="1138"/>
      <c r="B8" s="1093"/>
      <c r="C8" s="1096" t="s">
        <v>1503</v>
      </c>
      <c r="D8" s="1097"/>
    </row>
    <row r="9" spans="1:4" s="668" customFormat="1" ht="14.25" customHeight="1" x14ac:dyDescent="0.2">
      <c r="A9" s="1138"/>
      <c r="B9" s="1093">
        <f>B7+1</f>
        <v>4</v>
      </c>
      <c r="C9" s="1094" t="s">
        <v>1911</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9" t="s">
        <v>1008</v>
      </c>
      <c r="B15" s="2370"/>
      <c r="C15" s="2370"/>
      <c r="D15" s="2371"/>
    </row>
    <row r="16" spans="1:4" s="668" customFormat="1" ht="24" customHeight="1" x14ac:dyDescent="0.2">
      <c r="A16" s="2372" t="s">
        <v>663</v>
      </c>
      <c r="B16" s="2373"/>
      <c r="C16" s="2373"/>
      <c r="D16" s="2374"/>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1" t="s">
        <v>314</v>
      </c>
      <c r="D21" s="2382"/>
    </row>
    <row r="22" spans="1:10" ht="12.75" x14ac:dyDescent="0.2">
      <c r="A22" s="1139"/>
      <c r="B22" s="1140">
        <v>2</v>
      </c>
      <c r="C22" s="2379" t="s">
        <v>1524</v>
      </c>
      <c r="D22" s="2380"/>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3" t="s">
        <v>536</v>
      </c>
      <c r="D43" s="2384"/>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5" t="s">
        <v>784</v>
      </c>
      <c r="D56" s="2376"/>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1912</v>
      </c>
      <c r="D66" s="1125"/>
    </row>
    <row r="67" spans="1:4" x14ac:dyDescent="0.2">
      <c r="A67" s="1119"/>
      <c r="B67" s="1140"/>
      <c r="C67" s="1147" t="s">
        <v>1021</v>
      </c>
      <c r="D67" s="1125"/>
    </row>
    <row r="68" spans="1:4" x14ac:dyDescent="0.2">
      <c r="A68" s="1100"/>
      <c r="B68" s="1110"/>
      <c r="C68" s="1102" t="s">
        <v>1913</v>
      </c>
      <c r="D68" s="1124" t="str">
        <f>IF('Short-Term Long-Term Debt 24'!F49=SUM(,'Acct Summary 7-8'!C33:K33),"OK","ERROR!")</f>
        <v>OK</v>
      </c>
    </row>
    <row r="69" spans="1:4" x14ac:dyDescent="0.2">
      <c r="A69" s="1100"/>
      <c r="B69" s="1110"/>
      <c r="C69" s="1102" t="s">
        <v>1914</v>
      </c>
      <c r="D69" s="1124" t="str">
        <f>IF('Expenditures 15-22'!H170&lt;&gt;'Short-Term Long-Term Debt 24'!H49,"ERROR!","OK")</f>
        <v>OK</v>
      </c>
    </row>
    <row r="70" spans="1:4" x14ac:dyDescent="0.2">
      <c r="A70" s="1098"/>
      <c r="B70" s="1120">
        <f>B66+1</f>
        <v>9</v>
      </c>
      <c r="C70" s="2375" t="s">
        <v>1696</v>
      </c>
      <c r="D70" s="2376"/>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1915</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1916</v>
      </c>
      <c r="D78" s="1124" t="str">
        <f>IF(ISNUMBER('Acct Summary 7-8'!C9),"OK","ENTRY IS REQUIRED!")</f>
        <v>OK</v>
      </c>
    </row>
    <row r="79" spans="1:4" x14ac:dyDescent="0.2">
      <c r="A79" s="1119"/>
      <c r="B79" s="1120">
        <f>B74+1+1</f>
        <v>12</v>
      </c>
      <c r="C79" s="1130" t="s">
        <v>1901</v>
      </c>
      <c r="D79" s="1131" t="str">
        <f>IF(OR(COVER!$B$6="X",'PCTC-OEPP 27-28'!F78&gt;0),"OK","PLEASE ENTER 9 MO ADA.")</f>
        <v>OK</v>
      </c>
    </row>
    <row r="80" spans="1:4" x14ac:dyDescent="0.2">
      <c r="A80" s="1098"/>
      <c r="B80" s="1120">
        <v>13</v>
      </c>
      <c r="C80" s="1130" t="s">
        <v>1917</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50082188022</v>
      </c>
    </row>
    <row r="3" spans="1:2" x14ac:dyDescent="0.2">
      <c r="A3" t="s">
        <v>956</v>
      </c>
      <c r="B3" s="138" t="str">
        <f>COVER!A15</f>
        <v>ST. CLAIR</v>
      </c>
    </row>
    <row r="4" spans="1:2" x14ac:dyDescent="0.2">
      <c r="A4" t="s">
        <v>1007</v>
      </c>
      <c r="B4" s="138" t="str">
        <f>COVER!A17</f>
        <v>Brooklyn UD 188</v>
      </c>
    </row>
    <row r="5" spans="1:2" x14ac:dyDescent="0.2">
      <c r="A5" t="s">
        <v>704</v>
      </c>
      <c r="B5" s="138" t="str">
        <f>COVER!A38</f>
        <v>DR. RONALD FERRELL</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065-026956</v>
      </c>
    </row>
    <row r="16" spans="1:2" x14ac:dyDescent="0.2">
      <c r="A16" t="s">
        <v>422</v>
      </c>
      <c r="B16" s="138" t="str">
        <f>COVER!T13</f>
        <v>SCHEFFEL BOYLE</v>
      </c>
    </row>
    <row r="17" spans="1:2" x14ac:dyDescent="0.2">
      <c r="A17" t="s">
        <v>884</v>
      </c>
      <c r="B17" s="138" t="str">
        <f>COVER!T15</f>
        <v>DALE HOLTMANN</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43501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574671</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567560</v>
      </c>
      <c r="D92" s="2" t="str">
        <f t="shared" si="0"/>
        <v>Error?</v>
      </c>
    </row>
    <row r="93" spans="1:4" x14ac:dyDescent="0.2">
      <c r="A93" s="5">
        <v>32</v>
      </c>
      <c r="B93" s="138">
        <f>'Assets-Liab 5-6'!C41</f>
        <v>574671</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26627</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26627</v>
      </c>
      <c r="D123" s="2" t="str">
        <f t="shared" si="0"/>
        <v>Error?</v>
      </c>
    </row>
    <row r="124" spans="1:4" x14ac:dyDescent="0.2">
      <c r="A124" s="5">
        <v>63</v>
      </c>
      <c r="B124" s="138">
        <f>'Assets-Liab 5-6'!D41</f>
        <v>26627</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58898</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58898</v>
      </c>
      <c r="D140" s="2" t="str">
        <f t="shared" si="1"/>
        <v>Error?</v>
      </c>
    </row>
    <row r="141" spans="1:4" x14ac:dyDescent="0.2">
      <c r="A141" s="5">
        <v>80</v>
      </c>
      <c r="B141" s="138">
        <f>'Assets-Liab 5-6'!E41</f>
        <v>58898</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13959</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13959</v>
      </c>
      <c r="D170" s="2" t="str">
        <f t="shared" si="1"/>
        <v>Error?</v>
      </c>
    </row>
    <row r="171" spans="1:4" x14ac:dyDescent="0.2">
      <c r="A171" s="5">
        <v>110</v>
      </c>
      <c r="B171" s="138">
        <f>'Assets-Liab 5-6'!F41</f>
        <v>13959</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161509</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114323</v>
      </c>
      <c r="D189" s="2" t="str">
        <f t="shared" si="1"/>
        <v>Error?</v>
      </c>
    </row>
    <row r="190" spans="1:4" x14ac:dyDescent="0.2">
      <c r="A190" s="5">
        <v>129</v>
      </c>
      <c r="B190" s="138">
        <f>'Assets-Liab 5-6'!G41</f>
        <v>161509</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81150</v>
      </c>
      <c r="D273" s="2" t="str">
        <f t="shared" si="3"/>
        <v>Error?</v>
      </c>
    </row>
    <row r="274" spans="1:4" x14ac:dyDescent="0.2">
      <c r="A274" s="5">
        <v>213</v>
      </c>
      <c r="B274" s="138">
        <f>'Assets-Liab 5-6'!M17</f>
        <v>1847144</v>
      </c>
      <c r="D274" s="2" t="str">
        <f t="shared" si="3"/>
        <v>Error?</v>
      </c>
    </row>
    <row r="275" spans="1:4" x14ac:dyDescent="0.2">
      <c r="A275" s="5">
        <v>214</v>
      </c>
      <c r="B275" s="138">
        <f>'Assets-Liab 5-6'!M18</f>
        <v>69247</v>
      </c>
      <c r="D275" s="2" t="str">
        <f t="shared" si="3"/>
        <v>Error?</v>
      </c>
    </row>
    <row r="276" spans="1:4" x14ac:dyDescent="0.2">
      <c r="A276" s="5">
        <v>215</v>
      </c>
      <c r="B276" s="138">
        <f>'Assets-Liab 5-6'!M19</f>
        <v>1307696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3305237</v>
      </c>
      <c r="C279" s="2" t="s">
        <v>573</v>
      </c>
      <c r="D279" s="2" t="str">
        <f t="shared" si="3"/>
        <v>Error?</v>
      </c>
    </row>
    <row r="280" spans="1:4" x14ac:dyDescent="0.2">
      <c r="A280" s="5">
        <v>219</v>
      </c>
      <c r="B280" s="138">
        <f>'Assets-Liab 5-6'!M40</f>
        <v>3305237</v>
      </c>
      <c r="D280" s="2" t="str">
        <f t="shared" si="3"/>
        <v>Error?</v>
      </c>
    </row>
    <row r="281" spans="1:4" x14ac:dyDescent="0.2">
      <c r="A281" s="5">
        <v>220</v>
      </c>
      <c r="B281" s="138">
        <f>'Assets-Liab 5-6'!M41</f>
        <v>3305237</v>
      </c>
      <c r="C281" s="2" t="s">
        <v>573</v>
      </c>
      <c r="D281" s="2" t="str">
        <f t="shared" si="3"/>
        <v>Error?</v>
      </c>
    </row>
    <row r="282" spans="1:4" x14ac:dyDescent="0.2">
      <c r="A282" s="5">
        <v>221</v>
      </c>
      <c r="B282" s="138">
        <f>'Assets-Liab 5-6'!N21</f>
        <v>58898</v>
      </c>
      <c r="D282" s="2" t="str">
        <f t="shared" si="3"/>
        <v>Error?</v>
      </c>
    </row>
    <row r="283" spans="1:4" x14ac:dyDescent="0.2">
      <c r="A283" s="5">
        <v>222</v>
      </c>
      <c r="B283" s="138">
        <f>'Assets-Liab 5-6'!N22</f>
        <v>713606</v>
      </c>
      <c r="D283" s="2" t="str">
        <f t="shared" si="3"/>
        <v>Error?</v>
      </c>
    </row>
    <row r="284" spans="1:4" x14ac:dyDescent="0.2">
      <c r="A284" s="5">
        <v>223</v>
      </c>
      <c r="B284" s="138">
        <f>'Assets-Liab 5-6'!N23</f>
        <v>772504</v>
      </c>
      <c r="C284" s="2" t="s">
        <v>573</v>
      </c>
      <c r="D284" s="2" t="str">
        <f t="shared" si="3"/>
        <v>Error?</v>
      </c>
    </row>
    <row r="285" spans="1:4" x14ac:dyDescent="0.2">
      <c r="A285" s="5">
        <v>224</v>
      </c>
      <c r="B285" s="138">
        <f>'Assets-Liab 5-6'!N36</f>
        <v>772504</v>
      </c>
      <c r="D285" s="2" t="str">
        <f t="shared" si="3"/>
        <v>Error?</v>
      </c>
    </row>
    <row r="286" spans="1:4" x14ac:dyDescent="0.2">
      <c r="A286" s="10">
        <v>225</v>
      </c>
      <c r="D286" s="2" t="str">
        <f t="shared" si="3"/>
        <v>OK</v>
      </c>
    </row>
    <row r="287" spans="1:4" x14ac:dyDescent="0.2">
      <c r="A287" s="5">
        <v>226</v>
      </c>
      <c r="B287" s="138">
        <f>'Assets-Liab 5-6'!N37</f>
        <v>772504</v>
      </c>
      <c r="C287" s="2" t="s">
        <v>573</v>
      </c>
      <c r="D287" s="2" t="str">
        <f t="shared" si="3"/>
        <v>Error?</v>
      </c>
    </row>
    <row r="288" spans="1:4" x14ac:dyDescent="0.2">
      <c r="A288" s="5">
        <v>227</v>
      </c>
      <c r="B288" s="138">
        <f>'Assets-Liab 5-6'!N41</f>
        <v>772504</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485023</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250</v>
      </c>
      <c r="D717" s="2" t="str">
        <f t="shared" si="10"/>
        <v>Error?</v>
      </c>
    </row>
    <row r="718" spans="1:4" x14ac:dyDescent="0.2">
      <c r="A718" s="5">
        <v>657</v>
      </c>
      <c r="B718" s="138">
        <f>'Expenditures 15-22'!C14</f>
        <v>13132</v>
      </c>
      <c r="D718" s="2" t="str">
        <f t="shared" si="10"/>
        <v>Error?</v>
      </c>
    </row>
    <row r="719" spans="1:4" x14ac:dyDescent="0.2">
      <c r="A719" s="5">
        <v>658</v>
      </c>
      <c r="B719" s="138">
        <f>'Expenditures 15-22'!C15</f>
        <v>0</v>
      </c>
      <c r="D719" s="2" t="str">
        <f t="shared" si="10"/>
        <v>Error?</v>
      </c>
    </row>
    <row r="720" spans="1:4" x14ac:dyDescent="0.2">
      <c r="A720" s="5">
        <v>659</v>
      </c>
      <c r="B720" s="138">
        <f>'Expenditures 15-22'!C33</f>
        <v>636687</v>
      </c>
      <c r="C720" s="2" t="s">
        <v>573</v>
      </c>
      <c r="D720" s="2" t="str">
        <f t="shared" si="10"/>
        <v>Error?</v>
      </c>
    </row>
    <row r="721" spans="1:4" x14ac:dyDescent="0.2">
      <c r="A721" s="5">
        <v>660</v>
      </c>
      <c r="B721" s="138">
        <f>'Expenditures 15-22'!C36</f>
        <v>56410</v>
      </c>
      <c r="D721" s="2" t="str">
        <f t="shared" si="10"/>
        <v>Error?</v>
      </c>
    </row>
    <row r="722" spans="1:4" x14ac:dyDescent="0.2">
      <c r="A722" s="5">
        <v>661</v>
      </c>
      <c r="B722" s="138">
        <f>'Expenditures 15-22'!C37</f>
        <v>33571</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89981</v>
      </c>
      <c r="C727" s="2" t="s">
        <v>573</v>
      </c>
      <c r="D727" s="2" t="str">
        <f t="shared" si="10"/>
        <v>Error?</v>
      </c>
    </row>
    <row r="728" spans="1:4" x14ac:dyDescent="0.2">
      <c r="A728" s="5">
        <v>667</v>
      </c>
      <c r="B728" s="138">
        <f>'Expenditures 15-22'!C44</f>
        <v>9494</v>
      </c>
      <c r="D728" s="2" t="str">
        <f t="shared" si="10"/>
        <v>Error?</v>
      </c>
    </row>
    <row r="729" spans="1:4" x14ac:dyDescent="0.2">
      <c r="A729" s="5">
        <v>668</v>
      </c>
      <c r="B729" s="138">
        <f>'Expenditures 15-22'!C45</f>
        <v>2000</v>
      </c>
      <c r="D729" s="2" t="str">
        <f t="shared" si="10"/>
        <v>Error?</v>
      </c>
    </row>
    <row r="730" spans="1:4" x14ac:dyDescent="0.2">
      <c r="A730" s="5">
        <v>669</v>
      </c>
      <c r="B730" s="138">
        <f>'Expenditures 15-22'!C46</f>
        <v>2400</v>
      </c>
      <c r="D730" s="2" t="str">
        <f t="shared" si="10"/>
        <v>Error?</v>
      </c>
    </row>
    <row r="731" spans="1:4" x14ac:dyDescent="0.2">
      <c r="A731" s="5">
        <v>670</v>
      </c>
      <c r="B731" s="138">
        <f>'Expenditures 15-22'!C47</f>
        <v>13894</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122588</v>
      </c>
      <c r="D733" s="2" t="str">
        <f t="shared" si="10"/>
        <v>Error?</v>
      </c>
    </row>
    <row r="734" spans="1:4" x14ac:dyDescent="0.2">
      <c r="A734" s="5">
        <v>673</v>
      </c>
      <c r="B734" s="138">
        <f>'Expenditures 15-22'!C53</f>
        <v>122588</v>
      </c>
      <c r="C734" s="2" t="s">
        <v>573</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65050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9885</v>
      </c>
      <c r="D741" s="2" t="str">
        <f t="shared" si="10"/>
        <v>Error?</v>
      </c>
    </row>
    <row r="742" spans="1:4" x14ac:dyDescent="0.2">
      <c r="A742" s="5">
        <v>681</v>
      </c>
      <c r="B742" s="138">
        <f>'Expenditures 15-22'!C63</f>
        <v>34105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109040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335503</v>
      </c>
      <c r="C755" s="2" t="s">
        <v>573</v>
      </c>
      <c r="D755" s="2" t="str">
        <f t="shared" si="10"/>
        <v>Error?</v>
      </c>
    </row>
    <row r="756" spans="1:4" x14ac:dyDescent="0.2">
      <c r="A756" s="5">
        <v>695</v>
      </c>
      <c r="B756" s="138">
        <f>'Expenditures 15-22'!C75</f>
        <v>21153</v>
      </c>
      <c r="D756" s="2" t="str">
        <f t="shared" si="10"/>
        <v>Error?</v>
      </c>
    </row>
    <row r="757" spans="1:4" x14ac:dyDescent="0.2">
      <c r="A757" s="5">
        <v>696</v>
      </c>
      <c r="B757" s="138">
        <f>'Expenditures 15-22'!C114</f>
        <v>993343</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72740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146906</v>
      </c>
      <c r="C778" s="2" t="s">
        <v>573</v>
      </c>
      <c r="D778" s="2" t="str">
        <f t="shared" si="11"/>
        <v>Error?</v>
      </c>
    </row>
    <row r="779" spans="1:4" x14ac:dyDescent="0.2">
      <c r="A779" s="5">
        <v>718</v>
      </c>
      <c r="B779" s="138">
        <f>'Expenditures 15-22'!D36</f>
        <v>10428</v>
      </c>
      <c r="D779" s="2" t="str">
        <f t="shared" si="11"/>
        <v>Error?</v>
      </c>
    </row>
    <row r="780" spans="1:4" x14ac:dyDescent="0.2">
      <c r="A780" s="5">
        <v>719</v>
      </c>
      <c r="B780" s="138">
        <f>'Expenditures 15-22'!D37</f>
        <v>15036</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25464</v>
      </c>
      <c r="C785" s="2" t="s">
        <v>573</v>
      </c>
      <c r="D785" s="2" t="str">
        <f t="shared" si="11"/>
        <v>Error?</v>
      </c>
    </row>
    <row r="786" spans="1:4" x14ac:dyDescent="0.2">
      <c r="A786" s="5">
        <v>725</v>
      </c>
      <c r="B786" s="138">
        <f>'Expenditures 15-22'!D44</f>
        <v>1268</v>
      </c>
      <c r="D786" s="2" t="str">
        <f t="shared" si="11"/>
        <v>Error?</v>
      </c>
    </row>
    <row r="787" spans="1:4" x14ac:dyDescent="0.2">
      <c r="A787" s="5">
        <v>726</v>
      </c>
      <c r="B787" s="138">
        <f>'Expenditures 15-22'!D45</f>
        <v>0</v>
      </c>
      <c r="D787" s="2" t="str">
        <f t="shared" si="11"/>
        <v>Error?</v>
      </c>
    </row>
    <row r="788" spans="1:4" x14ac:dyDescent="0.2">
      <c r="A788" s="5">
        <v>727</v>
      </c>
      <c r="B788" s="138">
        <f>'Expenditures 15-22'!D46</f>
        <v>307</v>
      </c>
      <c r="D788" s="2" t="str">
        <f t="shared" si="11"/>
        <v>Error?</v>
      </c>
    </row>
    <row r="789" spans="1:4" x14ac:dyDescent="0.2">
      <c r="A789" s="5">
        <v>728</v>
      </c>
      <c r="B789" s="138">
        <f>'Expenditures 15-22'!D47</f>
        <v>1575</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10248</v>
      </c>
      <c r="D791" s="2" t="str">
        <f t="shared" si="11"/>
        <v>Error?</v>
      </c>
    </row>
    <row r="792" spans="1:4" x14ac:dyDescent="0.2">
      <c r="A792" s="5">
        <v>731</v>
      </c>
      <c r="B792" s="138">
        <f>'Expenditures 15-22'!D53</f>
        <v>10248</v>
      </c>
      <c r="C792" s="2" t="s">
        <v>573</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9307</v>
      </c>
      <c r="D797" s="2" t="str">
        <f t="shared" si="11"/>
        <v>Error?</v>
      </c>
    </row>
    <row r="798" spans="1:4" x14ac:dyDescent="0.2">
      <c r="A798" s="5">
        <v>737</v>
      </c>
      <c r="B798" s="138">
        <f>'Expenditures 15-22'!D61</f>
        <v>0</v>
      </c>
      <c r="D798" s="2" t="str">
        <f t="shared" si="11"/>
        <v>Error?</v>
      </c>
    </row>
    <row r="799" spans="1:4" x14ac:dyDescent="0.2">
      <c r="A799" s="5">
        <v>738</v>
      </c>
      <c r="B799" s="138">
        <f>'Expenditures 15-22'!D62</f>
        <v>2747</v>
      </c>
      <c r="D799" s="2" t="str">
        <f t="shared" si="11"/>
        <v>Error?</v>
      </c>
    </row>
    <row r="800" spans="1:4" x14ac:dyDescent="0.2">
      <c r="A800" s="5">
        <v>739</v>
      </c>
      <c r="B800" s="138">
        <f>'Expenditures 15-22'!D63</f>
        <v>7102</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19156</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56443</v>
      </c>
      <c r="C813" s="2" t="s">
        <v>573</v>
      </c>
      <c r="D813" s="2" t="str">
        <f t="shared" si="11"/>
        <v>Error?</v>
      </c>
    </row>
    <row r="814" spans="1:4" x14ac:dyDescent="0.2">
      <c r="A814" s="5">
        <v>753</v>
      </c>
      <c r="B814" s="138">
        <f>'Expenditures 15-22'!D75</f>
        <v>4866</v>
      </c>
      <c r="D814" s="2" t="str">
        <f t="shared" si="11"/>
        <v>Error?</v>
      </c>
    </row>
    <row r="815" spans="1:4" x14ac:dyDescent="0.2">
      <c r="A815" s="5">
        <v>754</v>
      </c>
      <c r="B815" s="138">
        <f>'Expenditures 15-22'!D114</f>
        <v>208215</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19018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1135</v>
      </c>
      <c r="D833" s="2" t="str">
        <f t="shared" si="12"/>
        <v>Error?</v>
      </c>
    </row>
    <row r="834" spans="1:4" x14ac:dyDescent="0.2">
      <c r="A834" s="5">
        <v>773</v>
      </c>
      <c r="B834" s="138">
        <f>'Expenditures 15-22'!E14</f>
        <v>6337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30418</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28050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28050</v>
      </c>
      <c r="C843" s="2" t="s">
        <v>573</v>
      </c>
      <c r="D843" s="2" t="str">
        <f t="shared" si="12"/>
        <v>Error?</v>
      </c>
    </row>
    <row r="844" spans="1:4" x14ac:dyDescent="0.2">
      <c r="A844" s="5">
        <v>783</v>
      </c>
      <c r="B844" s="138">
        <f>'Expenditures 15-22'!E44</f>
        <v>47918</v>
      </c>
      <c r="D844" s="2" t="str">
        <f t="shared" si="12"/>
        <v>Error?</v>
      </c>
    </row>
    <row r="845" spans="1:4" x14ac:dyDescent="0.2">
      <c r="A845" s="5">
        <v>784</v>
      </c>
      <c r="B845" s="138">
        <f>'Expenditures 15-22'!E45</f>
        <v>35137</v>
      </c>
      <c r="D845" s="2" t="str">
        <f t="shared" si="12"/>
        <v>Error?</v>
      </c>
    </row>
    <row r="846" spans="1:4" x14ac:dyDescent="0.2">
      <c r="A846" s="5">
        <v>785</v>
      </c>
      <c r="B846" s="138">
        <f>'Expenditures 15-22'!E46</f>
        <v>9465</v>
      </c>
      <c r="D846" s="2" t="str">
        <f t="shared" si="12"/>
        <v>Error?</v>
      </c>
    </row>
    <row r="847" spans="1:4" x14ac:dyDescent="0.2">
      <c r="A847" s="5">
        <v>786</v>
      </c>
      <c r="B847" s="138">
        <f>'Expenditures 15-22'!E47</f>
        <v>92520</v>
      </c>
      <c r="C847" s="2" t="s">
        <v>573</v>
      </c>
      <c r="D847" s="2" t="str">
        <f t="shared" si="12"/>
        <v>Error?</v>
      </c>
    </row>
    <row r="848" spans="1:4" x14ac:dyDescent="0.2">
      <c r="A848" s="5">
        <v>787</v>
      </c>
      <c r="B848" s="138">
        <f>'Expenditures 15-22'!E49</f>
        <v>43271</v>
      </c>
      <c r="D848" s="2" t="str">
        <f t="shared" si="12"/>
        <v>Error?</v>
      </c>
    </row>
    <row r="849" spans="1:4" x14ac:dyDescent="0.2">
      <c r="A849" s="5">
        <v>788</v>
      </c>
      <c r="B849" s="138">
        <f>'Expenditures 15-22'!E50</f>
        <v>1961</v>
      </c>
      <c r="D849" s="2" t="str">
        <f t="shared" si="12"/>
        <v>Error?</v>
      </c>
    </row>
    <row r="850" spans="1:4" x14ac:dyDescent="0.2">
      <c r="A850" s="5">
        <v>789</v>
      </c>
      <c r="B850" s="138">
        <f>'Expenditures 15-22'!E53</f>
        <v>45232</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41289</v>
      </c>
      <c r="D855" s="2" t="str">
        <f t="shared" si="12"/>
        <v>Error?</v>
      </c>
    </row>
    <row r="856" spans="1:4" x14ac:dyDescent="0.2">
      <c r="A856" s="5">
        <v>795</v>
      </c>
      <c r="B856" s="138">
        <f>'Expenditures 15-22'!E61</f>
        <v>3344</v>
      </c>
      <c r="D856" s="2" t="str">
        <f t="shared" si="12"/>
        <v>Error?</v>
      </c>
    </row>
    <row r="857" spans="1:4" x14ac:dyDescent="0.2">
      <c r="A857" s="5">
        <v>796</v>
      </c>
      <c r="B857" s="138">
        <f>'Expenditures 15-22'!E62</f>
        <v>622</v>
      </c>
      <c r="D857" s="2" t="str">
        <f t="shared" si="12"/>
        <v>Error?</v>
      </c>
    </row>
    <row r="858" spans="1:4" x14ac:dyDescent="0.2">
      <c r="A858" s="5">
        <v>797</v>
      </c>
      <c r="B858" s="138">
        <f>'Expenditures 15-22'!E63</f>
        <v>116418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161673</v>
      </c>
      <c r="C861" s="2" t="s">
        <v>573</v>
      </c>
      <c r="D861" s="2" t="str">
        <f t="shared" si="12"/>
        <v>Error?</v>
      </c>
    </row>
    <row r="862" spans="1:4" x14ac:dyDescent="0.2">
      <c r="A862" s="5">
        <v>801</v>
      </c>
      <c r="B862" s="138">
        <f>'Expenditures 15-22'!E67</f>
        <v>191372</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32313</v>
      </c>
      <c r="D867" s="2" t="str">
        <f t="shared" si="12"/>
        <v>Error?</v>
      </c>
    </row>
    <row r="868" spans="1:4" x14ac:dyDescent="0.2">
      <c r="A868" s="10">
        <v>807</v>
      </c>
      <c r="D868" s="2" t="str">
        <f t="shared" si="12"/>
        <v>OK</v>
      </c>
    </row>
    <row r="869" spans="1:4" x14ac:dyDescent="0.2">
      <c r="A869" s="5">
        <v>808</v>
      </c>
      <c r="B869" s="138">
        <f>'Expenditures 15-22'!E72</f>
        <v>223685</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551160</v>
      </c>
      <c r="C871" s="2" t="s">
        <v>573</v>
      </c>
      <c r="D871" s="2" t="str">
        <f t="shared" si="12"/>
        <v>Error?</v>
      </c>
    </row>
    <row r="872" spans="1:4" x14ac:dyDescent="0.2">
      <c r="A872" s="5">
        <v>811</v>
      </c>
      <c r="B872" s="138">
        <f>'Expenditures 15-22'!E75</f>
        <v>575</v>
      </c>
      <c r="D872" s="2" t="str">
        <f t="shared" si="12"/>
        <v>Error?</v>
      </c>
    </row>
    <row r="873" spans="1:4" x14ac:dyDescent="0.2">
      <c r="A873" s="5">
        <v>812</v>
      </c>
      <c r="B873" s="138">
        <f>'Expenditures 15-22'!E114</f>
        <v>582153</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49846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1344</v>
      </c>
      <c r="D891" s="2" t="str">
        <f t="shared" si="12"/>
        <v>Error?</v>
      </c>
    </row>
    <row r="892" spans="1:4" x14ac:dyDescent="0.2">
      <c r="A892" s="5">
        <v>831</v>
      </c>
      <c r="B892" s="138">
        <f>'Expenditures 15-22'!F14</f>
        <v>21941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88358</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31461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31461</v>
      </c>
      <c r="C905" s="2" t="s">
        <v>573</v>
      </c>
      <c r="D905" s="2" t="str">
        <f t="shared" si="13"/>
        <v>Error?</v>
      </c>
    </row>
    <row r="906" spans="1:4" x14ac:dyDescent="0.2">
      <c r="A906" s="5">
        <v>845</v>
      </c>
      <c r="B906" s="138">
        <f>'Expenditures 15-22'!F49</f>
        <v>17137</v>
      </c>
      <c r="D906" s="2" t="str">
        <f t="shared" si="13"/>
        <v>Error?</v>
      </c>
    </row>
    <row r="907" spans="1:4" x14ac:dyDescent="0.2">
      <c r="A907" s="5">
        <v>846</v>
      </c>
      <c r="B907" s="138">
        <f>'Expenditures 15-22'!F50</f>
        <v>2607</v>
      </c>
      <c r="D907" s="2" t="str">
        <f t="shared" si="13"/>
        <v>Error?</v>
      </c>
    </row>
    <row r="908" spans="1:4" x14ac:dyDescent="0.2">
      <c r="A908" s="5">
        <v>847</v>
      </c>
      <c r="B908" s="138">
        <f>'Expenditures 15-22'!F53</f>
        <v>19744</v>
      </c>
      <c r="C908" s="2" t="s">
        <v>573</v>
      </c>
      <c r="D908" s="2" t="str">
        <f t="shared" si="13"/>
        <v>Error?</v>
      </c>
    </row>
    <row r="909" spans="1:4" x14ac:dyDescent="0.2">
      <c r="A909" s="5">
        <v>848</v>
      </c>
      <c r="B909" s="138">
        <f>'Expenditures 15-22'!F55</f>
        <v>3525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3525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4526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4164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8690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3599</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3599</v>
      </c>
      <c r="C927" s="2" t="s">
        <v>573</v>
      </c>
      <c r="D927" s="2" t="str">
        <f t="shared" si="13"/>
        <v>Error?</v>
      </c>
    </row>
    <row r="928" spans="1:4" x14ac:dyDescent="0.2">
      <c r="A928" s="5">
        <v>867</v>
      </c>
      <c r="B928" s="138">
        <f>'Expenditures 15-22'!F73</f>
        <v>478</v>
      </c>
      <c r="D928" s="2" t="str">
        <f t="shared" si="13"/>
        <v>Error?</v>
      </c>
    </row>
    <row r="929" spans="1:4" x14ac:dyDescent="0.2">
      <c r="A929" s="5">
        <v>868</v>
      </c>
      <c r="B929" s="138">
        <f>'Expenditures 15-22'!F74</f>
        <v>67497</v>
      </c>
      <c r="C929" s="2" t="s">
        <v>573</v>
      </c>
      <c r="D929" s="2" t="str">
        <f t="shared" si="13"/>
        <v>Error?</v>
      </c>
    </row>
    <row r="930" spans="1:4" x14ac:dyDescent="0.2">
      <c r="A930" s="5">
        <v>869</v>
      </c>
      <c r="B930" s="138">
        <f>'Expenditures 15-22'!F75</f>
        <v>3086</v>
      </c>
      <c r="D930" s="2" t="str">
        <f t="shared" si="13"/>
        <v>Error?</v>
      </c>
    </row>
    <row r="931" spans="1:4" x14ac:dyDescent="0.2">
      <c r="A931" s="5">
        <v>870</v>
      </c>
      <c r="B931" s="138">
        <f>'Expenditures 15-22'!F114</f>
        <v>158941</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16459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34276</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4850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4850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1127</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1127</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5977</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40253</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39517</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4804</v>
      </c>
      <c r="D1022" s="2" t="str">
        <f t="shared" si="14"/>
        <v>Error?</v>
      </c>
    </row>
    <row r="1023" spans="1:4" x14ac:dyDescent="0.2">
      <c r="A1023" s="5">
        <v>962</v>
      </c>
      <c r="B1023" s="138">
        <f>'Expenditures 15-22'!H50</f>
        <v>780</v>
      </c>
      <c r="D1023" s="2" t="str">
        <f t="shared" ref="D1023:D1086" si="15">IF(ISBLANK(B1023),"OK",IF(A1023-B1023=0,"OK","Error?"))</f>
        <v>Error?</v>
      </c>
    </row>
    <row r="1024" spans="1:4" x14ac:dyDescent="0.2">
      <c r="A1024" s="5">
        <v>963</v>
      </c>
      <c r="B1024" s="138">
        <f>'Expenditures 15-22'!H53</f>
        <v>5584</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165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165</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5749</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36600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81866</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643086</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2729</v>
      </c>
      <c r="C1105" s="2" t="s">
        <v>573</v>
      </c>
      <c r="D1105" s="2" t="str">
        <f t="shared" si="16"/>
        <v>Error?</v>
      </c>
    </row>
    <row r="1106" spans="1:4" x14ac:dyDescent="0.2">
      <c r="A1106" s="5">
        <v>1045</v>
      </c>
      <c r="B1106" s="138">
        <f>'Expenditures 15-22'!K14</f>
        <v>41444</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976162</v>
      </c>
      <c r="C1108" s="2" t="s">
        <v>573</v>
      </c>
      <c r="D1108" s="2" t="str">
        <f t="shared" si="16"/>
        <v>Error?</v>
      </c>
    </row>
    <row r="1109" spans="1:4" x14ac:dyDescent="0.2">
      <c r="A1109" s="5">
        <v>1048</v>
      </c>
      <c r="B1109" s="138">
        <f>'Expenditures 15-22'!K36</f>
        <v>66838</v>
      </c>
      <c r="C1109" s="2" t="s">
        <v>573</v>
      </c>
      <c r="D1109" s="2" t="str">
        <f t="shared" si="16"/>
        <v>Error?</v>
      </c>
    </row>
    <row r="1110" spans="1:4" x14ac:dyDescent="0.2">
      <c r="A1110" s="5">
        <v>1049</v>
      </c>
      <c r="B1110" s="138">
        <f>'Expenditures 15-22'!K37</f>
        <v>76657</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143495</v>
      </c>
      <c r="C1115" s="2" t="s">
        <v>573</v>
      </c>
      <c r="D1115" s="2" t="str">
        <f t="shared" si="16"/>
        <v>Error?</v>
      </c>
    </row>
    <row r="1116" spans="1:4" x14ac:dyDescent="0.2">
      <c r="A1116" s="5">
        <v>1055</v>
      </c>
      <c r="B1116" s="138">
        <f>'Expenditures 15-22'!K44</f>
        <v>58680</v>
      </c>
      <c r="C1116" s="2" t="s">
        <v>573</v>
      </c>
      <c r="D1116" s="2" t="str">
        <f t="shared" si="16"/>
        <v>Error?</v>
      </c>
    </row>
    <row r="1117" spans="1:4" x14ac:dyDescent="0.2">
      <c r="A1117" s="5">
        <v>1056</v>
      </c>
      <c r="B1117" s="138">
        <f>'Expenditures 15-22'!K45</f>
        <v>73448</v>
      </c>
      <c r="C1117" s="2" t="s">
        <v>573</v>
      </c>
      <c r="D1117" s="2" t="str">
        <f t="shared" si="16"/>
        <v>Error?</v>
      </c>
    </row>
    <row r="1118" spans="1:4" x14ac:dyDescent="0.2">
      <c r="A1118" s="5">
        <v>1057</v>
      </c>
      <c r="B1118" s="138">
        <f>'Expenditures 15-22'!K46</f>
        <v>12172</v>
      </c>
      <c r="C1118" s="2" t="s">
        <v>573</v>
      </c>
      <c r="D1118" s="2" t="str">
        <f t="shared" si="16"/>
        <v>Error?</v>
      </c>
    </row>
    <row r="1119" spans="1:4" x14ac:dyDescent="0.2">
      <c r="A1119" s="5">
        <v>1058</v>
      </c>
      <c r="B1119" s="138">
        <f>'Expenditures 15-22'!K47</f>
        <v>144300</v>
      </c>
      <c r="C1119" s="2" t="s">
        <v>573</v>
      </c>
      <c r="D1119" s="2" t="str">
        <f t="shared" si="16"/>
        <v>Error?</v>
      </c>
    </row>
    <row r="1120" spans="1:4" x14ac:dyDescent="0.2">
      <c r="A1120" s="5">
        <v>1059</v>
      </c>
      <c r="B1120" s="138">
        <f>'Expenditures 15-22'!K49</f>
        <v>65212</v>
      </c>
      <c r="C1120" s="2" t="s">
        <v>573</v>
      </c>
      <c r="D1120" s="2" t="str">
        <f t="shared" si="16"/>
        <v>Error?</v>
      </c>
    </row>
    <row r="1121" spans="1:4" x14ac:dyDescent="0.2">
      <c r="A1121" s="5">
        <v>1060</v>
      </c>
      <c r="B1121" s="138">
        <f>'Expenditures 15-22'!K50</f>
        <v>138184</v>
      </c>
      <c r="C1121" s="2" t="s">
        <v>573</v>
      </c>
      <c r="D1121" s="2" t="str">
        <f t="shared" si="16"/>
        <v>Error?</v>
      </c>
    </row>
    <row r="1122" spans="1:4" x14ac:dyDescent="0.2">
      <c r="A1122" s="5">
        <v>1061</v>
      </c>
      <c r="B1122" s="138">
        <f>'Expenditures 15-22'!K53</f>
        <v>203396</v>
      </c>
      <c r="C1122" s="2" t="s">
        <v>573</v>
      </c>
      <c r="D1122" s="2" t="str">
        <f t="shared" si="16"/>
        <v>Error?</v>
      </c>
    </row>
    <row r="1123" spans="1:4" x14ac:dyDescent="0.2">
      <c r="A1123" s="5">
        <v>1062</v>
      </c>
      <c r="B1123" s="138">
        <f>'Expenditures 15-22'!K55</f>
        <v>3525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3525</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121464</v>
      </c>
      <c r="C1127" s="2" t="s">
        <v>573</v>
      </c>
      <c r="D1127" s="2" t="str">
        <f t="shared" si="16"/>
        <v>Error?</v>
      </c>
    </row>
    <row r="1128" spans="1:4" x14ac:dyDescent="0.2">
      <c r="A1128" s="5">
        <v>1067</v>
      </c>
      <c r="B1128" s="138">
        <f>'Expenditures 15-22'!K61</f>
        <v>3344</v>
      </c>
      <c r="C1128" s="2" t="s">
        <v>573</v>
      </c>
      <c r="D1128" s="2" t="str">
        <f t="shared" si="16"/>
        <v>Error?</v>
      </c>
    </row>
    <row r="1129" spans="1:4" x14ac:dyDescent="0.2">
      <c r="A1129" s="5">
        <v>1068</v>
      </c>
      <c r="B1129" s="138">
        <f>'Expenditures 15-22'!K62</f>
        <v>13254</v>
      </c>
      <c r="C1129" s="2" t="s">
        <v>573</v>
      </c>
      <c r="D1129" s="2" t="str">
        <f t="shared" si="16"/>
        <v>Error?</v>
      </c>
    </row>
    <row r="1130" spans="1:4" x14ac:dyDescent="0.2">
      <c r="A1130" s="5">
        <v>1069</v>
      </c>
      <c r="B1130" s="138">
        <f>'Expenditures 15-22'!K63</f>
        <v>161789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299851</v>
      </c>
      <c r="C1133" s="2" t="s">
        <v>573</v>
      </c>
      <c r="D1133" s="2" t="str">
        <f t="shared" si="16"/>
        <v>Error?</v>
      </c>
    </row>
    <row r="1134" spans="1:4" x14ac:dyDescent="0.2">
      <c r="A1134" s="5">
        <v>1073</v>
      </c>
      <c r="B1134" s="138">
        <f>'Expenditures 15-22'!K67</f>
        <v>191372</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3599</v>
      </c>
      <c r="C1137" s="2" t="s">
        <v>573</v>
      </c>
      <c r="D1137" s="2" t="str">
        <f t="shared" si="16"/>
        <v>Error?</v>
      </c>
    </row>
    <row r="1138" spans="1:4" x14ac:dyDescent="0.2">
      <c r="A1138" s="10">
        <v>1077</v>
      </c>
      <c r="D1138" s="2" t="str">
        <f t="shared" si="16"/>
        <v>OK</v>
      </c>
    </row>
    <row r="1139" spans="1:4" x14ac:dyDescent="0.2">
      <c r="A1139" s="5">
        <v>1078</v>
      </c>
      <c r="B1139" s="138">
        <f>'Expenditures 15-22'!K71</f>
        <v>32313</v>
      </c>
      <c r="C1139" s="2" t="s">
        <v>573</v>
      </c>
      <c r="D1139" s="2" t="str">
        <f t="shared" si="16"/>
        <v>Error?</v>
      </c>
    </row>
    <row r="1140" spans="1:4" x14ac:dyDescent="0.2">
      <c r="A1140" s="10">
        <v>1079</v>
      </c>
      <c r="D1140" s="2" t="str">
        <f t="shared" si="16"/>
        <v>OK</v>
      </c>
    </row>
    <row r="1141" spans="1:4" x14ac:dyDescent="0.2">
      <c r="A1141" s="5">
        <v>1080</v>
      </c>
      <c r="B1141" s="138">
        <f>'Expenditures 15-22'!K72</f>
        <v>227284</v>
      </c>
      <c r="C1141" s="2" t="s">
        <v>573</v>
      </c>
      <c r="D1141" s="2" t="str">
        <f t="shared" si="16"/>
        <v>Error?</v>
      </c>
    </row>
    <row r="1142" spans="1:4" x14ac:dyDescent="0.2">
      <c r="A1142" s="5">
        <v>1081</v>
      </c>
      <c r="B1142" s="138">
        <f>'Expenditures 15-22'!K73</f>
        <v>478</v>
      </c>
      <c r="C1142" s="2" t="s">
        <v>573</v>
      </c>
      <c r="D1142" s="2" t="str">
        <f t="shared" si="16"/>
        <v>Error?</v>
      </c>
    </row>
    <row r="1143" spans="1:4" x14ac:dyDescent="0.2">
      <c r="A1143" s="5">
        <v>1082</v>
      </c>
      <c r="B1143" s="138">
        <f>'Expenditures 15-22'!K74</f>
        <v>1022329</v>
      </c>
      <c r="C1143" s="2" t="s">
        <v>573</v>
      </c>
      <c r="D1143" s="2" t="str">
        <f t="shared" si="16"/>
        <v>Error?</v>
      </c>
    </row>
    <row r="1144" spans="1:4" x14ac:dyDescent="0.2">
      <c r="A1144" s="5">
        <v>1083</v>
      </c>
      <c r="B1144" s="138">
        <f>'Expenditures 15-22'!K75</f>
        <v>29680</v>
      </c>
      <c r="C1144" s="2" t="s">
        <v>573</v>
      </c>
      <c r="D1144" s="2" t="str">
        <f t="shared" si="16"/>
        <v>Error?</v>
      </c>
    </row>
    <row r="1145" spans="1:4" x14ac:dyDescent="0.2">
      <c r="A1145" s="5">
        <v>1084</v>
      </c>
      <c r="B1145" s="138">
        <f>'Expenditures 15-22'!K102</f>
        <v>36600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2064771</v>
      </c>
      <c r="C1152" s="2" t="s">
        <v>573</v>
      </c>
      <c r="D1152" s="2" t="str">
        <f t="shared" si="17"/>
        <v>Error?</v>
      </c>
    </row>
    <row r="1153" spans="1:4" x14ac:dyDescent="0.2">
      <c r="A1153" s="5">
        <v>1092</v>
      </c>
      <c r="B1153" s="138">
        <f>'Expenditures 15-22'!K115</f>
        <v>-135285</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80867</v>
      </c>
      <c r="D1221" s="2" t="str">
        <f t="shared" si="18"/>
        <v>Error?</v>
      </c>
    </row>
    <row r="1222" spans="1:4" x14ac:dyDescent="0.2">
      <c r="A1222" s="10">
        <v>1161</v>
      </c>
      <c r="D1222" s="2" t="str">
        <f t="shared" si="18"/>
        <v>OK</v>
      </c>
    </row>
    <row r="1223" spans="1:4" x14ac:dyDescent="0.2">
      <c r="A1223" s="5">
        <v>1162</v>
      </c>
      <c r="B1223" s="138">
        <f>'Expenditures 15-22'!C127</f>
        <v>80867</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80867</v>
      </c>
      <c r="C1225" s="2" t="s">
        <v>573</v>
      </c>
      <c r="D1225" s="2" t="str">
        <f t="shared" si="18"/>
        <v>Error?</v>
      </c>
    </row>
    <row r="1226" spans="1:4" x14ac:dyDescent="0.2">
      <c r="A1226" s="5">
        <v>1165</v>
      </c>
      <c r="B1226" s="138">
        <f>'Expenditures 15-22'!C151</f>
        <v>80867</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15997</v>
      </c>
      <c r="D1229" s="2" t="str">
        <f t="shared" si="18"/>
        <v>Error?</v>
      </c>
    </row>
    <row r="1230" spans="1:4" x14ac:dyDescent="0.2">
      <c r="A1230" s="10">
        <v>1169</v>
      </c>
      <c r="D1230" s="2" t="str">
        <f t="shared" si="18"/>
        <v>OK</v>
      </c>
    </row>
    <row r="1231" spans="1:4" x14ac:dyDescent="0.2">
      <c r="A1231" s="5">
        <v>1170</v>
      </c>
      <c r="B1231" s="138">
        <f>'Expenditures 15-22'!D127</f>
        <v>15997</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15997</v>
      </c>
      <c r="C1233" s="2" t="s">
        <v>573</v>
      </c>
      <c r="D1233" s="2" t="str">
        <f t="shared" si="18"/>
        <v>Error?</v>
      </c>
    </row>
    <row r="1234" spans="1:4" x14ac:dyDescent="0.2">
      <c r="A1234" s="5">
        <v>1173</v>
      </c>
      <c r="B1234" s="138">
        <f>'Expenditures 15-22'!D151</f>
        <v>15997</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35973</v>
      </c>
      <c r="D1237" s="2" t="str">
        <f t="shared" si="18"/>
        <v>Error?</v>
      </c>
    </row>
    <row r="1238" spans="1:4" x14ac:dyDescent="0.2">
      <c r="A1238" s="10">
        <v>1177</v>
      </c>
      <c r="D1238" s="2" t="str">
        <f t="shared" si="18"/>
        <v>OK</v>
      </c>
    </row>
    <row r="1239" spans="1:4" x14ac:dyDescent="0.2">
      <c r="A1239" s="5">
        <v>1178</v>
      </c>
      <c r="B1239" s="138">
        <f>'Expenditures 15-22'!E127</f>
        <v>35973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35973</v>
      </c>
      <c r="C1241" s="2" t="s">
        <v>573</v>
      </c>
      <c r="D1241" s="2" t="str">
        <f t="shared" si="18"/>
        <v>Error?</v>
      </c>
    </row>
    <row r="1242" spans="1:4" x14ac:dyDescent="0.2">
      <c r="A1242" s="5">
        <v>1181</v>
      </c>
      <c r="B1242" s="138">
        <f>'Expenditures 15-22'!E151</f>
        <v>35973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99654</v>
      </c>
      <c r="D1245" s="2" t="str">
        <f t="shared" si="18"/>
        <v>Error?</v>
      </c>
    </row>
    <row r="1246" spans="1:4" x14ac:dyDescent="0.2">
      <c r="A1246" s="10">
        <v>1185</v>
      </c>
      <c r="D1246" s="2" t="str">
        <f t="shared" si="18"/>
        <v>OK</v>
      </c>
    </row>
    <row r="1247" spans="1:4" x14ac:dyDescent="0.2">
      <c r="A1247" s="5">
        <v>1186</v>
      </c>
      <c r="B1247" s="138">
        <f>'Expenditures 15-22'!F127</f>
        <v>99654</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99654</v>
      </c>
      <c r="C1249" s="2" t="s">
        <v>573</v>
      </c>
      <c r="D1249" s="2" t="str">
        <f t="shared" si="18"/>
        <v>Error?</v>
      </c>
    </row>
    <row r="1250" spans="1:4" x14ac:dyDescent="0.2">
      <c r="A1250" s="5">
        <v>1189</v>
      </c>
      <c r="B1250" s="138">
        <f>'Expenditures 15-22'!F151</f>
        <v>99654</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46234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46234</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46234</v>
      </c>
      <c r="C1258" s="2" t="s">
        <v>573</v>
      </c>
      <c r="D1258" s="2" t="str">
        <f t="shared" si="18"/>
        <v>Error?</v>
      </c>
    </row>
    <row r="1259" spans="1:4" x14ac:dyDescent="0.2">
      <c r="A1259" s="5">
        <v>1198</v>
      </c>
      <c r="B1259" s="138">
        <f>'Expenditures 15-22'!G151</f>
        <v>46234</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278725</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278725</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278725</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278725</v>
      </c>
      <c r="C1288" s="2" t="s">
        <v>573</v>
      </c>
      <c r="D1288" s="2" t="str">
        <f t="shared" si="19"/>
        <v>Error?</v>
      </c>
    </row>
    <row r="1289" spans="1:4" x14ac:dyDescent="0.2">
      <c r="A1289" s="5">
        <v>1228</v>
      </c>
      <c r="B1289" s="138">
        <f>'Expenditures 15-22'!K152</f>
        <v>18436</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65254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79376</v>
      </c>
      <c r="D1315" s="2" t="str">
        <f t="shared" si="19"/>
        <v>Error?</v>
      </c>
    </row>
    <row r="1316" spans="1:4" x14ac:dyDescent="0.2">
      <c r="A1316" s="5">
        <v>1255</v>
      </c>
      <c r="B1316" s="138">
        <f>'Expenditures 15-22'!H171</f>
        <v>1666</v>
      </c>
      <c r="D1316" s="2" t="str">
        <f t="shared" si="19"/>
        <v>Error?</v>
      </c>
    </row>
    <row r="1317" spans="1:4" x14ac:dyDescent="0.2">
      <c r="A1317" s="5">
        <v>1256</v>
      </c>
      <c r="B1317" s="138">
        <f>'Expenditures 15-22'!H172</f>
        <v>146296</v>
      </c>
      <c r="C1317" s="2" t="s">
        <v>573</v>
      </c>
      <c r="D1317" s="2" t="str">
        <f t="shared" si="19"/>
        <v>Error?</v>
      </c>
    </row>
    <row r="1318" spans="1:4" x14ac:dyDescent="0.2">
      <c r="A1318" s="5">
        <v>1257</v>
      </c>
      <c r="B1318" s="138">
        <f>'Expenditures 15-22'!H174</f>
        <v>146296</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65254</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79376</v>
      </c>
      <c r="C1329" s="2" t="s">
        <v>573</v>
      </c>
      <c r="D1329" s="2" t="str">
        <f t="shared" si="19"/>
        <v>Error?</v>
      </c>
    </row>
    <row r="1330" spans="1:4" x14ac:dyDescent="0.2">
      <c r="A1330" s="5">
        <v>1269</v>
      </c>
      <c r="B1330" s="138">
        <f>'Expenditures 15-22'!K171</f>
        <v>1666</v>
      </c>
      <c r="C1330" s="2" t="s">
        <v>573</v>
      </c>
      <c r="D1330" s="2" t="str">
        <f t="shared" si="19"/>
        <v>Error?</v>
      </c>
    </row>
    <row r="1331" spans="1:4" x14ac:dyDescent="0.2">
      <c r="A1331" s="5">
        <v>1270</v>
      </c>
      <c r="B1331" s="138">
        <f>'Expenditures 15-22'!K172</f>
        <v>146296</v>
      </c>
      <c r="C1331" s="2" t="s">
        <v>573</v>
      </c>
      <c r="D1331" s="2" t="str">
        <f t="shared" si="19"/>
        <v>Error?</v>
      </c>
    </row>
    <row r="1332" spans="1:4" x14ac:dyDescent="0.2">
      <c r="A1332" s="5">
        <v>1271</v>
      </c>
      <c r="B1332" s="138">
        <f>'Expenditures 15-22'!K174</f>
        <v>146296</v>
      </c>
      <c r="C1332" s="2" t="s">
        <v>573</v>
      </c>
      <c r="D1332" s="2" t="str">
        <f t="shared" si="19"/>
        <v>Error?</v>
      </c>
    </row>
    <row r="1333" spans="1:4" x14ac:dyDescent="0.2">
      <c r="A1333" s="5">
        <v>1272</v>
      </c>
      <c r="B1333" s="138">
        <f>'Expenditures 15-22'!K175</f>
        <v>-14070</v>
      </c>
      <c r="C1333" s="2" t="s">
        <v>573</v>
      </c>
      <c r="D1333" s="2" t="str">
        <f t="shared" si="19"/>
        <v>Error?</v>
      </c>
    </row>
    <row r="1334" spans="1:4" x14ac:dyDescent="0.2">
      <c r="A1334" s="10">
        <v>1273</v>
      </c>
      <c r="D1334" s="2" t="str">
        <f t="shared" si="19"/>
        <v>OK</v>
      </c>
    </row>
    <row r="1335" spans="1:4" x14ac:dyDescent="0.2">
      <c r="A1335" s="5">
        <v>1274</v>
      </c>
      <c r="B1335" s="138">
        <f>'Expenditures 15-22'!C182</f>
        <v>52870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52870</v>
      </c>
      <c r="C1339" s="2" t="s">
        <v>573</v>
      </c>
      <c r="D1339" s="2" t="str">
        <f t="shared" si="19"/>
        <v>Error?</v>
      </c>
    </row>
    <row r="1340" spans="1:4" x14ac:dyDescent="0.2">
      <c r="A1340" s="5">
        <v>1279</v>
      </c>
      <c r="B1340" s="138">
        <f>'Expenditures 15-22'!C210</f>
        <v>52870</v>
      </c>
      <c r="C1340" s="2" t="s">
        <v>573</v>
      </c>
      <c r="D1340" s="2" t="str">
        <f t="shared" si="19"/>
        <v>Error?</v>
      </c>
    </row>
    <row r="1341" spans="1:4" x14ac:dyDescent="0.2">
      <c r="A1341" s="5">
        <v>1280</v>
      </c>
      <c r="B1341" s="138">
        <f>'Expenditures 15-22'!D182</f>
        <v>10441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10441</v>
      </c>
      <c r="C1345" s="2" t="s">
        <v>573</v>
      </c>
      <c r="D1345" s="2" t="str">
        <f t="shared" si="20"/>
        <v>Error?</v>
      </c>
    </row>
    <row r="1346" spans="1:4" x14ac:dyDescent="0.2">
      <c r="A1346" s="5">
        <v>1285</v>
      </c>
      <c r="B1346" s="138">
        <f>'Expenditures 15-22'!D210</f>
        <v>10441</v>
      </c>
      <c r="C1346" s="2" t="s">
        <v>573</v>
      </c>
      <c r="D1346" s="2" t="str">
        <f t="shared" si="20"/>
        <v>Error?</v>
      </c>
    </row>
    <row r="1347" spans="1:4" x14ac:dyDescent="0.2">
      <c r="A1347" s="5">
        <v>1286</v>
      </c>
      <c r="B1347" s="138">
        <f>'Expenditures 15-22'!E182</f>
        <v>25735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25735</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25735</v>
      </c>
      <c r="C1353" s="2" t="s">
        <v>573</v>
      </c>
      <c r="D1353" s="2" t="str">
        <f t="shared" si="20"/>
        <v>Error?</v>
      </c>
    </row>
    <row r="1354" spans="1:4" x14ac:dyDescent="0.2">
      <c r="A1354" s="5">
        <v>1293</v>
      </c>
      <c r="B1354" s="138">
        <f>'Expenditures 15-22'!F182</f>
        <v>20254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20254</v>
      </c>
      <c r="C1358" s="2" t="s">
        <v>573</v>
      </c>
      <c r="D1358" s="2" t="str">
        <f t="shared" si="20"/>
        <v>Error?</v>
      </c>
    </row>
    <row r="1359" spans="1:4" x14ac:dyDescent="0.2">
      <c r="A1359" s="5">
        <v>1298</v>
      </c>
      <c r="B1359" s="138">
        <f>'Expenditures 15-22'!F210</f>
        <v>20254</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5311</v>
      </c>
      <c r="C1375" s="2" t="s">
        <v>573</v>
      </c>
      <c r="D1375" s="2" t="str">
        <f t="shared" si="20"/>
        <v>Error?</v>
      </c>
    </row>
    <row r="1376" spans="1:4" x14ac:dyDescent="0.2">
      <c r="A1376" s="5">
        <v>1315</v>
      </c>
      <c r="B1376" s="138">
        <f>'Expenditures 15-22'!H210</f>
        <v>5311</v>
      </c>
      <c r="C1376" s="2" t="s">
        <v>573</v>
      </c>
      <c r="D1376" s="2" t="str">
        <f t="shared" si="20"/>
        <v>Error?</v>
      </c>
    </row>
    <row r="1377" spans="1:4" x14ac:dyDescent="0.2">
      <c r="A1377" s="5">
        <v>1316</v>
      </c>
      <c r="B1377" s="138">
        <f>'Expenditures 15-22'!K182</f>
        <v>109300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109300</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5311</v>
      </c>
      <c r="C1387" s="2" t="s">
        <v>573</v>
      </c>
      <c r="D1387" s="2" t="str">
        <f t="shared" si="20"/>
        <v>Error?</v>
      </c>
    </row>
    <row r="1388" spans="1:4" x14ac:dyDescent="0.2">
      <c r="A1388" s="5">
        <v>1327</v>
      </c>
      <c r="B1388" s="138">
        <f>'Expenditures 15-22'!K210</f>
        <v>114611</v>
      </c>
      <c r="C1388" s="2" t="s">
        <v>573</v>
      </c>
      <c r="D1388" s="2" t="str">
        <f t="shared" si="20"/>
        <v>Error?</v>
      </c>
    </row>
    <row r="1389" spans="1:4" x14ac:dyDescent="0.2">
      <c r="A1389" s="5">
        <v>1328</v>
      </c>
      <c r="B1389" s="138">
        <f>'Expenditures 15-22'!K211</f>
        <v>-2171</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58</v>
      </c>
      <c r="D1407" s="2" t="str">
        <f t="shared" ref="D1407:D1470" si="21">IF(ISBLANK(B1407),"OK",IF(A1407-B1407=0,"OK","Error?"))</f>
        <v>Error?</v>
      </c>
    </row>
    <row r="1408" spans="1:4" x14ac:dyDescent="0.2">
      <c r="A1408" s="5">
        <v>1347</v>
      </c>
      <c r="B1408" s="138">
        <f>'Expenditures 15-22'!D223</f>
        <v>1355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7238</v>
      </c>
      <c r="C1410" s="2" t="s">
        <v>573</v>
      </c>
      <c r="D1410" s="2" t="str">
        <f t="shared" si="21"/>
        <v>Error?</v>
      </c>
    </row>
    <row r="1411" spans="1:4" x14ac:dyDescent="0.2">
      <c r="A1411" s="5">
        <v>1350</v>
      </c>
      <c r="B1411" s="138">
        <f>'Expenditures 15-22'!D232</f>
        <v>1876</v>
      </c>
      <c r="D1411" s="2" t="str">
        <f t="shared" si="21"/>
        <v>Error?</v>
      </c>
    </row>
    <row r="1412" spans="1:4" x14ac:dyDescent="0.2">
      <c r="A1412" s="5">
        <v>1351</v>
      </c>
      <c r="B1412" s="138">
        <f>'Expenditures 15-22'!D233</f>
        <v>7713</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9589</v>
      </c>
      <c r="C1417" s="2" t="s">
        <v>573</v>
      </c>
      <c r="D1417" s="2" t="str">
        <f t="shared" si="21"/>
        <v>Error?</v>
      </c>
    </row>
    <row r="1418" spans="1:4" x14ac:dyDescent="0.2">
      <c r="A1418" s="5">
        <v>1357</v>
      </c>
      <c r="B1418" s="138">
        <f>'Expenditures 15-22'!D240</f>
        <v>15</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15</v>
      </c>
      <c r="C1421" s="2" t="s">
        <v>573</v>
      </c>
      <c r="D1421" s="2" t="str">
        <f t="shared" si="21"/>
        <v>Error?</v>
      </c>
    </row>
    <row r="1422" spans="1:4" x14ac:dyDescent="0.2">
      <c r="A1422" s="5">
        <v>1361</v>
      </c>
      <c r="B1422" s="138">
        <f>'Expenditures 15-22'!D245</f>
        <v>1</v>
      </c>
      <c r="D1422" s="2" t="str">
        <f t="shared" si="21"/>
        <v>Error?</v>
      </c>
    </row>
    <row r="1423" spans="1:4" x14ac:dyDescent="0.2">
      <c r="A1423" s="5">
        <v>1362</v>
      </c>
      <c r="B1423" s="138">
        <f>'Expenditures 15-22'!D246</f>
        <v>1886</v>
      </c>
      <c r="D1423" s="2" t="str">
        <f t="shared" si="21"/>
        <v>Error?</v>
      </c>
    </row>
    <row r="1424" spans="1:4" x14ac:dyDescent="0.2">
      <c r="A1424" s="5">
        <v>1363</v>
      </c>
      <c r="B1424" s="138">
        <f>'Expenditures 15-22'!D257</f>
        <v>6020</v>
      </c>
      <c r="C1424" s="2" t="s">
        <v>573</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14349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16526</v>
      </c>
      <c r="D1431" s="2" t="str">
        <f t="shared" si="21"/>
        <v>Error?</v>
      </c>
    </row>
    <row r="1432" spans="1:4" x14ac:dyDescent="0.2">
      <c r="A1432" s="5">
        <v>1371</v>
      </c>
      <c r="B1432" s="138">
        <f>'Expenditures 15-22'!D267</f>
        <v>12200</v>
      </c>
      <c r="D1432" s="2" t="str">
        <f t="shared" si="21"/>
        <v>Error?</v>
      </c>
    </row>
    <row r="1433" spans="1:4" x14ac:dyDescent="0.2">
      <c r="A1433" s="5">
        <v>1372</v>
      </c>
      <c r="B1433" s="138">
        <f>'Expenditures 15-22'!D268</f>
        <v>7846</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50921</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66545</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73783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58</v>
      </c>
      <c r="C1471" s="2" t="s">
        <v>573</v>
      </c>
      <c r="D1471" s="2" t="str">
        <f t="shared" ref="D1471:D1534" si="22">IF(ISBLANK(B1471),"OK",IF(A1471-B1471=0,"OK","Error?"))</f>
        <v>Error?</v>
      </c>
    </row>
    <row r="1472" spans="1:4" x14ac:dyDescent="0.2">
      <c r="A1472" s="5">
        <v>1411</v>
      </c>
      <c r="B1472" s="138">
        <f>'Expenditures 15-22'!K223</f>
        <v>1355</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7238</v>
      </c>
      <c r="C1474" s="2" t="s">
        <v>573</v>
      </c>
      <c r="D1474" s="2" t="str">
        <f t="shared" si="22"/>
        <v>Error?</v>
      </c>
    </row>
    <row r="1475" spans="1:4" x14ac:dyDescent="0.2">
      <c r="A1475" s="5">
        <v>1414</v>
      </c>
      <c r="B1475" s="138">
        <f>'Expenditures 15-22'!K232</f>
        <v>1876</v>
      </c>
      <c r="C1475" s="2" t="s">
        <v>573</v>
      </c>
      <c r="D1475" s="2" t="str">
        <f t="shared" si="22"/>
        <v>Error?</v>
      </c>
    </row>
    <row r="1476" spans="1:4" x14ac:dyDescent="0.2">
      <c r="A1476" s="5">
        <v>1415</v>
      </c>
      <c r="B1476" s="138">
        <f>'Expenditures 15-22'!K233</f>
        <v>7713</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9589</v>
      </c>
      <c r="C1481" s="2" t="s">
        <v>573</v>
      </c>
      <c r="D1481" s="2" t="str">
        <f t="shared" si="22"/>
        <v>Error?</v>
      </c>
    </row>
    <row r="1482" spans="1:4" x14ac:dyDescent="0.2">
      <c r="A1482" s="5">
        <v>1421</v>
      </c>
      <c r="B1482" s="138">
        <f>'Expenditures 15-22'!K240</f>
        <v>15</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15</v>
      </c>
      <c r="C1485" s="2" t="s">
        <v>573</v>
      </c>
      <c r="D1485" s="2" t="str">
        <f t="shared" si="22"/>
        <v>Error?</v>
      </c>
    </row>
    <row r="1486" spans="1:4" x14ac:dyDescent="0.2">
      <c r="A1486" s="5">
        <v>1425</v>
      </c>
      <c r="B1486" s="138">
        <f>'Expenditures 15-22'!K245</f>
        <v>1</v>
      </c>
      <c r="C1486" s="2" t="s">
        <v>573</v>
      </c>
      <c r="D1486" s="2" t="str">
        <f t="shared" si="22"/>
        <v>Error?</v>
      </c>
    </row>
    <row r="1487" spans="1:4" x14ac:dyDescent="0.2">
      <c r="A1487" s="5">
        <v>1426</v>
      </c>
      <c r="B1487" s="138">
        <f>'Expenditures 15-22'!K246</f>
        <v>1886</v>
      </c>
      <c r="C1487" s="2" t="s">
        <v>573</v>
      </c>
      <c r="D1487" s="2" t="str">
        <f t="shared" si="22"/>
        <v>Error?</v>
      </c>
    </row>
    <row r="1488" spans="1:4" x14ac:dyDescent="0.2">
      <c r="A1488" s="5">
        <v>1427</v>
      </c>
      <c r="B1488" s="138">
        <f>'Expenditures 15-22'!K257</f>
        <v>6020</v>
      </c>
      <c r="C1488" s="2" t="s">
        <v>573</v>
      </c>
      <c r="D1488" s="2" t="str">
        <f t="shared" si="22"/>
        <v>Error?</v>
      </c>
    </row>
    <row r="1489" spans="1:4" x14ac:dyDescent="0.2">
      <c r="A1489" s="5">
        <v>1428</v>
      </c>
      <c r="B1489" s="138">
        <f>'Expenditures 15-22'!K259</f>
        <v>0</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0</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14349</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16526</v>
      </c>
      <c r="C1495" s="2" t="s">
        <v>573</v>
      </c>
      <c r="D1495" s="2" t="str">
        <f t="shared" si="22"/>
        <v>Error?</v>
      </c>
    </row>
    <row r="1496" spans="1:4" x14ac:dyDescent="0.2">
      <c r="A1496" s="5">
        <v>1435</v>
      </c>
      <c r="B1496" s="138">
        <f>'Expenditures 15-22'!K267</f>
        <v>12200</v>
      </c>
      <c r="C1496" s="2" t="s">
        <v>573</v>
      </c>
      <c r="D1496" s="2" t="str">
        <f t="shared" si="22"/>
        <v>Error?</v>
      </c>
    </row>
    <row r="1497" spans="1:4" x14ac:dyDescent="0.2">
      <c r="A1497" s="5">
        <v>1436</v>
      </c>
      <c r="B1497" s="138">
        <f>'Expenditures 15-22'!K268</f>
        <v>7846</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50921</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66545</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73783</v>
      </c>
      <c r="C1517" s="2" t="s">
        <v>573</v>
      </c>
      <c r="D1517" s="2" t="str">
        <f t="shared" si="22"/>
        <v>Error?</v>
      </c>
    </row>
    <row r="1518" spans="1:4" x14ac:dyDescent="0.2">
      <c r="A1518" s="5">
        <v>1457</v>
      </c>
      <c r="B1518" s="138">
        <f>'Expenditures 15-22'!K296</f>
        <v>44581</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709956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574671</v>
      </c>
      <c r="C1630" s="2" t="s">
        <v>573</v>
      </c>
      <c r="D1630" s="2" t="str">
        <f t="shared" si="24"/>
        <v>Error?</v>
      </c>
    </row>
    <row r="1631" spans="1:4" x14ac:dyDescent="0.2">
      <c r="A1631" s="5">
        <v>1570</v>
      </c>
      <c r="B1631" s="138">
        <f>'Acct Summary 7-8'!D79</f>
        <v>8191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26627</v>
      </c>
      <c r="C1644" s="2" t="s">
        <v>573</v>
      </c>
      <c r="D1644" s="2" t="str">
        <f t="shared" si="24"/>
        <v>Error?</v>
      </c>
    </row>
    <row r="1645" spans="1:4" x14ac:dyDescent="0.2">
      <c r="A1645" s="5">
        <v>1584</v>
      </c>
      <c r="B1645" s="138">
        <f>'Acct Summary 7-8'!E79</f>
        <v>72968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58898</v>
      </c>
      <c r="C1658" s="2" t="s">
        <v>573</v>
      </c>
      <c r="D1658" s="2" t="str">
        <f t="shared" si="24"/>
        <v>Error?</v>
      </c>
    </row>
    <row r="1659" spans="1:4" x14ac:dyDescent="0.2">
      <c r="A1659" s="5">
        <v>1598</v>
      </c>
      <c r="B1659" s="138">
        <f>'Acct Summary 7-8'!F79</f>
        <v>16130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13959</v>
      </c>
      <c r="C1672" s="2" t="s">
        <v>573</v>
      </c>
      <c r="D1672" s="2" t="str">
        <f t="shared" si="25"/>
        <v>Error?</v>
      </c>
    </row>
    <row r="1673" spans="1:4" x14ac:dyDescent="0.2">
      <c r="A1673" s="5">
        <v>1612</v>
      </c>
      <c r="B1673" s="138">
        <f>'Acct Summary 7-8'!G79</f>
        <v>116928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161509</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81315</v>
      </c>
      <c r="C1744" s="2" t="s">
        <v>573</v>
      </c>
      <c r="D1744" s="2" t="str">
        <f t="shared" si="26"/>
        <v>Error?</v>
      </c>
    </row>
    <row r="1745" spans="1:5" x14ac:dyDescent="0.2">
      <c r="A1745" s="5">
        <v>1684</v>
      </c>
      <c r="B1745" s="138">
        <f>'Tax Sched 23'!B5</f>
        <v>20329</v>
      </c>
      <c r="C1745" s="2" t="s">
        <v>573</v>
      </c>
      <c r="D1745" s="2" t="str">
        <f t="shared" si="26"/>
        <v>Error?</v>
      </c>
    </row>
    <row r="1746" spans="1:5" x14ac:dyDescent="0.2">
      <c r="A1746" s="5">
        <v>1685</v>
      </c>
      <c r="B1746" s="138">
        <f>'Tax Sched 23'!B6</f>
        <v>132139</v>
      </c>
      <c r="C1746" s="2" t="s">
        <v>573</v>
      </c>
      <c r="D1746" s="2" t="str">
        <f t="shared" si="26"/>
        <v>Error?</v>
      </c>
    </row>
    <row r="1747" spans="1:5" x14ac:dyDescent="0.2">
      <c r="A1747" s="5">
        <v>1686</v>
      </c>
      <c r="B1747" s="138">
        <f>'Tax Sched 23'!B7</f>
        <v>8131</v>
      </c>
      <c r="C1747" s="2" t="s">
        <v>573</v>
      </c>
      <c r="D1747" s="2" t="str">
        <f t="shared" si="26"/>
        <v>Error?</v>
      </c>
    </row>
    <row r="1748" spans="1:5" x14ac:dyDescent="0.2">
      <c r="A1748" s="5">
        <v>1687</v>
      </c>
      <c r="B1748" s="138">
        <f>'Tax Sched 23'!B8</f>
        <v>57288</v>
      </c>
      <c r="C1748" s="2" t="s">
        <v>573</v>
      </c>
      <c r="D1748" s="2" t="str">
        <f t="shared" si="26"/>
        <v>Error?</v>
      </c>
    </row>
    <row r="1749" spans="1:5" x14ac:dyDescent="0.2">
      <c r="A1749" s="5">
        <v>1688</v>
      </c>
      <c r="B1749" s="138">
        <f>'Tax Sched 23'!B10</f>
        <v>2033</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82495</v>
      </c>
      <c r="C1752" s="2" t="s">
        <v>573</v>
      </c>
      <c r="D1752" s="2" t="str">
        <f t="shared" si="26"/>
        <v>Error?</v>
      </c>
    </row>
    <row r="1753" spans="1:5" x14ac:dyDescent="0.2">
      <c r="A1753" s="5">
        <v>1692</v>
      </c>
      <c r="B1753" s="138">
        <f>'Tax Sched 23'!B12</f>
        <v>2033</v>
      </c>
      <c r="C1753" s="2" t="s">
        <v>573</v>
      </c>
      <c r="D1753" s="2" t="str">
        <f t="shared" si="26"/>
        <v>Error?</v>
      </c>
    </row>
    <row r="1754" spans="1:5" x14ac:dyDescent="0.2">
      <c r="A1754" s="5">
        <v>1693</v>
      </c>
      <c r="B1754" s="138">
        <f>'Tax Sched 23'!B14</f>
        <v>1626</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441193</v>
      </c>
      <c r="C1759" s="2" t="s">
        <v>573</v>
      </c>
      <c r="D1759" s="2" t="str">
        <f t="shared" si="26"/>
        <v>Error?</v>
      </c>
    </row>
    <row r="1760" spans="1:5" x14ac:dyDescent="0.2">
      <c r="A1760" s="5">
        <v>1699</v>
      </c>
      <c r="B1760" s="138">
        <f>'Tax Sched 23'!D4</f>
        <v>66776</v>
      </c>
      <c r="C1760" s="2" t="s">
        <v>573</v>
      </c>
      <c r="D1760" s="2" t="str">
        <f t="shared" si="26"/>
        <v>Error?</v>
      </c>
    </row>
    <row r="1761" spans="1:5" x14ac:dyDescent="0.2">
      <c r="A1761" s="5">
        <v>1700</v>
      </c>
      <c r="B1761" s="138">
        <f>'Tax Sched 23'!D5</f>
        <v>16694</v>
      </c>
      <c r="C1761" s="2" t="s">
        <v>573</v>
      </c>
      <c r="D1761" s="2" t="str">
        <f t="shared" si="26"/>
        <v>Error?</v>
      </c>
    </row>
    <row r="1762" spans="1:5" s="8" customFormat="1" x14ac:dyDescent="0.2">
      <c r="A1762" s="5">
        <v>1701</v>
      </c>
      <c r="B1762" s="138">
        <f>'Tax Sched 23'!D6</f>
        <v>109933</v>
      </c>
      <c r="C1762" s="2" t="s">
        <v>573</v>
      </c>
      <c r="D1762" s="2" t="str">
        <f t="shared" si="26"/>
        <v>Error?</v>
      </c>
      <c r="E1762" s="9"/>
    </row>
    <row r="1763" spans="1:5" x14ac:dyDescent="0.2">
      <c r="A1763" s="5">
        <v>1702</v>
      </c>
      <c r="B1763" s="138">
        <f>'Tax Sched 23'!D7</f>
        <v>6677</v>
      </c>
      <c r="C1763" s="2" t="s">
        <v>573</v>
      </c>
      <c r="D1763" s="2" t="str">
        <f t="shared" si="26"/>
        <v>Error?</v>
      </c>
    </row>
    <row r="1764" spans="1:5" x14ac:dyDescent="0.2">
      <c r="A1764" s="5">
        <v>1703</v>
      </c>
      <c r="B1764" s="138">
        <f>'Tax Sched 23'!D8</f>
        <v>47127</v>
      </c>
      <c r="C1764" s="2" t="s">
        <v>573</v>
      </c>
      <c r="D1764" s="2" t="str">
        <f t="shared" si="26"/>
        <v>Error?</v>
      </c>
    </row>
    <row r="1765" spans="1:5" x14ac:dyDescent="0.2">
      <c r="A1765" s="5">
        <v>1704</v>
      </c>
      <c r="B1765" s="138">
        <f>'Tax Sched 23'!D10</f>
        <v>1669</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67631</v>
      </c>
      <c r="C1768" s="2" t="s">
        <v>573</v>
      </c>
      <c r="D1768" s="2" t="str">
        <f t="shared" si="26"/>
        <v>Error?</v>
      </c>
    </row>
    <row r="1769" spans="1:5" x14ac:dyDescent="0.2">
      <c r="A1769" s="5">
        <v>1708</v>
      </c>
      <c r="B1769" s="138">
        <f>'Tax Sched 23'!D12</f>
        <v>1670</v>
      </c>
      <c r="C1769" s="2" t="s">
        <v>573</v>
      </c>
      <c r="D1769" s="2" t="str">
        <f t="shared" si="26"/>
        <v>Error?</v>
      </c>
    </row>
    <row r="1770" spans="1:5" x14ac:dyDescent="0.2">
      <c r="A1770" s="5">
        <v>1709</v>
      </c>
      <c r="B1770" s="138">
        <f>'Tax Sched 23'!D14</f>
        <v>1335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364529</v>
      </c>
      <c r="C1775" s="2" t="s">
        <v>573</v>
      </c>
      <c r="D1775" s="2" t="str">
        <f t="shared" si="26"/>
        <v>Error?</v>
      </c>
    </row>
    <row r="1776" spans="1:5" x14ac:dyDescent="0.2">
      <c r="A1776" s="5">
        <v>1715</v>
      </c>
      <c r="B1776" s="138">
        <f>'Tax Sched 23'!C4</f>
        <v>14539</v>
      </c>
      <c r="D1776" s="2" t="str">
        <f t="shared" si="26"/>
        <v>Error?</v>
      </c>
    </row>
    <row r="1777" spans="1:4" x14ac:dyDescent="0.2">
      <c r="A1777" s="5">
        <v>1716</v>
      </c>
      <c r="B1777" s="138">
        <f>'Tax Sched 23'!C5</f>
        <v>3635</v>
      </c>
      <c r="D1777" s="2" t="str">
        <f t="shared" si="26"/>
        <v>Error?</v>
      </c>
    </row>
    <row r="1778" spans="1:4" x14ac:dyDescent="0.2">
      <c r="A1778" s="5">
        <v>1717</v>
      </c>
      <c r="B1778" s="138">
        <f>'Tax Sched 23'!C6</f>
        <v>22206</v>
      </c>
      <c r="D1778" s="2" t="str">
        <f t="shared" si="26"/>
        <v>Error?</v>
      </c>
    </row>
    <row r="1779" spans="1:4" x14ac:dyDescent="0.2">
      <c r="A1779" s="5">
        <v>1718</v>
      </c>
      <c r="B1779" s="138">
        <f>'Tax Sched 23'!C7</f>
        <v>1454</v>
      </c>
      <c r="D1779" s="2" t="str">
        <f t="shared" si="26"/>
        <v>Error?</v>
      </c>
    </row>
    <row r="1780" spans="1:4" x14ac:dyDescent="0.2">
      <c r="A1780" s="5">
        <v>1719</v>
      </c>
      <c r="B1780" s="138">
        <f>'Tax Sched 23'!C8</f>
        <v>10161</v>
      </c>
      <c r="D1780" s="2" t="str">
        <f t="shared" si="26"/>
        <v>Error?</v>
      </c>
    </row>
    <row r="1781" spans="1:4" x14ac:dyDescent="0.2">
      <c r="A1781" s="5">
        <v>1720</v>
      </c>
      <c r="B1781" s="138">
        <f>'Tax Sched 23'!C10</f>
        <v>364</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14864</v>
      </c>
      <c r="D1784" s="2" t="str">
        <f t="shared" si="26"/>
        <v>Error?</v>
      </c>
    </row>
    <row r="1785" spans="1:4" x14ac:dyDescent="0.2">
      <c r="A1785" s="5">
        <v>1724</v>
      </c>
      <c r="B1785" s="138">
        <f>'Tax Sched 23'!C12</f>
        <v>363</v>
      </c>
      <c r="D1785" s="2" t="str">
        <f t="shared" si="26"/>
        <v>Error?</v>
      </c>
    </row>
    <row r="1786" spans="1:4" x14ac:dyDescent="0.2">
      <c r="A1786" s="5">
        <v>1725</v>
      </c>
      <c r="B1786" s="138">
        <f>'Tax Sched 23'!C14</f>
        <v>291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76664</v>
      </c>
      <c r="C1791" s="2" t="s">
        <v>573</v>
      </c>
      <c r="D1791" s="2" t="str">
        <f t="shared" ref="D1791:D1854" si="27">IF(ISBLANK(B1791),"OK",IF(A1791-B1791=0,"OK","Error?"))</f>
        <v>Error?</v>
      </c>
    </row>
    <row r="1792" spans="1:4" x14ac:dyDescent="0.2">
      <c r="A1792" s="5">
        <v>1731</v>
      </c>
      <c r="B1792" s="138">
        <f>'Tax Sched 23'!F4</f>
        <v>76846</v>
      </c>
      <c r="C1792" s="2" t="s">
        <v>573</v>
      </c>
      <c r="D1792" s="2" t="str">
        <f t="shared" si="27"/>
        <v>Error?</v>
      </c>
    </row>
    <row r="1793" spans="1:4" x14ac:dyDescent="0.2">
      <c r="A1793" s="5">
        <v>1732</v>
      </c>
      <c r="B1793" s="138">
        <f>'Tax Sched 23'!F5</f>
        <v>19211</v>
      </c>
      <c r="C1793" s="2" t="s">
        <v>573</v>
      </c>
      <c r="D1793" s="2" t="str">
        <f t="shared" si="27"/>
        <v>Error?</v>
      </c>
    </row>
    <row r="1794" spans="1:4" x14ac:dyDescent="0.2">
      <c r="A1794" s="5">
        <v>1733</v>
      </c>
      <c r="B1794" s="138">
        <f>'Tax Sched 23'!F6</f>
        <v>117366</v>
      </c>
      <c r="C1794" s="2" t="s">
        <v>573</v>
      </c>
      <c r="D1794" s="2" t="str">
        <f t="shared" si="27"/>
        <v>Error?</v>
      </c>
    </row>
    <row r="1795" spans="1:4" x14ac:dyDescent="0.2">
      <c r="A1795" s="5">
        <v>1734</v>
      </c>
      <c r="B1795" s="138">
        <f>'Tax Sched 23'!F7</f>
        <v>7685</v>
      </c>
      <c r="C1795" s="2" t="s">
        <v>573</v>
      </c>
      <c r="D1795" s="2" t="str">
        <f t="shared" si="27"/>
        <v>Error?</v>
      </c>
    </row>
    <row r="1796" spans="1:4" x14ac:dyDescent="0.2">
      <c r="A1796" s="5">
        <v>1735</v>
      </c>
      <c r="B1796" s="138">
        <f>'Tax Sched 23'!F8</f>
        <v>53703</v>
      </c>
      <c r="C1796" s="2" t="s">
        <v>573</v>
      </c>
      <c r="D1796" s="2" t="str">
        <f t="shared" si="27"/>
        <v>Error?</v>
      </c>
    </row>
    <row r="1797" spans="1:4" x14ac:dyDescent="0.2">
      <c r="A1797" s="5">
        <v>1736</v>
      </c>
      <c r="B1797" s="138">
        <f>'Tax Sched 23'!F10</f>
        <v>1921</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78563</v>
      </c>
      <c r="C1800" s="2" t="s">
        <v>573</v>
      </c>
      <c r="D1800" s="2" t="str">
        <f t="shared" si="27"/>
        <v>Error?</v>
      </c>
    </row>
    <row r="1801" spans="1:4" x14ac:dyDescent="0.2">
      <c r="A1801" s="5">
        <v>1740</v>
      </c>
      <c r="B1801" s="138">
        <f>'Tax Sched 23'!F12</f>
        <v>1922</v>
      </c>
      <c r="C1801" s="2" t="s">
        <v>573</v>
      </c>
      <c r="D1801" s="2" t="str">
        <f t="shared" si="27"/>
        <v>Error?</v>
      </c>
    </row>
    <row r="1802" spans="1:4" x14ac:dyDescent="0.2">
      <c r="A1802" s="5">
        <v>1741</v>
      </c>
      <c r="B1802" s="138">
        <f>'Tax Sched 23'!F14</f>
        <v>1537</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405200</v>
      </c>
      <c r="C1807" s="2" t="s">
        <v>573</v>
      </c>
      <c r="D1807" s="2" t="str">
        <f t="shared" si="27"/>
        <v>Error?</v>
      </c>
    </row>
    <row r="1808" spans="1:4" x14ac:dyDescent="0.2">
      <c r="A1808" s="5">
        <v>1747</v>
      </c>
      <c r="B1808" s="138">
        <f>'Tax Sched 23'!E4</f>
        <v>91385</v>
      </c>
      <c r="D1808" s="2" t="str">
        <f t="shared" si="27"/>
        <v>Error?</v>
      </c>
    </row>
    <row r="1809" spans="1:4" x14ac:dyDescent="0.2">
      <c r="A1809" s="5">
        <v>1748</v>
      </c>
      <c r="B1809" s="138">
        <f>'Tax Sched 23'!E5</f>
        <v>22846</v>
      </c>
      <c r="D1809" s="2" t="str">
        <f t="shared" si="27"/>
        <v>Error?</v>
      </c>
    </row>
    <row r="1810" spans="1:4" x14ac:dyDescent="0.2">
      <c r="A1810" s="5">
        <v>1749</v>
      </c>
      <c r="B1810" s="138">
        <f>'Tax Sched 23'!E6</f>
        <v>139572</v>
      </c>
      <c r="D1810" s="2" t="str">
        <f t="shared" si="27"/>
        <v>Error?</v>
      </c>
    </row>
    <row r="1811" spans="1:4" x14ac:dyDescent="0.2">
      <c r="A1811" s="5">
        <v>1750</v>
      </c>
      <c r="B1811" s="138">
        <f>'Tax Sched 23'!E7</f>
        <v>9139</v>
      </c>
      <c r="D1811" s="2" t="str">
        <f t="shared" si="27"/>
        <v>Error?</v>
      </c>
    </row>
    <row r="1812" spans="1:4" x14ac:dyDescent="0.2">
      <c r="A1812" s="5">
        <v>1751</v>
      </c>
      <c r="B1812" s="138">
        <f>'Tax Sched 23'!E8</f>
        <v>63864</v>
      </c>
      <c r="D1812" s="2" t="str">
        <f t="shared" si="27"/>
        <v>Error?</v>
      </c>
    </row>
    <row r="1813" spans="1:4" x14ac:dyDescent="0.2">
      <c r="A1813" s="5">
        <v>1752</v>
      </c>
      <c r="B1813" s="138">
        <f>'Tax Sched 23'!E10</f>
        <v>2285</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93427</v>
      </c>
      <c r="D1816" s="2" t="str">
        <f t="shared" si="27"/>
        <v>Error?</v>
      </c>
    </row>
    <row r="1817" spans="1:4" x14ac:dyDescent="0.2">
      <c r="A1817" s="5">
        <v>1756</v>
      </c>
      <c r="B1817" s="138">
        <f>'Tax Sched 23'!E12</f>
        <v>2285</v>
      </c>
      <c r="D1817" s="2" t="str">
        <f t="shared" si="27"/>
        <v>Error?</v>
      </c>
    </row>
    <row r="1818" spans="1:4" x14ac:dyDescent="0.2">
      <c r="A1818" s="5">
        <v>1757</v>
      </c>
      <c r="B1818" s="138">
        <f>'Tax Sched 23'!E14</f>
        <v>1828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481864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851880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1626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1626</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1626</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81150</v>
      </c>
      <c r="D2008" s="2" t="str">
        <f t="shared" si="30"/>
        <v>Error?</v>
      </c>
    </row>
    <row r="2009" spans="1:4" x14ac:dyDescent="0.2">
      <c r="A2009" s="5">
        <v>1948</v>
      </c>
      <c r="B2009" s="138">
        <f>'Cap Outlay Deprec 26'!C8</f>
        <v>1827178</v>
      </c>
      <c r="D2009" s="2" t="str">
        <f t="shared" si="30"/>
        <v>Error?</v>
      </c>
    </row>
    <row r="2010" spans="1:4" x14ac:dyDescent="0.2">
      <c r="A2010" s="5">
        <v>1949</v>
      </c>
      <c r="B2010" s="138">
        <f>'Cap Outlay Deprec 26'!C10</f>
        <v>69247</v>
      </c>
      <c r="D2010" s="2" t="str">
        <f t="shared" si="30"/>
        <v>Error?</v>
      </c>
    </row>
    <row r="2011" spans="1:4" x14ac:dyDescent="0.2">
      <c r="A2011" s="5">
        <v>1950</v>
      </c>
      <c r="B2011" s="138">
        <f>'Cap Outlay Deprec 26'!C12</f>
        <v>754916</v>
      </c>
      <c r="D2011" s="2" t="str">
        <f t="shared" si="30"/>
        <v>Error?</v>
      </c>
    </row>
    <row r="2012" spans="1:4" x14ac:dyDescent="0.2">
      <c r="A2012" s="5">
        <v>1951</v>
      </c>
      <c r="B2012" s="138">
        <f>'Cap Outlay Deprec 26'!C13</f>
        <v>367090</v>
      </c>
      <c r="D2012" s="2" t="str">
        <f t="shared" si="30"/>
        <v>Error?</v>
      </c>
    </row>
    <row r="2013" spans="1:4" x14ac:dyDescent="0.2">
      <c r="A2013" s="5">
        <v>1952</v>
      </c>
      <c r="B2013" s="138">
        <f>'Cap Outlay Deprec 26'!C16</f>
        <v>3207381</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19966</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77890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97856</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81150</v>
      </c>
      <c r="C2026" s="2" t="s">
        <v>573</v>
      </c>
      <c r="D2026" s="2" t="str">
        <f t="shared" si="30"/>
        <v>Error?</v>
      </c>
    </row>
    <row r="2027" spans="1:4" x14ac:dyDescent="0.2">
      <c r="A2027" s="5">
        <v>1966</v>
      </c>
      <c r="B2027" s="138">
        <f>'Cap Outlay Deprec 26'!F8</f>
        <v>1847144</v>
      </c>
      <c r="C2027" s="2" t="s">
        <v>573</v>
      </c>
      <c r="D2027" s="2" t="str">
        <f t="shared" si="30"/>
        <v>Error?</v>
      </c>
    </row>
    <row r="2028" spans="1:4" x14ac:dyDescent="0.2">
      <c r="A2028" s="5">
        <v>1967</v>
      </c>
      <c r="B2028" s="138">
        <f>'Cap Outlay Deprec 26'!F10</f>
        <v>69247</v>
      </c>
      <c r="C2028" s="2" t="s">
        <v>573</v>
      </c>
      <c r="D2028" s="2" t="str">
        <f t="shared" si="30"/>
        <v>Error?</v>
      </c>
    </row>
    <row r="2029" spans="1:4" x14ac:dyDescent="0.2">
      <c r="A2029" s="5">
        <v>1968</v>
      </c>
      <c r="B2029" s="138">
        <f>'Cap Outlay Deprec 26'!F12</f>
        <v>832806</v>
      </c>
      <c r="C2029" s="2" t="s">
        <v>573</v>
      </c>
      <c r="D2029" s="2" t="str">
        <f t="shared" si="30"/>
        <v>Error?</v>
      </c>
    </row>
    <row r="2030" spans="1:4" x14ac:dyDescent="0.2">
      <c r="A2030" s="5">
        <v>1969</v>
      </c>
      <c r="B2030" s="138">
        <f>'Cap Outlay Deprec 26'!F13</f>
        <v>367090</v>
      </c>
      <c r="C2030" s="2" t="s">
        <v>573</v>
      </c>
      <c r="D2030" s="2" t="str">
        <f t="shared" si="30"/>
        <v>Error?</v>
      </c>
    </row>
    <row r="2031" spans="1:4" x14ac:dyDescent="0.2">
      <c r="A2031" s="5">
        <v>1970</v>
      </c>
      <c r="B2031" s="138">
        <f>'Cap Outlay Deprec 26'!F16</f>
        <v>3305237</v>
      </c>
      <c r="C2031" s="2" t="s">
        <v>573</v>
      </c>
      <c r="D2031" s="2" t="str">
        <f t="shared" si="30"/>
        <v>Error?</v>
      </c>
    </row>
    <row r="2032" spans="1:4" x14ac:dyDescent="0.2">
      <c r="A2032" s="10">
        <v>1971</v>
      </c>
      <c r="D2032" s="2" t="str">
        <f t="shared" si="30"/>
        <v>OK</v>
      </c>
    </row>
    <row r="2033" spans="1:4" x14ac:dyDescent="0.2">
      <c r="A2033" s="5">
        <v>1972</v>
      </c>
      <c r="B2033" s="138">
        <f>'Cap Outlay Deprec 26'!H8</f>
        <v>1437043</v>
      </c>
      <c r="D2033" s="2" t="str">
        <f t="shared" si="30"/>
        <v>Error?</v>
      </c>
    </row>
    <row r="2034" spans="1:4" x14ac:dyDescent="0.2">
      <c r="A2034" s="5">
        <v>1973</v>
      </c>
      <c r="B2034" s="138">
        <f>'Cap Outlay Deprec 26'!H10</f>
        <v>69247</v>
      </c>
      <c r="D2034" s="2" t="str">
        <f t="shared" si="30"/>
        <v>Error?</v>
      </c>
    </row>
    <row r="2035" spans="1:4" x14ac:dyDescent="0.2">
      <c r="A2035" s="5">
        <v>1974</v>
      </c>
      <c r="B2035" s="138">
        <f>'Cap Outlay Deprec 26'!H12</f>
        <v>717389</v>
      </c>
      <c r="D2035" s="2" t="str">
        <f t="shared" si="30"/>
        <v>Error?</v>
      </c>
    </row>
    <row r="2036" spans="1:4" x14ac:dyDescent="0.2">
      <c r="A2036" s="5">
        <v>1975</v>
      </c>
      <c r="B2036" s="138">
        <f>'Cap Outlay Deprec 26'!H13</f>
        <v>344682</v>
      </c>
      <c r="D2036" s="2" t="str">
        <f t="shared" si="30"/>
        <v>Error?</v>
      </c>
    </row>
    <row r="2037" spans="1:4" x14ac:dyDescent="0.2">
      <c r="A2037" s="5">
        <v>1976</v>
      </c>
      <c r="B2037" s="138">
        <f>'Cap Outlay Deprec 26'!H16</f>
        <v>2676161</v>
      </c>
      <c r="C2037" s="2" t="s">
        <v>573</v>
      </c>
      <c r="D2037" s="2" t="str">
        <f t="shared" si="30"/>
        <v>Error?</v>
      </c>
    </row>
    <row r="2038" spans="1:4" x14ac:dyDescent="0.2">
      <c r="A2038" s="10">
        <v>1977</v>
      </c>
      <c r="D2038" s="2" t="str">
        <f t="shared" si="30"/>
        <v>OK</v>
      </c>
    </row>
    <row r="2039" spans="1:4" x14ac:dyDescent="0.2">
      <c r="A2039" s="5">
        <v>1978</v>
      </c>
      <c r="B2039" s="138">
        <f>'Cap Outlay Deprec 26'!I8</f>
        <v>70200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8182</v>
      </c>
      <c r="D2041" s="2" t="str">
        <f t="shared" si="30"/>
        <v>Error?</v>
      </c>
    </row>
    <row r="2042" spans="1:4" x14ac:dyDescent="0.2">
      <c r="A2042" s="5">
        <v>1981</v>
      </c>
      <c r="B2042" s="138">
        <f>'Cap Outlay Deprec 26'!I13</f>
        <v>5602</v>
      </c>
      <c r="D2042" s="2" t="str">
        <f t="shared" si="30"/>
        <v>Error?</v>
      </c>
    </row>
    <row r="2043" spans="1:4" x14ac:dyDescent="0.2">
      <c r="A2043" s="5">
        <v>1982</v>
      </c>
      <c r="B2043" s="138">
        <f>'Cap Outlay Deprec 26'!I16</f>
        <v>83984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1507243</v>
      </c>
      <c r="C2051" s="2" t="s">
        <v>573</v>
      </c>
      <c r="D2051" s="2" t="str">
        <f t="shared" si="31"/>
        <v>Error?</v>
      </c>
    </row>
    <row r="2052" spans="1:4" x14ac:dyDescent="0.2">
      <c r="A2052" s="5">
        <v>1991</v>
      </c>
      <c r="B2052" s="138">
        <f>'Cap Outlay Deprec 26'!K10</f>
        <v>69247</v>
      </c>
      <c r="C2052" s="2" t="s">
        <v>573</v>
      </c>
      <c r="D2052" s="2" t="str">
        <f t="shared" si="31"/>
        <v>Error?</v>
      </c>
    </row>
    <row r="2053" spans="1:4" x14ac:dyDescent="0.2">
      <c r="A2053" s="5">
        <v>1992</v>
      </c>
      <c r="B2053" s="138">
        <f>'Cap Outlay Deprec 26'!K12</f>
        <v>725571</v>
      </c>
      <c r="C2053" s="2" t="s">
        <v>573</v>
      </c>
      <c r="D2053" s="2" t="str">
        <f t="shared" si="31"/>
        <v>Error?</v>
      </c>
    </row>
    <row r="2054" spans="1:4" x14ac:dyDescent="0.2">
      <c r="A2054" s="5">
        <v>1993</v>
      </c>
      <c r="B2054" s="138">
        <f>'Cap Outlay Deprec 26'!K13</f>
        <v>350284</v>
      </c>
      <c r="C2054" s="2" t="s">
        <v>573</v>
      </c>
      <c r="D2054" s="2" t="str">
        <f t="shared" si="31"/>
        <v>Error?</v>
      </c>
    </row>
    <row r="2055" spans="1:4" x14ac:dyDescent="0.2">
      <c r="A2055" s="5">
        <v>1994</v>
      </c>
      <c r="B2055" s="138">
        <f>'Cap Outlay Deprec 26'!K16</f>
        <v>2760145</v>
      </c>
      <c r="C2055" s="2" t="s">
        <v>573</v>
      </c>
      <c r="D2055" s="2" t="str">
        <f t="shared" si="31"/>
        <v>Error?</v>
      </c>
    </row>
    <row r="2056" spans="1:4" x14ac:dyDescent="0.2">
      <c r="A2056" s="5">
        <v>1995</v>
      </c>
      <c r="B2056" s="138">
        <f>'Cap Outlay Deprec 26'!L5</f>
        <v>81150</v>
      </c>
      <c r="C2056" s="2" t="s">
        <v>573</v>
      </c>
      <c r="D2056" s="2" t="str">
        <f t="shared" si="31"/>
        <v>Error?</v>
      </c>
    </row>
    <row r="2057" spans="1:4" x14ac:dyDescent="0.2">
      <c r="A2057" s="5">
        <v>1996</v>
      </c>
      <c r="B2057" s="138">
        <f>'Cap Outlay Deprec 26'!L8</f>
        <v>339901</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107235</v>
      </c>
      <c r="C2059" s="2" t="s">
        <v>573</v>
      </c>
      <c r="D2059" s="2" t="str">
        <f t="shared" si="31"/>
        <v>Error?</v>
      </c>
    </row>
    <row r="2060" spans="1:4" x14ac:dyDescent="0.2">
      <c r="A2060" s="5">
        <v>1999</v>
      </c>
      <c r="B2060" s="138">
        <f>'Cap Outlay Deprec 26'!L13</f>
        <v>16806</v>
      </c>
      <c r="C2060" s="2" t="s">
        <v>573</v>
      </c>
      <c r="D2060" s="2" t="str">
        <f t="shared" si="31"/>
        <v>Error?</v>
      </c>
    </row>
    <row r="2061" spans="1:4" x14ac:dyDescent="0.2">
      <c r="A2061" s="5">
        <v>2000</v>
      </c>
      <c r="B2061" s="138">
        <f>'Cap Outlay Deprec 26'!L16</f>
        <v>545092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573</v>
      </c>
      <c r="D2088" s="2" t="str">
        <f t="shared" si="31"/>
        <v>Error?</v>
      </c>
    </row>
    <row r="2089" spans="1:4" x14ac:dyDescent="0.2">
      <c r="A2089" s="5">
        <v>2028</v>
      </c>
      <c r="B2089" s="138">
        <f>'Expenditures 15-22'!K92</f>
        <v>36600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7111</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47186</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346149</v>
      </c>
      <c r="C2551" s="2" t="s">
        <v>573</v>
      </c>
      <c r="D2551" s="2" t="str">
        <f t="shared" si="38"/>
        <v>Error?</v>
      </c>
    </row>
    <row r="2552" spans="1:4" x14ac:dyDescent="0.2">
      <c r="A2552" s="10">
        <v>2491</v>
      </c>
      <c r="D2552" s="2" t="str">
        <f t="shared" si="38"/>
        <v>OK</v>
      </c>
    </row>
    <row r="2553" spans="1:4" x14ac:dyDescent="0.2">
      <c r="A2553" s="5">
        <v>2492</v>
      </c>
      <c r="B2553" s="138">
        <f>'Acct Summary 7-8'!C6</f>
        <v>775645</v>
      </c>
      <c r="C2553" s="2" t="s">
        <v>573</v>
      </c>
      <c r="D2553" s="2" t="str">
        <f t="shared" si="38"/>
        <v>Error?</v>
      </c>
    </row>
    <row r="2554" spans="1:4" x14ac:dyDescent="0.2">
      <c r="A2554" s="5">
        <v>2493</v>
      </c>
      <c r="B2554" s="138">
        <f>'Acct Summary 7-8'!C7</f>
        <v>807692</v>
      </c>
      <c r="C2554" s="2" t="s">
        <v>573</v>
      </c>
      <c r="D2554" s="2" t="str">
        <f t="shared" si="38"/>
        <v>Error?</v>
      </c>
    </row>
    <row r="2555" spans="1:4" x14ac:dyDescent="0.2">
      <c r="A2555" s="5">
        <v>2494</v>
      </c>
      <c r="B2555" s="138">
        <f>'Acct Summary 7-8'!C8</f>
        <v>1929486</v>
      </c>
      <c r="C2555" s="2" t="s">
        <v>573</v>
      </c>
      <c r="D2555" s="2" t="str">
        <f t="shared" si="38"/>
        <v>Error?</v>
      </c>
    </row>
    <row r="2556" spans="1:4" x14ac:dyDescent="0.2">
      <c r="A2556" s="5">
        <v>2495</v>
      </c>
      <c r="B2556" s="138">
        <f>'Acct Summary 7-8'!C12</f>
        <v>976162</v>
      </c>
      <c r="C2556" s="2" t="s">
        <v>573</v>
      </c>
      <c r="D2556" s="2" t="str">
        <f t="shared" si="38"/>
        <v>Error?</v>
      </c>
    </row>
    <row r="2557" spans="1:4" x14ac:dyDescent="0.2">
      <c r="A2557" s="5">
        <v>2496</v>
      </c>
      <c r="B2557" s="138">
        <f>'Acct Summary 7-8'!C13</f>
        <v>1022329</v>
      </c>
      <c r="C2557" s="2" t="s">
        <v>573</v>
      </c>
      <c r="D2557" s="2" t="str">
        <f t="shared" si="38"/>
        <v>Error?</v>
      </c>
    </row>
    <row r="2558" spans="1:4" x14ac:dyDescent="0.2">
      <c r="A2558" s="5">
        <v>2497</v>
      </c>
      <c r="B2558" s="138">
        <f>'Acct Summary 7-8'!C14</f>
        <v>29680</v>
      </c>
      <c r="C2558" s="2" t="s">
        <v>573</v>
      </c>
      <c r="D2558" s="2" t="str">
        <f t="shared" si="38"/>
        <v>Error?</v>
      </c>
    </row>
    <row r="2559" spans="1:4" x14ac:dyDescent="0.2">
      <c r="A2559" s="5">
        <v>2498</v>
      </c>
      <c r="B2559" s="138">
        <f>'Acct Summary 7-8'!C15</f>
        <v>36600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2064771</v>
      </c>
      <c r="C2561" s="2" t="s">
        <v>573</v>
      </c>
      <c r="D2561" s="2" t="str">
        <f t="shared" si="39"/>
        <v>Error?</v>
      </c>
    </row>
    <row r="2562" spans="1:4" x14ac:dyDescent="0.2">
      <c r="A2562" s="5">
        <v>2501</v>
      </c>
      <c r="B2562" s="138">
        <f>'Acct Summary 7-8'!C20</f>
        <v>-135285</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39661</v>
      </c>
      <c r="C2564" s="2" t="s">
        <v>573</v>
      </c>
      <c r="D2564" s="2" t="str">
        <f t="shared" si="39"/>
        <v>Error?</v>
      </c>
    </row>
    <row r="2565" spans="1:4" x14ac:dyDescent="0.2">
      <c r="A2565" s="10">
        <v>2504</v>
      </c>
      <c r="D2565" s="2" t="str">
        <f t="shared" si="39"/>
        <v>OK</v>
      </c>
    </row>
    <row r="2566" spans="1:4" x14ac:dyDescent="0.2">
      <c r="A2566" s="5">
        <v>2505</v>
      </c>
      <c r="B2566" s="138">
        <f>'Acct Summary 7-8'!D6</f>
        <v>257500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297161</v>
      </c>
      <c r="C2568" s="2" t="s">
        <v>573</v>
      </c>
      <c r="D2568" s="2" t="str">
        <f t="shared" si="39"/>
        <v>Error?</v>
      </c>
    </row>
    <row r="2569" spans="1:4" x14ac:dyDescent="0.2">
      <c r="A2569" s="5">
        <v>2508</v>
      </c>
      <c r="B2569" s="138">
        <f>'Acct Summary 7-8'!D13</f>
        <v>278725</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278725</v>
      </c>
      <c r="C2573" s="2" t="s">
        <v>573</v>
      </c>
      <c r="D2573" s="2" t="str">
        <f t="shared" si="39"/>
        <v>Error?</v>
      </c>
    </row>
    <row r="2574" spans="1:4" x14ac:dyDescent="0.2">
      <c r="A2574" s="5">
        <v>2513</v>
      </c>
      <c r="B2574" s="138">
        <f>'Acct Summary 7-8'!D20</f>
        <v>18436</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8131</v>
      </c>
      <c r="C2591" s="2" t="s">
        <v>573</v>
      </c>
      <c r="D2591" s="2" t="str">
        <f t="shared" si="39"/>
        <v>Error?</v>
      </c>
    </row>
    <row r="2592" spans="1:4" x14ac:dyDescent="0.2">
      <c r="A2592" s="10">
        <v>2531</v>
      </c>
      <c r="D2592" s="2" t="str">
        <f t="shared" si="39"/>
        <v>OK</v>
      </c>
    </row>
    <row r="2593" spans="1:4" x14ac:dyDescent="0.2">
      <c r="A2593" s="5">
        <v>2532</v>
      </c>
      <c r="B2593" s="138">
        <f>'Acct Summary 7-8'!F6</f>
        <v>104309</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112440</v>
      </c>
      <c r="C2595" s="2" t="s">
        <v>573</v>
      </c>
      <c r="D2595" s="2" t="str">
        <f t="shared" si="39"/>
        <v>Error?</v>
      </c>
    </row>
    <row r="2596" spans="1:4" x14ac:dyDescent="0.2">
      <c r="A2596" s="5">
        <v>2535</v>
      </c>
      <c r="B2596" s="138">
        <f>'Acct Summary 7-8'!F13</f>
        <v>109300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5311</v>
      </c>
      <c r="C2599" s="2" t="s">
        <v>573</v>
      </c>
      <c r="D2599" s="2" t="str">
        <f t="shared" si="39"/>
        <v>Error?</v>
      </c>
    </row>
    <row r="2600" spans="1:4" x14ac:dyDescent="0.2">
      <c r="A2600" s="5">
        <v>2539</v>
      </c>
      <c r="B2600" s="138">
        <f>'Acct Summary 7-8'!F17</f>
        <v>114611</v>
      </c>
      <c r="C2600" s="2" t="s">
        <v>573</v>
      </c>
      <c r="D2600" s="2" t="str">
        <f t="shared" si="39"/>
        <v>Error?</v>
      </c>
    </row>
    <row r="2601" spans="1:4" x14ac:dyDescent="0.2">
      <c r="A2601" s="5">
        <v>2540</v>
      </c>
      <c r="B2601" s="138">
        <f>'Acct Summary 7-8'!F20</f>
        <v>-2171</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118364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118364</v>
      </c>
      <c r="C2606" s="2" t="s">
        <v>573</v>
      </c>
      <c r="D2606" s="2" t="str">
        <f t="shared" si="39"/>
        <v>Error?</v>
      </c>
    </row>
    <row r="2607" spans="1:4" x14ac:dyDescent="0.2">
      <c r="A2607" s="5">
        <v>2546</v>
      </c>
      <c r="B2607" s="138">
        <f>'Acct Summary 7-8'!G12</f>
        <v>7238</v>
      </c>
      <c r="C2607" s="2" t="s">
        <v>573</v>
      </c>
      <c r="D2607" s="2" t="str">
        <f t="shared" si="39"/>
        <v>Error?</v>
      </c>
    </row>
    <row r="2608" spans="1:4" x14ac:dyDescent="0.2">
      <c r="A2608" s="5">
        <v>2547</v>
      </c>
      <c r="B2608" s="138">
        <f>'Acct Summary 7-8'!G13</f>
        <v>66545</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73783</v>
      </c>
      <c r="C2612" s="2" t="s">
        <v>573</v>
      </c>
      <c r="D2612" s="2" t="str">
        <f t="shared" si="39"/>
        <v>Error?</v>
      </c>
    </row>
    <row r="2613" spans="1:4" x14ac:dyDescent="0.2">
      <c r="A2613" s="5">
        <v>2552</v>
      </c>
      <c r="B2613" s="138">
        <f>'Acct Summary 7-8'!G20</f>
        <v>44581</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132226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132226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146296</v>
      </c>
      <c r="C2634" s="2" t="s">
        <v>573</v>
      </c>
      <c r="D2634" s="2" t="str">
        <f t="shared" si="40"/>
        <v>Error?</v>
      </c>
    </row>
    <row r="2635" spans="1:4" x14ac:dyDescent="0.2">
      <c r="A2635" s="5">
        <v>2574</v>
      </c>
      <c r="B2635" s="138">
        <f>'Acct Summary 7-8'!E17</f>
        <v>146296</v>
      </c>
      <c r="C2635" s="2" t="s">
        <v>573</v>
      </c>
      <c r="D2635" s="2" t="str">
        <f t="shared" si="40"/>
        <v>Error?</v>
      </c>
    </row>
    <row r="2636" spans="1:4" x14ac:dyDescent="0.2">
      <c r="A2636" s="5">
        <v>2575</v>
      </c>
      <c r="B2636" s="138">
        <f>'Acct Summary 7-8'!E20</f>
        <v>-14070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16496</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16496</v>
      </c>
      <c r="D2912" s="2" t="str">
        <f t="shared" si="44"/>
        <v>Error?</v>
      </c>
    </row>
    <row r="2913" spans="1:4" x14ac:dyDescent="0.2">
      <c r="A2913" s="5">
        <v>2852</v>
      </c>
      <c r="B2913" s="138">
        <f>'Assets-Liab 5-6'!I41</f>
        <v>16496</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68854</v>
      </c>
      <c r="D3055" s="2" t="str">
        <f t="shared" si="46"/>
        <v>Error?</v>
      </c>
    </row>
    <row r="3056" spans="1:4" x14ac:dyDescent="0.2">
      <c r="A3056" s="5">
        <v>2995</v>
      </c>
      <c r="B3056" s="138">
        <f>'Expenditures 15-22'!D10</f>
        <v>61880</v>
      </c>
      <c r="D3056" s="2" t="str">
        <f t="shared" si="46"/>
        <v>Error?</v>
      </c>
    </row>
    <row r="3057" spans="1:4" x14ac:dyDescent="0.2">
      <c r="A3057" s="5">
        <v>2996</v>
      </c>
      <c r="B3057" s="138">
        <f>'Expenditures 15-22'!E10</f>
        <v>3000</v>
      </c>
      <c r="D3057" s="2" t="str">
        <f t="shared" si="46"/>
        <v>Error?</v>
      </c>
    </row>
    <row r="3058" spans="1:4" x14ac:dyDescent="0.2">
      <c r="A3058" s="5">
        <v>2997</v>
      </c>
      <c r="B3058" s="138">
        <f>'Expenditures 15-22'!F10</f>
        <v>2108</v>
      </c>
      <c r="D3058" s="2" t="str">
        <f t="shared" si="46"/>
        <v>Error?</v>
      </c>
    </row>
    <row r="3059" spans="1:4" x14ac:dyDescent="0.2">
      <c r="A3059" s="5">
        <v>2998</v>
      </c>
      <c r="B3059" s="138">
        <f>'Expenditures 15-22'!G10</f>
        <v>10992</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146834</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2033</v>
      </c>
      <c r="C3225" s="2" t="s">
        <v>573</v>
      </c>
      <c r="D3225" s="2" t="str">
        <f t="shared" si="49"/>
        <v>Error?</v>
      </c>
    </row>
    <row r="3226" spans="1:4" x14ac:dyDescent="0.2">
      <c r="A3226" s="5">
        <v>3165</v>
      </c>
      <c r="B3226" s="138">
        <f>'Acct Summary 7-8'!I8</f>
        <v>2033</v>
      </c>
      <c r="C3226" s="2" t="s">
        <v>573</v>
      </c>
      <c r="D3226" s="2" t="str">
        <f t="shared" si="49"/>
        <v>Error?</v>
      </c>
    </row>
    <row r="3227" spans="1:4" x14ac:dyDescent="0.2">
      <c r="A3227" s="5">
        <v>3166</v>
      </c>
      <c r="B3227" s="138">
        <f>'Acct Summary 7-8'!I20</f>
        <v>2033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-135285</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18436</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-2171</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44581</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-14070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2033</v>
      </c>
      <c r="C3320" s="2" t="s">
        <v>573</v>
      </c>
      <c r="D3320" s="2" t="str">
        <f t="shared" si="50"/>
        <v>Error?</v>
      </c>
    </row>
    <row r="3321" spans="1:4" x14ac:dyDescent="0.2">
      <c r="A3321" s="5">
        <v>3260</v>
      </c>
      <c r="B3321" s="138">
        <f>'Acct Summary 7-8'!I79</f>
        <v>14463</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16496</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5825</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5825</v>
      </c>
      <c r="C3390" s="2" t="s">
        <v>573</v>
      </c>
      <c r="D3390" s="2" t="str">
        <f t="shared" si="51"/>
        <v>Error?</v>
      </c>
    </row>
    <row r="3391" spans="1:4" x14ac:dyDescent="0.2">
      <c r="A3391" s="5">
        <v>3330</v>
      </c>
      <c r="B3391" s="138">
        <f>'Expenditures 15-22'!K217</f>
        <v>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530424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26627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58898</v>
      </c>
      <c r="D3417" s="2" t="str">
        <f t="shared" si="52"/>
        <v>Error?</v>
      </c>
    </row>
    <row r="3418" spans="1:4" x14ac:dyDescent="0.2">
      <c r="A3418" s="10">
        <v>3357</v>
      </c>
      <c r="D3418" s="2" t="str">
        <f t="shared" si="52"/>
        <v>OK</v>
      </c>
    </row>
    <row r="3419" spans="1:4" x14ac:dyDescent="0.2">
      <c r="A3419" s="5">
        <v>3358</v>
      </c>
      <c r="B3419" s="138">
        <f>'Assets-Liab 5-6'!F4</f>
        <v>13959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161509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16496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52876</v>
      </c>
      <c r="C3446" s="2" t="s">
        <v>573</v>
      </c>
      <c r="D3446" s="2" t="str">
        <f t="shared" si="52"/>
        <v>Error?</v>
      </c>
    </row>
    <row r="3447" spans="1:4" x14ac:dyDescent="0.2">
      <c r="A3447" s="5">
        <v>3386</v>
      </c>
      <c r="B3447" s="138">
        <f>'Tax Sched 23'!D16</f>
        <v>44256</v>
      </c>
      <c r="C3447" s="2" t="s">
        <v>573</v>
      </c>
      <c r="D3447" s="2" t="str">
        <f t="shared" si="52"/>
        <v>Error?</v>
      </c>
    </row>
    <row r="3448" spans="1:4" x14ac:dyDescent="0.2">
      <c r="A3448" s="5">
        <v>3387</v>
      </c>
      <c r="B3448" s="138">
        <f>'Tax Sched 23'!C16</f>
        <v>8620</v>
      </c>
      <c r="D3448" s="2" t="str">
        <f t="shared" si="52"/>
        <v>Error?</v>
      </c>
    </row>
    <row r="3449" spans="1:4" x14ac:dyDescent="0.2">
      <c r="A3449" s="5">
        <v>3388</v>
      </c>
      <c r="B3449" s="138">
        <f>'Tax Sched 23'!F16</f>
        <v>45562</v>
      </c>
      <c r="C3449" s="2" t="s">
        <v>573</v>
      </c>
      <c r="D3449" s="2" t="str">
        <f t="shared" si="52"/>
        <v>Error?</v>
      </c>
    </row>
    <row r="3450" spans="1:4" x14ac:dyDescent="0.2">
      <c r="A3450" s="5">
        <v>3389</v>
      </c>
      <c r="B3450" s="138">
        <f>'Tax Sched 23'!E16</f>
        <v>54182</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1396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1396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1396</v>
      </c>
      <c r="D3567" s="2" t="str">
        <f t="shared" si="54"/>
        <v>Error?</v>
      </c>
    </row>
    <row r="3568" spans="1:4" x14ac:dyDescent="0.2">
      <c r="A3568" s="5">
        <v>3507</v>
      </c>
      <c r="B3568" s="138">
        <f>'Assets-Liab 5-6'!K41</f>
        <v>1396</v>
      </c>
      <c r="C3568" s="2" t="s">
        <v>573</v>
      </c>
      <c r="D3568" s="2" t="str">
        <f t="shared" si="54"/>
        <v>Error?</v>
      </c>
    </row>
    <row r="3569" spans="1:4" x14ac:dyDescent="0.2">
      <c r="A3569" s="5">
        <v>3508</v>
      </c>
      <c r="B3569" s="138">
        <f>'Acct Summary 7-8'!K4</f>
        <v>2033</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2033</v>
      </c>
      <c r="C3571" s="2" t="s">
        <v>573</v>
      </c>
      <c r="D3571" s="2" t="str">
        <f t="shared" si="54"/>
        <v>Error?</v>
      </c>
    </row>
    <row r="3572" spans="1:4" x14ac:dyDescent="0.2">
      <c r="A3572" s="5">
        <v>3511</v>
      </c>
      <c r="B3572" s="138">
        <f>'Acct Summary 7-8'!K13</f>
        <v>1218</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1218</v>
      </c>
      <c r="C3575" s="2" t="s">
        <v>573</v>
      </c>
      <c r="D3575" s="2" t="str">
        <f t="shared" si="54"/>
        <v>Error?</v>
      </c>
    </row>
    <row r="3576" spans="1:4" x14ac:dyDescent="0.2">
      <c r="A3576" s="5">
        <v>3515</v>
      </c>
      <c r="B3576" s="138">
        <f>'Acct Summary 7-8'!K20</f>
        <v>815</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815</v>
      </c>
      <c r="C3588" s="2" t="s">
        <v>573</v>
      </c>
      <c r="D3588" s="2" t="str">
        <f t="shared" si="55"/>
        <v>Error?</v>
      </c>
    </row>
    <row r="3589" spans="1:4" x14ac:dyDescent="0.2">
      <c r="A3589" s="5">
        <v>3528</v>
      </c>
      <c r="B3589" s="138">
        <f>'Acct Summary 7-8'!K79</f>
        <v>581</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1396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1218</v>
      </c>
      <c r="D3632" s="2" t="str">
        <f t="shared" si="55"/>
        <v>Error?</v>
      </c>
    </row>
    <row r="3633" spans="1:4" x14ac:dyDescent="0.2">
      <c r="A3633" s="5">
        <v>3572</v>
      </c>
      <c r="B3633" s="138">
        <f>'Expenditures 15-22'!E350</f>
        <v>1218</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1218</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1218</v>
      </c>
      <c r="C3669" s="2" t="s">
        <v>573</v>
      </c>
      <c r="D3669" s="2" t="str">
        <f t="shared" si="56"/>
        <v>Error?</v>
      </c>
    </row>
    <row r="3670" spans="1:4" x14ac:dyDescent="0.2">
      <c r="A3670" s="5">
        <v>3609</v>
      </c>
      <c r="B3670" s="138">
        <f>'Expenditures 15-22'!K350</f>
        <v>1218</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1218</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1218</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815</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928</v>
      </c>
      <c r="C3725" s="2" t="s">
        <v>573</v>
      </c>
      <c r="D3725" s="2" t="str">
        <f t="shared" si="57"/>
        <v>Error?</v>
      </c>
    </row>
    <row r="3726" spans="1:4" x14ac:dyDescent="0.2">
      <c r="A3726" s="5">
        <v>3665</v>
      </c>
      <c r="B3726" s="138">
        <f>'Tax Sched 23'!D13</f>
        <v>761</v>
      </c>
      <c r="C3726" s="2" t="s">
        <v>573</v>
      </c>
      <c r="D3726" s="2" t="str">
        <f t="shared" si="57"/>
        <v>Error?</v>
      </c>
    </row>
    <row r="3727" spans="1:4" x14ac:dyDescent="0.2">
      <c r="A3727" s="5">
        <v>3666</v>
      </c>
      <c r="B3727" s="138">
        <f>'Tax Sched 23'!C13</f>
        <v>167</v>
      </c>
      <c r="D3727" s="2" t="str">
        <f t="shared" si="57"/>
        <v>Error?</v>
      </c>
    </row>
    <row r="3728" spans="1:4" x14ac:dyDescent="0.2">
      <c r="A3728" s="5">
        <v>3667</v>
      </c>
      <c r="B3728" s="138">
        <f>'Tax Sched 23'!F13</f>
        <v>884</v>
      </c>
      <c r="C3728" s="2" t="s">
        <v>573</v>
      </c>
      <c r="D3728" s="2" t="str">
        <f t="shared" si="57"/>
        <v>Error?</v>
      </c>
    </row>
    <row r="3729" spans="1:4" x14ac:dyDescent="0.2">
      <c r="A3729" s="5">
        <v>3668</v>
      </c>
      <c r="B3729" s="138">
        <f>'Tax Sched 23'!E13</f>
        <v>1051</v>
      </c>
      <c r="D3729" s="2" t="str">
        <f t="shared" si="57"/>
        <v>Error?</v>
      </c>
    </row>
    <row r="3730" spans="1:4" x14ac:dyDescent="0.2">
      <c r="A3730" s="5">
        <v>3669</v>
      </c>
      <c r="B3730" s="138">
        <f>'ICR Computation 30'!E10</f>
        <v>116461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501577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2431063</v>
      </c>
      <c r="C4122" s="2" t="s">
        <v>573</v>
      </c>
      <c r="D4122" s="2" t="str">
        <f t="shared" si="63"/>
        <v>Error?</v>
      </c>
    </row>
    <row r="4123" spans="1:4" x14ac:dyDescent="0.2">
      <c r="A4123" s="5">
        <v>4062</v>
      </c>
      <c r="B4123" s="138">
        <f>'Acct Summary 7-8'!D10</f>
        <v>297161</v>
      </c>
      <c r="C4123" s="2" t="s">
        <v>573</v>
      </c>
      <c r="D4123" s="2" t="str">
        <f t="shared" si="63"/>
        <v>Error?</v>
      </c>
    </row>
    <row r="4124" spans="1:4" x14ac:dyDescent="0.2">
      <c r="A4124" s="5">
        <v>4063</v>
      </c>
      <c r="B4124" s="138">
        <f>'Acct Summary 7-8'!E10</f>
        <v>132226</v>
      </c>
      <c r="C4124" s="2" t="s">
        <v>573</v>
      </c>
      <c r="D4124" s="2" t="str">
        <f t="shared" si="63"/>
        <v>Error?</v>
      </c>
    </row>
    <row r="4125" spans="1:4" x14ac:dyDescent="0.2">
      <c r="A4125" s="5">
        <v>4064</v>
      </c>
      <c r="B4125" s="138">
        <f>'Acct Summary 7-8'!F10</f>
        <v>112440</v>
      </c>
      <c r="C4125" s="2" t="s">
        <v>573</v>
      </c>
      <c r="D4125" s="2" t="str">
        <f t="shared" si="63"/>
        <v>Error?</v>
      </c>
    </row>
    <row r="4126" spans="1:4" x14ac:dyDescent="0.2">
      <c r="A4126" s="5">
        <v>4065</v>
      </c>
      <c r="B4126" s="138">
        <f>'Acct Summary 7-8'!G10</f>
        <v>118364</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2033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2033</v>
      </c>
      <c r="C4130" s="2" t="s">
        <v>573</v>
      </c>
      <c r="D4130" s="2" t="str">
        <f t="shared" si="63"/>
        <v>Error?</v>
      </c>
    </row>
    <row r="4131" spans="1:4" x14ac:dyDescent="0.2">
      <c r="A4131" s="5">
        <v>4070</v>
      </c>
      <c r="B4131" s="138">
        <f>'Acct Summary 7-8'!C18</f>
        <v>501577</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2566348</v>
      </c>
      <c r="C4136" s="2" t="s">
        <v>573</v>
      </c>
      <c r="D4136" s="2" t="str">
        <f t="shared" si="63"/>
        <v>Error?</v>
      </c>
    </row>
    <row r="4137" spans="1:4" x14ac:dyDescent="0.2">
      <c r="A4137" s="5">
        <v>4076</v>
      </c>
      <c r="B4137" s="138">
        <f>'Acct Summary 7-8'!D19</f>
        <v>278725</v>
      </c>
      <c r="C4137" s="2" t="s">
        <v>573</v>
      </c>
      <c r="D4137" s="2" t="str">
        <f t="shared" si="63"/>
        <v>Error?</v>
      </c>
    </row>
    <row r="4138" spans="1:4" x14ac:dyDescent="0.2">
      <c r="A4138" s="5">
        <v>4077</v>
      </c>
      <c r="B4138" s="138">
        <f>'Acct Summary 7-8'!E19</f>
        <v>146296</v>
      </c>
      <c r="C4138" s="2" t="s">
        <v>573</v>
      </c>
      <c r="D4138" s="2" t="str">
        <f t="shared" si="63"/>
        <v>Error?</v>
      </c>
    </row>
    <row r="4139" spans="1:4" x14ac:dyDescent="0.2">
      <c r="A4139" s="5">
        <v>4078</v>
      </c>
      <c r="B4139" s="138">
        <f>'Acct Summary 7-8'!F19</f>
        <v>114611</v>
      </c>
      <c r="C4139" s="2" t="s">
        <v>573</v>
      </c>
      <c r="D4139" s="2" t="str">
        <f t="shared" si="63"/>
        <v>Error?</v>
      </c>
    </row>
    <row r="4140" spans="1:4" x14ac:dyDescent="0.2">
      <c r="A4140" s="5">
        <v>4079</v>
      </c>
      <c r="B4140" s="138">
        <f>'Acct Summary 7-8'!G19</f>
        <v>73783</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1218</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772504</v>
      </c>
      <c r="C4171" s="2" t="s">
        <v>573</v>
      </c>
      <c r="D4171" s="2" t="str">
        <f t="shared" si="64"/>
        <v>Error?</v>
      </c>
    </row>
    <row r="4172" spans="1:4" x14ac:dyDescent="0.2">
      <c r="A4172" s="5">
        <v>4111</v>
      </c>
      <c r="B4172" s="138">
        <f>'Short-Term Long-Term Debt 24'!J49</f>
        <v>713606</v>
      </c>
      <c r="C4172" s="2" t="s">
        <v>573</v>
      </c>
      <c r="D4172" s="2" t="str">
        <f t="shared" si="64"/>
        <v>Error?</v>
      </c>
    </row>
    <row r="4173" spans="1:4" x14ac:dyDescent="0.2">
      <c r="A4173" s="5">
        <v>4112</v>
      </c>
      <c r="B4173" s="138">
        <f>'Short-Term Long-Term Debt 24'!H49</f>
        <v>79376</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5311</v>
      </c>
      <c r="D4210" s="2" t="str">
        <f t="shared" si="64"/>
        <v>Error?</v>
      </c>
    </row>
    <row r="4211" spans="1:4" x14ac:dyDescent="0.2">
      <c r="A4211" s="5">
        <v>4150</v>
      </c>
      <c r="B4211" s="138">
        <f>'Expenditures 15-22'!K206</f>
        <v>5311</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2000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2700</v>
      </c>
      <c r="C4268" s="2" t="s">
        <v>573</v>
      </c>
      <c r="D4268" s="2" t="str">
        <f t="shared" si="65"/>
        <v>Error?</v>
      </c>
    </row>
    <row r="4269" spans="1:5" x14ac:dyDescent="0.2">
      <c r="A4269" s="12">
        <v>4208</v>
      </c>
      <c r="B4269" s="138">
        <f>'FP Info 3'!J16</f>
        <v>631753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387500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3164</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349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17253</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4569248</v>
      </c>
      <c r="D4995" s="2" t="str">
        <f t="shared" si="77"/>
        <v>Error?</v>
      </c>
    </row>
    <row r="4996" spans="1:4" x14ac:dyDescent="0.2">
      <c r="A4996" s="12">
        <v>4935</v>
      </c>
      <c r="B4996" s="138">
        <f>'FP Info 3'!H31</f>
        <v>630556.22400000005</v>
      </c>
      <c r="D4996" s="2" t="str">
        <f t="shared" si="77"/>
        <v>Error?</v>
      </c>
    </row>
    <row r="4997" spans="1:4" x14ac:dyDescent="0.2">
      <c r="A4997" s="12">
        <v>4936</v>
      </c>
      <c r="B4997" s="138">
        <f>'FP Info 3'!H37</f>
        <v>772504</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928</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81315</v>
      </c>
      <c r="D5061" s="2" t="str">
        <f t="shared" si="78"/>
        <v>Error?</v>
      </c>
    </row>
    <row r="5062" spans="1:4" x14ac:dyDescent="0.2">
      <c r="A5062" s="10">
        <v>5001</v>
      </c>
      <c r="D5062" s="2" t="str">
        <f t="shared" si="78"/>
        <v>OK</v>
      </c>
    </row>
    <row r="5063" spans="1:4" x14ac:dyDescent="0.2">
      <c r="A5063" s="5">
        <v>5002</v>
      </c>
      <c r="B5063" s="138">
        <f>'Revenues 9-14'!C7</f>
        <v>1626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83869</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208980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208980</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17511</v>
      </c>
      <c r="C5087" s="2" t="s">
        <v>573</v>
      </c>
      <c r="D5087" s="2" t="str">
        <f t="shared" si="78"/>
        <v>Error?</v>
      </c>
    </row>
    <row r="5088" spans="1:4" x14ac:dyDescent="0.2">
      <c r="A5088" s="5">
        <v>5027</v>
      </c>
      <c r="B5088" s="138">
        <f>'Revenues 9-14'!C65</f>
        <v>1153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1153</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573</v>
      </c>
      <c r="D5092" s="2" t="str">
        <f t="shared" si="78"/>
        <v>Error?</v>
      </c>
    </row>
    <row r="5093" spans="1:4" x14ac:dyDescent="0.2">
      <c r="A5093" s="5">
        <v>5032</v>
      </c>
      <c r="B5093" s="138">
        <f>'Revenues 9-14'!C72</f>
        <v>0</v>
      </c>
      <c r="D5093" s="2" t="str">
        <f t="shared" si="78"/>
        <v>Error?</v>
      </c>
    </row>
    <row r="5094" spans="1:4" x14ac:dyDescent="0.2">
      <c r="A5094" s="5">
        <v>5033</v>
      </c>
      <c r="B5094" s="138">
        <f>'Revenues 9-14'!C73</f>
        <v>6</v>
      </c>
      <c r="D5094" s="2" t="str">
        <f t="shared" si="78"/>
        <v>Error?</v>
      </c>
    </row>
    <row r="5095" spans="1:4" x14ac:dyDescent="0.2">
      <c r="A5095" s="5">
        <v>5034</v>
      </c>
      <c r="B5095" s="138">
        <f>'Revenues 9-14'!C74</f>
        <v>0</v>
      </c>
      <c r="D5095" s="2" t="str">
        <f t="shared" si="78"/>
        <v>Error?</v>
      </c>
    </row>
    <row r="5096" spans="1:4" x14ac:dyDescent="0.2">
      <c r="A5096" s="5">
        <v>5035</v>
      </c>
      <c r="B5096" s="138">
        <f>'Revenues 9-14'!C75</f>
        <v>579</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23811</v>
      </c>
      <c r="D5101" s="2" t="str">
        <f t="shared" si="78"/>
        <v>Error?</v>
      </c>
    </row>
    <row r="5102" spans="1:4" x14ac:dyDescent="0.2">
      <c r="A5102" s="5">
        <v>5041</v>
      </c>
      <c r="B5102" s="138">
        <f>'Revenues 9-14'!C82</f>
        <v>23811</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688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9558</v>
      </c>
      <c r="D5119" s="2" t="str">
        <f t="shared" ref="D5119:D5182" si="79">IF(ISBLANK(B5119),"OK",IF(A5119-B5119=0,"OK","Error?"))</f>
        <v>Error?</v>
      </c>
    </row>
    <row r="5120" spans="1:4" x14ac:dyDescent="0.2">
      <c r="A5120" s="5">
        <v>5059</v>
      </c>
      <c r="B5120" s="138">
        <f>'Revenues 9-14'!C108</f>
        <v>10246</v>
      </c>
      <c r="C5120" s="2" t="s">
        <v>573</v>
      </c>
      <c r="D5120" s="2" t="str">
        <f t="shared" si="79"/>
        <v>Error?</v>
      </c>
    </row>
    <row r="5121" spans="1:4" x14ac:dyDescent="0.2">
      <c r="A5121" s="5">
        <v>5060</v>
      </c>
      <c r="B5121" s="138">
        <f>'Revenues 9-14'!C109</f>
        <v>346149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593118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593118</v>
      </c>
      <c r="C5132" s="2" t="s">
        <v>573</v>
      </c>
      <c r="D5132" s="2" t="str">
        <f t="shared" si="79"/>
        <v>Error?</v>
      </c>
    </row>
    <row r="5133" spans="1:4" x14ac:dyDescent="0.2">
      <c r="A5133" s="5">
        <v>5072</v>
      </c>
      <c r="B5133" s="138">
        <f>'Revenues 9-14'!C125</f>
        <v>5287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5287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1695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2366</v>
      </c>
      <c r="D5167" s="2" t="str">
        <f t="shared" si="79"/>
        <v>Error?</v>
      </c>
    </row>
    <row r="5168" spans="1:4" x14ac:dyDescent="0.2">
      <c r="A5168" s="5">
        <v>5107</v>
      </c>
      <c r="B5168" s="138">
        <f>'Revenues 9-14'!C148</f>
        <v>1653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41911</v>
      </c>
      <c r="D5194" s="2" t="str">
        <f t="shared" si="80"/>
        <v>Error?</v>
      </c>
    </row>
    <row r="5195" spans="1:5" x14ac:dyDescent="0.2">
      <c r="A5195" s="10">
        <v>5134</v>
      </c>
      <c r="D5195" s="2" t="str">
        <f t="shared" si="80"/>
        <v>OK</v>
      </c>
    </row>
    <row r="5196" spans="1:5" x14ac:dyDescent="0.2">
      <c r="A5196" s="5">
        <v>5135</v>
      </c>
      <c r="B5196" s="138">
        <f>'Revenues 9-14'!C159</f>
        <v>112362</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182527</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775645</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79319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37142</v>
      </c>
      <c r="D5241" s="2" t="str">
        <f t="shared" si="80"/>
        <v>Error?</v>
      </c>
    </row>
    <row r="5242" spans="1:4" x14ac:dyDescent="0.2">
      <c r="A5242" s="5">
        <v>5181</v>
      </c>
      <c r="B5242" s="138">
        <f>'Revenues 9-14'!C194</f>
        <v>9316</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130810</v>
      </c>
      <c r="C5246" s="2" t="s">
        <v>573</v>
      </c>
      <c r="D5246" s="2" t="str">
        <f t="shared" si="80"/>
        <v>Error?</v>
      </c>
    </row>
    <row r="5247" spans="1:4" x14ac:dyDescent="0.2">
      <c r="A5247" s="5">
        <v>5186</v>
      </c>
      <c r="B5247" s="138">
        <f>'Revenues 9-14'!C200</f>
        <v>285550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673050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319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319</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807692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807692</v>
      </c>
      <c r="C5326" s="2" t="s">
        <v>573</v>
      </c>
      <c r="D5326" s="2" t="str">
        <f t="shared" si="82"/>
        <v>Error?</v>
      </c>
    </row>
    <row r="5327" spans="1:5" x14ac:dyDescent="0.2">
      <c r="A5327" s="5">
        <v>5266</v>
      </c>
      <c r="B5327" s="138">
        <f>'Revenues 9-14'!C268</f>
        <v>1929486</v>
      </c>
      <c r="C5327" s="2" t="s">
        <v>573</v>
      </c>
      <c r="D5327" s="2" t="str">
        <f t="shared" si="82"/>
        <v>Error?</v>
      </c>
    </row>
    <row r="5328" spans="1:5" x14ac:dyDescent="0.2">
      <c r="A5328" s="5">
        <v>5267</v>
      </c>
      <c r="B5328" s="138">
        <f>'Revenues 9-14'!D5</f>
        <v>20329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20329</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9402</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9930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19332</v>
      </c>
      <c r="C5355" s="2" t="s">
        <v>573</v>
      </c>
      <c r="D5355" s="2" t="str">
        <f t="shared" si="82"/>
        <v>Error?</v>
      </c>
    </row>
    <row r="5356" spans="1:4" x14ac:dyDescent="0.2">
      <c r="A5356" s="5">
        <v>5295</v>
      </c>
      <c r="B5356" s="138">
        <f>'Revenues 9-14'!D109</f>
        <v>39661</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257500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257500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257500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297161</v>
      </c>
      <c r="C5508" s="2" t="s">
        <v>573</v>
      </c>
      <c r="D5508" s="2" t="str">
        <f t="shared" si="85"/>
        <v>Error?</v>
      </c>
    </row>
    <row r="5509" spans="1:4" x14ac:dyDescent="0.2">
      <c r="A5509" s="5">
        <v>5448</v>
      </c>
      <c r="B5509" s="138">
        <f>'Revenues 9-14'!E5</f>
        <v>132139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132139</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87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87</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132226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132226</v>
      </c>
      <c r="C5552" s="2" t="s">
        <v>573</v>
      </c>
      <c r="D5552" s="2" t="str">
        <f t="shared" si="85"/>
        <v>Error?</v>
      </c>
    </row>
    <row r="5553" spans="1:4" x14ac:dyDescent="0.2">
      <c r="A5553" s="5">
        <v>5492</v>
      </c>
      <c r="B5553" s="138">
        <f>'Revenues 9-14'!F5</f>
        <v>8131</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8131</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8131</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46823</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46823</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187</v>
      </c>
      <c r="D5615" s="2" t="str">
        <f t="shared" si="86"/>
        <v>Error?</v>
      </c>
    </row>
    <row r="5616" spans="1:4" x14ac:dyDescent="0.2">
      <c r="A5616" s="10">
        <v>5555</v>
      </c>
      <c r="D5616" s="2" t="str">
        <f t="shared" si="86"/>
        <v>OK</v>
      </c>
    </row>
    <row r="5617" spans="1:5" x14ac:dyDescent="0.2">
      <c r="A5617" s="5">
        <v>5556</v>
      </c>
      <c r="B5617" s="138">
        <f>'Revenues 9-14'!F153</f>
        <v>57299</v>
      </c>
      <c r="D5617" s="2" t="str">
        <f t="shared" si="86"/>
        <v>Error?</v>
      </c>
    </row>
    <row r="5618" spans="1:5" x14ac:dyDescent="0.2">
      <c r="A5618" s="5">
        <v>5557</v>
      </c>
      <c r="B5618" s="138">
        <f>'Revenues 9-14'!F155</f>
        <v>57486</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57486</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104309</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112440</v>
      </c>
      <c r="C5720" s="2" t="s">
        <v>573</v>
      </c>
      <c r="D5720" s="2" t="str">
        <f t="shared" si="88"/>
        <v>Error?</v>
      </c>
    </row>
    <row r="5721" spans="1:4" x14ac:dyDescent="0.2">
      <c r="A5721" s="5">
        <v>5660</v>
      </c>
      <c r="B5721" s="138">
        <f>'Revenues 9-14'!G5</f>
        <v>57288</v>
      </c>
      <c r="D5721" s="2" t="str">
        <f t="shared" si="88"/>
        <v>Error?</v>
      </c>
    </row>
    <row r="5722" spans="1:4" x14ac:dyDescent="0.2">
      <c r="A5722" s="5">
        <v>5661</v>
      </c>
      <c r="B5722" s="138">
        <f>'Revenues 9-14'!G7</f>
        <v>0</v>
      </c>
      <c r="D5722" s="2" t="str">
        <f t="shared" si="88"/>
        <v>Error?</v>
      </c>
    </row>
    <row r="5723" spans="1:4" x14ac:dyDescent="0.2">
      <c r="A5723" s="5">
        <v>5662</v>
      </c>
      <c r="B5723" s="138">
        <f>'Revenues 9-14'!G8</f>
        <v>52876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110164</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8200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8200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118364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2033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2033</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2033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2033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2033</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2033</v>
      </c>
      <c r="C6023" s="2" t="s">
        <v>573</v>
      </c>
      <c r="D6023" s="2" t="str">
        <f t="shared" si="93"/>
        <v>Error?</v>
      </c>
    </row>
    <row r="6024" spans="1:5" x14ac:dyDescent="0.2">
      <c r="A6024" s="5">
        <v>5963</v>
      </c>
      <c r="B6024" s="138">
        <f>'Revenues 9-14'!G109</f>
        <v>118364</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2033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2033</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6277</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142.69999999999999</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746</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34073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34073</v>
      </c>
      <c r="D6215" s="2" t="str">
        <f t="shared" si="96"/>
        <v>Error?</v>
      </c>
      <c r="E6215" s="2" t="s">
        <v>190</v>
      </c>
    </row>
    <row r="6216" spans="1:5" x14ac:dyDescent="0.2">
      <c r="A6216">
        <v>6155</v>
      </c>
      <c r="B6216" s="138">
        <f>'Assets-Liab 5-6'!J41</f>
        <v>34073</v>
      </c>
      <c r="D6216" s="2" t="str">
        <f t="shared" si="96"/>
        <v>Error?</v>
      </c>
      <c r="E6216" s="2" t="s">
        <v>190</v>
      </c>
    </row>
    <row r="6217" spans="1:5" x14ac:dyDescent="0.2">
      <c r="A6217">
        <v>6156</v>
      </c>
      <c r="B6217" s="138">
        <f>'Assets-Liab 5-6'!J4</f>
        <v>34073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82495</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82495</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82495</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98633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98633</v>
      </c>
      <c r="D6229" s="2" t="str">
        <f t="shared" si="96"/>
        <v>Error?</v>
      </c>
      <c r="E6229" s="2" t="s">
        <v>190</v>
      </c>
    </row>
    <row r="6230" spans="1:5" x14ac:dyDescent="0.2">
      <c r="A6230">
        <v>6169</v>
      </c>
      <c r="B6230" s="138">
        <f>'Acct Summary 7-8'!J20</f>
        <v>-16138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-16138</v>
      </c>
      <c r="D6263" s="2" t="str">
        <f t="shared" si="96"/>
        <v>Error?</v>
      </c>
      <c r="E6263" s="2" t="s">
        <v>190</v>
      </c>
    </row>
    <row r="6264" spans="1:5" x14ac:dyDescent="0.2">
      <c r="A6264">
        <v>6203</v>
      </c>
      <c r="B6264" s="138">
        <f>'Acct Summary 7-8'!J79</f>
        <v>50211</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34073</v>
      </c>
      <c r="D6266" s="2" t="str">
        <f t="shared" si="96"/>
        <v>Error?</v>
      </c>
      <c r="E6266" s="2" t="s">
        <v>190</v>
      </c>
    </row>
    <row r="6267" spans="1:5" x14ac:dyDescent="0.2">
      <c r="A6267">
        <v>6206</v>
      </c>
      <c r="B6267" s="138">
        <f>'Acct Summary 7-8'!C82</f>
        <v>-135285</v>
      </c>
      <c r="D6267" s="2" t="str">
        <f t="shared" si="96"/>
        <v>Error?</v>
      </c>
      <c r="E6267" s="2" t="s">
        <v>190</v>
      </c>
    </row>
    <row r="6268" spans="1:5" x14ac:dyDescent="0.2">
      <c r="A6268">
        <v>6207</v>
      </c>
      <c r="B6268" s="138">
        <f>'Acct Summary 7-8'!D82</f>
        <v>18436</v>
      </c>
      <c r="D6268" s="2" t="str">
        <f t="shared" si="96"/>
        <v>Error?</v>
      </c>
      <c r="E6268" s="2" t="s">
        <v>190</v>
      </c>
    </row>
    <row r="6269" spans="1:5" x14ac:dyDescent="0.2">
      <c r="A6269">
        <v>6208</v>
      </c>
      <c r="B6269" s="138">
        <f>'Acct Summary 7-8'!E82</f>
        <v>-14070</v>
      </c>
      <c r="D6269" s="2" t="str">
        <f t="shared" si="96"/>
        <v>Error?</v>
      </c>
      <c r="E6269" s="2" t="s">
        <v>190</v>
      </c>
    </row>
    <row r="6270" spans="1:5" x14ac:dyDescent="0.2">
      <c r="A6270">
        <v>6209</v>
      </c>
      <c r="B6270" s="138">
        <f>'Acct Summary 7-8'!F82</f>
        <v>-2171</v>
      </c>
      <c r="D6270" s="2" t="str">
        <f t="shared" si="96"/>
        <v>Error?</v>
      </c>
      <c r="E6270" s="2" t="s">
        <v>190</v>
      </c>
    </row>
    <row r="6271" spans="1:5" x14ac:dyDescent="0.2">
      <c r="A6271">
        <v>6210</v>
      </c>
      <c r="B6271" s="138">
        <f>'Acct Summary 7-8'!G82</f>
        <v>44581</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2033</v>
      </c>
      <c r="D6273" s="2" t="str">
        <f t="shared" si="97"/>
        <v>Error?</v>
      </c>
      <c r="E6273" s="2" t="s">
        <v>190</v>
      </c>
    </row>
    <row r="6274" spans="1:5" x14ac:dyDescent="0.2">
      <c r="A6274">
        <v>6213</v>
      </c>
      <c r="B6274" s="138">
        <f>'Acct Summary 7-8'!J82</f>
        <v>-16138</v>
      </c>
      <c r="D6274" s="2" t="str">
        <f t="shared" si="97"/>
        <v>Error?</v>
      </c>
      <c r="E6274" s="2" t="s">
        <v>190</v>
      </c>
    </row>
    <row r="6275" spans="1:5" x14ac:dyDescent="0.2">
      <c r="A6275">
        <v>6214</v>
      </c>
      <c r="B6275" s="138">
        <f>'Acct Summary 7-8'!K82</f>
        <v>815</v>
      </c>
      <c r="D6275" s="2" t="str">
        <f t="shared" si="97"/>
        <v>Error?</v>
      </c>
      <c r="E6275" s="2" t="s">
        <v>190</v>
      </c>
    </row>
    <row r="6276" spans="1:5" x14ac:dyDescent="0.2">
      <c r="A6276">
        <v>6215</v>
      </c>
      <c r="B6276" s="138">
        <f>'Acct Summary 7-8'!C83</f>
        <v>-0.23541295802293835</v>
      </c>
      <c r="D6276" s="2" t="str">
        <f t="shared" si="97"/>
        <v>Error?</v>
      </c>
      <c r="E6276" s="2" t="s">
        <v>190</v>
      </c>
    </row>
    <row r="6277" spans="1:5" x14ac:dyDescent="0.2">
      <c r="A6277">
        <v>6216</v>
      </c>
      <c r="B6277" s="138">
        <f>'Acct Summary 7-8'!D83</f>
        <v>0.69237991512374653</v>
      </c>
      <c r="D6277" s="2" t="str">
        <f t="shared" si="97"/>
        <v>Error?</v>
      </c>
      <c r="E6277" s="2" t="s">
        <v>190</v>
      </c>
    </row>
    <row r="6278" spans="1:5" x14ac:dyDescent="0.2">
      <c r="A6278">
        <v>6217</v>
      </c>
      <c r="B6278" s="138">
        <f>'Acct Summary 7-8'!E83</f>
        <v>-0.23888756833848349</v>
      </c>
      <c r="D6278" s="2" t="str">
        <f t="shared" si="97"/>
        <v>Error?</v>
      </c>
      <c r="E6278" s="2" t="s">
        <v>190</v>
      </c>
    </row>
    <row r="6279" spans="1:5" x14ac:dyDescent="0.2">
      <c r="A6279">
        <v>6218</v>
      </c>
      <c r="B6279" s="138">
        <f>'Acct Summary 7-8'!F83</f>
        <v>-0.15552690020775128</v>
      </c>
      <c r="D6279" s="2" t="str">
        <f t="shared" si="97"/>
        <v>Error?</v>
      </c>
      <c r="E6279" s="2" t="s">
        <v>190</v>
      </c>
    </row>
    <row r="6280" spans="1:5" x14ac:dyDescent="0.2">
      <c r="A6280">
        <v>6219</v>
      </c>
      <c r="B6280" s="138">
        <f>'Acct Summary 7-8'!G83</f>
        <v>0.27602796129008289</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0.12324199806013579</v>
      </c>
      <c r="D6282" s="2" t="str">
        <f t="shared" si="97"/>
        <v>Error?</v>
      </c>
      <c r="E6282" s="2" t="s">
        <v>190</v>
      </c>
    </row>
    <row r="6283" spans="1:5" x14ac:dyDescent="0.2">
      <c r="A6283">
        <v>6222</v>
      </c>
      <c r="B6283" s="138">
        <f>'Acct Summary 7-8'!J83</f>
        <v>-0.47363014703724354</v>
      </c>
      <c r="D6283" s="2" t="str">
        <f t="shared" si="97"/>
        <v>Error?</v>
      </c>
      <c r="E6283" s="2" t="s">
        <v>190</v>
      </c>
    </row>
    <row r="6284" spans="1:5" x14ac:dyDescent="0.2">
      <c r="A6284">
        <v>6223</v>
      </c>
      <c r="B6284" s="138">
        <f>'Acct Summary 7-8'!K83</f>
        <v>0.583810888252149</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82495</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82495</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17511</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82495</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1695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69428</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101624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928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39517</v>
      </c>
      <c r="D6880" s="2" t="str">
        <f t="shared" si="106"/>
        <v>Error?</v>
      </c>
    </row>
    <row r="6881" spans="1:4" x14ac:dyDescent="0.2">
      <c r="A6881">
        <v>6820</v>
      </c>
      <c r="B6881" s="138">
        <f>'Expenditures 15-22'!K22</f>
        <v>39517</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6600</v>
      </c>
      <c r="D6981" s="2" t="str">
        <f t="shared" si="108"/>
        <v>Error?</v>
      </c>
    </row>
    <row r="6982" spans="1:4" x14ac:dyDescent="0.2">
      <c r="A6982">
        <v>6921</v>
      </c>
      <c r="B6982" s="138">
        <f>'Expenditures 15-22'!K85</f>
        <v>6600</v>
      </c>
      <c r="D6982" s="2" t="str">
        <f t="shared" si="108"/>
        <v>Error?</v>
      </c>
    </row>
    <row r="6983" spans="1:4" x14ac:dyDescent="0.2">
      <c r="A6983">
        <v>6922</v>
      </c>
      <c r="B6983" s="138">
        <f>'Expenditures 15-22'!H86</f>
        <v>30000</v>
      </c>
      <c r="D6983" s="2" t="str">
        <f t="shared" si="108"/>
        <v>Error?</v>
      </c>
    </row>
    <row r="6984" spans="1:4" x14ac:dyDescent="0.2">
      <c r="A6984">
        <v>6923</v>
      </c>
      <c r="B6984" s="138">
        <f>'Expenditures 15-22'!K86</f>
        <v>30000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36600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98633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82495</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4133</v>
      </c>
      <c r="D7093" s="2" t="str">
        <f t="shared" si="109"/>
        <v>Error?</v>
      </c>
    </row>
    <row r="7094" spans="1:4" x14ac:dyDescent="0.2">
      <c r="A7094">
        <v>7033</v>
      </c>
      <c r="B7094" s="138">
        <f>'Expenditures 15-22'!K254</f>
        <v>4133</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618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618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5739</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5739</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2471</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2471</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17976</v>
      </c>
      <c r="D7172" s="2" t="str">
        <f t="shared" si="111"/>
        <v>Error?</v>
      </c>
    </row>
    <row r="7173" spans="1:4" x14ac:dyDescent="0.2">
      <c r="A7173">
        <v>7112</v>
      </c>
      <c r="B7173" s="138">
        <f>'Expenditures 15-22'!D325</f>
        <v>4669</v>
      </c>
      <c r="D7173" s="2" t="str">
        <f t="shared" si="111"/>
        <v>Error?</v>
      </c>
    </row>
    <row r="7174" spans="1:4" x14ac:dyDescent="0.2">
      <c r="A7174">
        <v>7113</v>
      </c>
      <c r="B7174" s="138">
        <f>'Expenditures 15-22'!E325</f>
        <v>28868</v>
      </c>
      <c r="D7174" s="2" t="str">
        <f t="shared" si="111"/>
        <v>Error?</v>
      </c>
    </row>
    <row r="7175" spans="1:4" x14ac:dyDescent="0.2">
      <c r="A7175">
        <v>7114</v>
      </c>
      <c r="B7175" s="138">
        <f>'Expenditures 15-22'!F325</f>
        <v>235</v>
      </c>
      <c r="D7175" s="2" t="str">
        <f t="shared" si="111"/>
        <v>Error?</v>
      </c>
    </row>
    <row r="7176" spans="1:4" x14ac:dyDescent="0.2">
      <c r="A7176">
        <v>7115</v>
      </c>
      <c r="B7176" s="138">
        <f>'Expenditures 15-22'!G325</f>
        <v>11369</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63117</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17976</v>
      </c>
      <c r="D7199" s="2" t="str">
        <f t="shared" si="111"/>
        <v>Error?</v>
      </c>
    </row>
    <row r="7200" spans="1:4" x14ac:dyDescent="0.2">
      <c r="A7200">
        <v>7139</v>
      </c>
      <c r="B7200" s="138">
        <f>'Expenditures 15-22'!D330</f>
        <v>4669</v>
      </c>
      <c r="D7200" s="2" t="str">
        <f t="shared" si="111"/>
        <v>Error?</v>
      </c>
    </row>
    <row r="7201" spans="1:4" x14ac:dyDescent="0.2">
      <c r="A7201">
        <v>7140</v>
      </c>
      <c r="B7201" s="138">
        <f>'Expenditures 15-22'!E330</f>
        <v>64384</v>
      </c>
      <c r="D7201" s="2" t="str">
        <f t="shared" si="111"/>
        <v>Error?</v>
      </c>
    </row>
    <row r="7202" spans="1:4" x14ac:dyDescent="0.2">
      <c r="A7202">
        <v>7141</v>
      </c>
      <c r="B7202" s="138">
        <f>'Expenditures 15-22'!F330</f>
        <v>235</v>
      </c>
      <c r="D7202" s="2" t="str">
        <f t="shared" si="111"/>
        <v>Error?</v>
      </c>
    </row>
    <row r="7203" spans="1:4" x14ac:dyDescent="0.2">
      <c r="A7203">
        <v>7142</v>
      </c>
      <c r="B7203" s="138">
        <f>'Expenditures 15-22'!G330</f>
        <v>11369</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98633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17976</v>
      </c>
      <c r="D7216" s="2" t="str">
        <f t="shared" si="111"/>
        <v>Error?</v>
      </c>
    </row>
    <row r="7217" spans="1:4" x14ac:dyDescent="0.2">
      <c r="A7217">
        <v>7156</v>
      </c>
      <c r="B7217" s="138">
        <f>'Expenditures 15-22'!D342</f>
        <v>4669</v>
      </c>
      <c r="D7217" s="2" t="str">
        <f t="shared" si="111"/>
        <v>Error?</v>
      </c>
    </row>
    <row r="7218" spans="1:4" x14ac:dyDescent="0.2">
      <c r="A7218">
        <v>7157</v>
      </c>
      <c r="B7218" s="138">
        <f>'Expenditures 15-22'!E342</f>
        <v>64384</v>
      </c>
      <c r="D7218" s="2" t="str">
        <f t="shared" si="111"/>
        <v>Error?</v>
      </c>
    </row>
    <row r="7219" spans="1:4" x14ac:dyDescent="0.2">
      <c r="A7219">
        <v>7158</v>
      </c>
      <c r="B7219" s="138">
        <f>'Expenditures 15-22'!F342</f>
        <v>235</v>
      </c>
      <c r="D7219" s="2" t="str">
        <f t="shared" si="111"/>
        <v>Error?</v>
      </c>
    </row>
    <row r="7220" spans="1:4" x14ac:dyDescent="0.2">
      <c r="A7220">
        <v>7159</v>
      </c>
      <c r="B7220" s="138">
        <f>'Expenditures 15-22'!G342</f>
        <v>11369</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98633</v>
      </c>
      <c r="D7224" s="2" t="str">
        <f t="shared" si="111"/>
        <v>Error?</v>
      </c>
    </row>
    <row r="7225" spans="1:4" x14ac:dyDescent="0.2">
      <c r="A7225">
        <v>7164</v>
      </c>
      <c r="B7225" s="138">
        <f>'Expenditures 15-22'!K343</f>
        <v>-16138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12252</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13119</v>
      </c>
      <c r="D7248" s="2" t="str">
        <f t="shared" si="112"/>
        <v>Error?</v>
      </c>
    </row>
    <row r="7249" spans="1:4" x14ac:dyDescent="0.2">
      <c r="A7249">
        <f t="shared" si="113"/>
        <v>7188</v>
      </c>
      <c r="B7249" s="138">
        <f>'Expenditures 15-22'!G7</f>
        <v>6825</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928</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107800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107800</v>
      </c>
      <c r="D7618" s="2" t="str">
        <f t="shared" si="124"/>
        <v>Error?</v>
      </c>
      <c r="E7618" s="2" t="s">
        <v>19</v>
      </c>
    </row>
    <row r="7619" spans="1:5" x14ac:dyDescent="0.2">
      <c r="A7619">
        <f t="shared" si="123"/>
        <v>7558</v>
      </c>
      <c r="B7619" s="138">
        <f>'Cap Outlay Deprec 26'!H14</f>
        <v>107800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107800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83984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5033</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26688</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26688</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1653</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1653</v>
      </c>
      <c r="D7719" s="2" t="str">
        <f t="shared" si="126"/>
        <v>Error?</v>
      </c>
      <c r="E7719" s="2" t="s">
        <v>827</v>
      </c>
    </row>
    <row r="7720" spans="1:6" x14ac:dyDescent="0.2">
      <c r="A7720">
        <v>7659</v>
      </c>
      <c r="B7720" s="138">
        <f>'Rest Tax Levies-Tort Im 25'!H14</f>
        <v>1626</v>
      </c>
      <c r="D7720" s="2" t="str">
        <f t="shared" si="126"/>
        <v>Error?</v>
      </c>
      <c r="E7720" s="2" t="s">
        <v>827</v>
      </c>
    </row>
    <row r="7721" spans="1:6" x14ac:dyDescent="0.2">
      <c r="A7721">
        <v>7660</v>
      </c>
      <c r="B7721" s="138">
        <f>'Rest Tax Levies-Tort Im 25'!K14</f>
        <v>928</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725</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725</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1853</v>
      </c>
    </row>
    <row r="7775" spans="1:5" x14ac:dyDescent="0.2">
      <c r="A7775">
        <v>7714</v>
      </c>
      <c r="B7775" s="138">
        <f>'Expenditures 15-22'!H133</f>
        <v>0</v>
      </c>
      <c r="D7775" s="2" t="str">
        <f t="shared" si="127"/>
        <v>Error?</v>
      </c>
      <c r="E7775" s="4" t="s">
        <v>1853</v>
      </c>
    </row>
    <row r="7776" spans="1:5" x14ac:dyDescent="0.2">
      <c r="A7776">
        <v>7715</v>
      </c>
      <c r="B7776" s="138">
        <f>'Expenditures 15-22'!K133</f>
        <v>0</v>
      </c>
      <c r="D7776" s="2" t="str">
        <f t="shared" si="127"/>
        <v>Error?</v>
      </c>
      <c r="E7776" s="4" t="s">
        <v>1853</v>
      </c>
    </row>
    <row r="7777" spans="1:5" x14ac:dyDescent="0.2">
      <c r="A7777">
        <v>7716</v>
      </c>
      <c r="B7777" s="138">
        <f>'Expenditures 15-22'!H157</f>
        <v>0</v>
      </c>
      <c r="D7777" s="2" t="str">
        <f t="shared" si="127"/>
        <v>Error?</v>
      </c>
      <c r="E7777" s="4" t="s">
        <v>1853</v>
      </c>
    </row>
    <row r="7778" spans="1:5" x14ac:dyDescent="0.2">
      <c r="A7778">
        <v>7717</v>
      </c>
      <c r="B7778" s="138">
        <f>'Expenditures 15-22'!K157</f>
        <v>0</v>
      </c>
      <c r="D7778" s="2" t="str">
        <f t="shared" si="127"/>
        <v>Error?</v>
      </c>
      <c r="E7778" s="4" t="s">
        <v>1853</v>
      </c>
    </row>
    <row r="7779" spans="1:5" x14ac:dyDescent="0.2">
      <c r="A7779">
        <v>7718</v>
      </c>
      <c r="B7779" s="138">
        <f>'Expenditures 15-22'!H158</f>
        <v>0</v>
      </c>
      <c r="D7779" s="2" t="str">
        <f t="shared" si="127"/>
        <v>Error?</v>
      </c>
      <c r="E7779" s="4" t="s">
        <v>1853</v>
      </c>
    </row>
    <row r="7780" spans="1:5" x14ac:dyDescent="0.2">
      <c r="A7780">
        <v>7719</v>
      </c>
      <c r="B7780" s="138">
        <f>'Expenditures 15-22'!K158</f>
        <v>0</v>
      </c>
      <c r="D7780" s="2" t="str">
        <f t="shared" si="127"/>
        <v>Error?</v>
      </c>
      <c r="E7780" s="4" t="s">
        <v>1853</v>
      </c>
    </row>
    <row r="7781" spans="1:5" x14ac:dyDescent="0.2">
      <c r="A7781">
        <v>7720</v>
      </c>
      <c r="B7781" s="138">
        <f>'Expenditures 15-22'!H159</f>
        <v>0</v>
      </c>
      <c r="D7781" s="2" t="str">
        <f t="shared" si="127"/>
        <v>Error?</v>
      </c>
      <c r="E7781" s="4" t="s">
        <v>1853</v>
      </c>
    </row>
    <row r="7782" spans="1:5" x14ac:dyDescent="0.2">
      <c r="A7782">
        <v>7721</v>
      </c>
      <c r="B7782" s="138">
        <f>'Expenditures 15-22'!K159</f>
        <v>0</v>
      </c>
      <c r="D7782" s="2" t="str">
        <f t="shared" si="127"/>
        <v>Error?</v>
      </c>
      <c r="E7782" s="4" t="s">
        <v>1853</v>
      </c>
    </row>
    <row r="7783" spans="1:5" x14ac:dyDescent="0.2">
      <c r="A7783">
        <v>7722</v>
      </c>
      <c r="B7783" s="138">
        <f>'Expenditures 15-22'!D282</f>
        <v>0</v>
      </c>
      <c r="D7783" s="2" t="str">
        <f t="shared" si="127"/>
        <v>Error?</v>
      </c>
      <c r="E7783" s="4" t="s">
        <v>1853</v>
      </c>
    </row>
    <row r="7784" spans="1:5" x14ac:dyDescent="0.2">
      <c r="A7784">
        <v>7723</v>
      </c>
      <c r="B7784" s="138">
        <f>'Expenditures 15-22'!K282</f>
        <v>0</v>
      </c>
      <c r="D7784" s="2" t="str">
        <f t="shared" si="127"/>
        <v>Error?</v>
      </c>
      <c r="E7784" s="4" t="s">
        <v>1853</v>
      </c>
    </row>
    <row r="7785" spans="1:5" x14ac:dyDescent="0.2">
      <c r="A7785">
        <v>7724</v>
      </c>
      <c r="B7785" s="138">
        <f>'Expenditures 15-22'!H332</f>
        <v>0</v>
      </c>
      <c r="D7785" s="2" t="str">
        <f t="shared" si="127"/>
        <v>Error?</v>
      </c>
      <c r="E7785" s="4" t="s">
        <v>1853</v>
      </c>
    </row>
    <row r="7786" spans="1:5" x14ac:dyDescent="0.2">
      <c r="A7786">
        <v>7725</v>
      </c>
      <c r="B7786" s="138">
        <f>'Expenditures 15-22'!K332</f>
        <v>0</v>
      </c>
      <c r="D7786" s="2" t="str">
        <f t="shared" si="127"/>
        <v>Error?</v>
      </c>
      <c r="E7786" s="4" t="s">
        <v>1853</v>
      </c>
    </row>
    <row r="7787" spans="1:5" x14ac:dyDescent="0.2">
      <c r="A7787">
        <v>7726</v>
      </c>
      <c r="B7787" s="138">
        <f>'Expenditures 15-22'!H333</f>
        <v>0</v>
      </c>
      <c r="D7787" s="2" t="str">
        <f t="shared" si="127"/>
        <v>Error?</v>
      </c>
      <c r="E7787" s="4" t="s">
        <v>1853</v>
      </c>
    </row>
    <row r="7788" spans="1:5" x14ac:dyDescent="0.2">
      <c r="A7788">
        <v>7727</v>
      </c>
      <c r="B7788" s="138">
        <f>'Expenditures 15-22'!K333</f>
        <v>0</v>
      </c>
      <c r="D7788" s="2" t="str">
        <f t="shared" si="127"/>
        <v>Error?</v>
      </c>
      <c r="E7788" s="4" t="s">
        <v>1853</v>
      </c>
    </row>
    <row r="7789" spans="1:5" x14ac:dyDescent="0.2">
      <c r="A7789">
        <v>7728</v>
      </c>
      <c r="B7789" s="138">
        <f>'Expenditures 15-22'!H334</f>
        <v>0</v>
      </c>
      <c r="D7789" s="2" t="str">
        <f t="shared" si="127"/>
        <v>Error?</v>
      </c>
      <c r="E7789" s="4" t="s">
        <v>1853</v>
      </c>
    </row>
    <row r="7790" spans="1:5" x14ac:dyDescent="0.2">
      <c r="A7790">
        <v>7729</v>
      </c>
      <c r="B7790" s="138">
        <f>'Expenditures 15-22'!K334</f>
        <v>0</v>
      </c>
      <c r="D7790" s="2" t="str">
        <f t="shared" si="127"/>
        <v>Error?</v>
      </c>
      <c r="E7790" s="4" t="s">
        <v>1853</v>
      </c>
    </row>
    <row r="7791" spans="1:5" x14ac:dyDescent="0.2">
      <c r="A7791">
        <v>7730</v>
      </c>
      <c r="B7791" s="138">
        <f>'Expenditures 15-22'!H354</f>
        <v>0</v>
      </c>
      <c r="D7791" s="2" t="str">
        <f t="shared" si="127"/>
        <v>Error?</v>
      </c>
      <c r="E7791" s="4" t="s">
        <v>1853</v>
      </c>
    </row>
    <row r="7792" spans="1:5" x14ac:dyDescent="0.2">
      <c r="A7792">
        <v>7731</v>
      </c>
      <c r="B7792" s="138">
        <f>'Expenditures 15-22'!K354</f>
        <v>0</v>
      </c>
      <c r="D7792" s="2" t="str">
        <f t="shared" si="127"/>
        <v>Error?</v>
      </c>
      <c r="E7792" s="4" t="s">
        <v>1853</v>
      </c>
    </row>
    <row r="7793" spans="1:5" x14ac:dyDescent="0.2">
      <c r="A7793">
        <v>7732</v>
      </c>
      <c r="B7793" s="138">
        <f>'Expenditures 15-22'!H355</f>
        <v>0</v>
      </c>
      <c r="D7793" s="2" t="str">
        <f t="shared" si="127"/>
        <v>Error?</v>
      </c>
      <c r="E7793" s="4" t="s">
        <v>1853</v>
      </c>
    </row>
    <row r="7794" spans="1:5" x14ac:dyDescent="0.2">
      <c r="A7794">
        <v>7733</v>
      </c>
      <c r="B7794" s="138">
        <f>'Expenditures 15-22'!K355</f>
        <v>0</v>
      </c>
      <c r="D7794" s="2" t="str">
        <f t="shared" si="127"/>
        <v>Error?</v>
      </c>
      <c r="E7794" s="4" t="s">
        <v>1853</v>
      </c>
    </row>
    <row r="7795" spans="1:5" x14ac:dyDescent="0.2">
      <c r="A7795">
        <v>7734</v>
      </c>
      <c r="B7795" s="138">
        <f>'Expenditures 15-22'!E138</f>
        <v>0</v>
      </c>
      <c r="D7795" s="2" t="str">
        <f t="shared" si="127"/>
        <v>Error?</v>
      </c>
      <c r="E7795" s="4" t="s">
        <v>1853</v>
      </c>
    </row>
    <row r="7796" spans="1:5" x14ac:dyDescent="0.2">
      <c r="A7796">
        <v>7735</v>
      </c>
      <c r="B7796" s="138">
        <f>'Acct Summary 7-8'!J15</f>
        <v>0</v>
      </c>
      <c r="D7796" s="2" t="str">
        <f t="shared" si="127"/>
        <v>Error?</v>
      </c>
      <c r="E7796" s="4" t="s">
        <v>1853</v>
      </c>
    </row>
    <row r="7797" spans="1:5" x14ac:dyDescent="0.2">
      <c r="A7797">
        <v>7736</v>
      </c>
      <c r="B7797" s="138">
        <f>'Contracts Paid in CY 29'!D141</f>
        <v>116094</v>
      </c>
      <c r="D7797" s="2" t="str">
        <f t="shared" si="127"/>
        <v>Error?</v>
      </c>
      <c r="E7797" s="4" t="s">
        <v>1902</v>
      </c>
    </row>
    <row r="7798" spans="1:5" x14ac:dyDescent="0.2">
      <c r="A7798">
        <v>7737</v>
      </c>
      <c r="B7798" s="138">
        <f>'Contracts Paid in CY 29'!F141</f>
        <v>29089</v>
      </c>
      <c r="D7798" s="2" t="str">
        <f t="shared" si="127"/>
        <v>Error?</v>
      </c>
      <c r="E7798" s="4" t="s">
        <v>1902</v>
      </c>
    </row>
    <row r="7799" spans="1:5" x14ac:dyDescent="0.2">
      <c r="A7799">
        <v>7738</v>
      </c>
      <c r="B7799" s="138">
        <f>'Contracts Paid in CY 29'!G141</f>
        <v>87005</v>
      </c>
      <c r="D7799" s="2" t="str">
        <f t="shared" si="127"/>
        <v>Error?</v>
      </c>
      <c r="E7799" s="4" t="s">
        <v>1902</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topLeftCell="A28"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5" t="s">
        <v>1191</v>
      </c>
      <c r="B2" s="2385"/>
      <c r="C2" s="2385"/>
      <c r="D2" s="2385"/>
      <c r="E2" s="2385"/>
      <c r="F2" s="2385"/>
      <c r="G2" s="2385"/>
      <c r="H2" s="2385"/>
      <c r="I2" s="2385"/>
      <c r="J2" s="2385"/>
      <c r="K2" s="2385"/>
      <c r="L2" s="2385"/>
    </row>
    <row r="3" spans="1:29" ht="13.5" customHeight="1" x14ac:dyDescent="0.2">
      <c r="A3" s="2416" t="s">
        <v>1190</v>
      </c>
      <c r="B3" s="2416"/>
      <c r="C3" s="2416"/>
      <c r="D3" s="2416"/>
      <c r="E3" s="2416"/>
      <c r="F3" s="2416"/>
      <c r="G3" s="2416"/>
      <c r="H3" s="2416"/>
      <c r="I3" s="2416"/>
      <c r="J3" s="2416"/>
      <c r="K3" s="2416"/>
      <c r="L3" s="2416"/>
    </row>
    <row r="4" spans="1:29" ht="13.5" customHeight="1" x14ac:dyDescent="0.2">
      <c r="A4" s="2385" t="s">
        <v>1987</v>
      </c>
      <c r="B4" s="2406"/>
      <c r="C4" s="2406"/>
      <c r="D4" s="2406"/>
      <c r="E4" s="2406"/>
      <c r="F4" s="2406"/>
      <c r="G4" s="2406"/>
      <c r="H4" s="2406"/>
      <c r="I4" s="2406"/>
      <c r="J4" s="2406"/>
      <c r="K4" s="2406"/>
      <c r="L4" s="2406"/>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7" t="str">
        <f>COVER!A17</f>
        <v>Brooklyn UD 188</v>
      </c>
      <c r="B7" s="2408"/>
      <c r="C7" s="2408"/>
      <c r="D7" s="2409"/>
      <c r="E7" s="2410">
        <f>COVER!A13</f>
        <v>50082188022</v>
      </c>
      <c r="F7" s="2411"/>
      <c r="G7" s="2417" t="str">
        <f>COVER!T23</f>
        <v>065-026956</v>
      </c>
      <c r="H7" s="2418"/>
      <c r="I7" s="2418"/>
      <c r="J7" s="2418"/>
      <c r="K7" s="2418"/>
      <c r="L7" s="241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20"/>
      <c r="B9" s="2421"/>
      <c r="C9" s="2421"/>
      <c r="D9" s="2421"/>
      <c r="E9" s="2421"/>
      <c r="F9" s="2422"/>
      <c r="G9" s="2391" t="str">
        <f>COVER!T13</f>
        <v>SCHEFFEL BOYLE</v>
      </c>
      <c r="H9" s="2423"/>
      <c r="I9" s="2423"/>
      <c r="J9" s="2423"/>
      <c r="K9" s="2423"/>
      <c r="L9" s="2424"/>
    </row>
    <row r="10" spans="1:29" ht="13.5" customHeight="1" x14ac:dyDescent="0.2">
      <c r="A10" s="2397" t="str">
        <f>COVER!A38</f>
        <v>DR. RONALD FERRELL</v>
      </c>
      <c r="B10" s="2398"/>
      <c r="C10" s="2398"/>
      <c r="D10" s="2398"/>
      <c r="E10" s="2398"/>
      <c r="F10" s="2399"/>
      <c r="G10" s="2391" t="str">
        <f>COVER!T17</f>
        <v>222 EAST MAIN STREET</v>
      </c>
      <c r="H10" s="2392"/>
      <c r="I10" s="2392"/>
      <c r="J10" s="2392"/>
      <c r="K10" s="2392"/>
      <c r="L10" s="2393"/>
    </row>
    <row r="11" spans="1:29" ht="13.5" customHeight="1" x14ac:dyDescent="0.2">
      <c r="A11" s="1184" t="s">
        <v>1519</v>
      </c>
      <c r="B11" s="1185"/>
      <c r="C11" s="1186"/>
      <c r="D11" s="1191"/>
      <c r="E11" s="1186"/>
      <c r="F11" s="1190"/>
      <c r="G11" s="2391" t="str">
        <f>COVER!T19</f>
        <v>BELLEVILLE</v>
      </c>
      <c r="H11" s="2392"/>
      <c r="I11" s="2392"/>
      <c r="J11" s="2392"/>
      <c r="K11" s="2392"/>
      <c r="L11" s="2393"/>
    </row>
    <row r="12" spans="1:29" ht="13.5" customHeight="1" x14ac:dyDescent="0.2">
      <c r="A12" s="2400" t="s">
        <v>1518</v>
      </c>
      <c r="B12" s="2401"/>
      <c r="C12" s="2401"/>
      <c r="D12" s="2401"/>
      <c r="E12" s="2401"/>
      <c r="F12" s="2402"/>
      <c r="G12" s="2394"/>
      <c r="H12" s="2395"/>
      <c r="I12" s="2395"/>
      <c r="J12" s="2395"/>
      <c r="K12" s="2395"/>
      <c r="L12" s="2396"/>
    </row>
    <row r="13" spans="1:29" ht="13.5" customHeight="1" x14ac:dyDescent="0.2">
      <c r="A13" s="2391"/>
      <c r="B13" s="2392"/>
      <c r="C13" s="2392"/>
      <c r="D13" s="2392"/>
      <c r="E13" s="2392"/>
      <c r="F13" s="2393"/>
      <c r="G13" s="2386" t="s">
        <v>1520</v>
      </c>
      <c r="H13" s="2387"/>
      <c r="I13" s="2403" t="str">
        <f>COVER!T25</f>
        <v>dale.holtmann@scheffelboyle.com</v>
      </c>
      <c r="J13" s="2404"/>
      <c r="K13" s="2404"/>
      <c r="L13" s="2405"/>
    </row>
    <row r="14" spans="1:29" ht="13.5" customHeight="1" x14ac:dyDescent="0.2">
      <c r="A14" s="2391" t="str">
        <f>COVER!A19</f>
        <v>800 MADISON STREET</v>
      </c>
      <c r="B14" s="2392"/>
      <c r="C14" s="2392"/>
      <c r="D14" s="2392"/>
      <c r="E14" s="2392"/>
      <c r="F14" s="2393"/>
      <c r="G14" s="1195" t="s">
        <v>1185</v>
      </c>
      <c r="H14" s="1193"/>
      <c r="I14" s="1193"/>
      <c r="J14" s="1193"/>
      <c r="K14" s="1193"/>
      <c r="L14" s="1194"/>
    </row>
    <row r="15" spans="1:29" ht="13.5" customHeight="1" x14ac:dyDescent="0.2">
      <c r="A15" s="2391" t="str">
        <f>COVER!A21</f>
        <v>LOVEJOY</v>
      </c>
      <c r="B15" s="2392"/>
      <c r="C15" s="2392"/>
      <c r="D15" s="2392"/>
      <c r="E15" s="2392"/>
      <c r="F15" s="2393"/>
      <c r="G15" s="2388" t="str">
        <f>COVER!T15</f>
        <v>DALE HOLTMANN</v>
      </c>
      <c r="H15" s="2389"/>
      <c r="I15" s="2389"/>
      <c r="J15" s="2389"/>
      <c r="K15" s="2389"/>
      <c r="L15" s="2390"/>
    </row>
    <row r="16" spans="1:29" ht="12.2" customHeight="1" x14ac:dyDescent="0.2">
      <c r="A16" s="2413">
        <f>COVER!A25</f>
        <v>62059</v>
      </c>
      <c r="B16" s="2414"/>
      <c r="C16" s="2414"/>
      <c r="D16" s="2414"/>
      <c r="E16" s="2414"/>
      <c r="F16" s="2415"/>
      <c r="G16" s="2425"/>
      <c r="H16" s="2426"/>
      <c r="I16" s="2426"/>
      <c r="J16" s="2426"/>
      <c r="K16" s="2426"/>
      <c r="L16" s="2427"/>
    </row>
    <row r="17" spans="1:13" ht="12.2" customHeight="1" x14ac:dyDescent="0.2">
      <c r="A17" s="2428"/>
      <c r="B17" s="2414"/>
      <c r="C17" s="2414"/>
      <c r="D17" s="2414"/>
      <c r="E17" s="2414"/>
      <c r="F17" s="2415"/>
      <c r="G17" s="1195" t="s">
        <v>1184</v>
      </c>
      <c r="H17" s="1193"/>
      <c r="I17" s="1193"/>
      <c r="J17" s="1193"/>
      <c r="K17" s="1197" t="s">
        <v>1183</v>
      </c>
      <c r="L17" s="1190"/>
      <c r="M17" s="1183"/>
    </row>
    <row r="18" spans="1:13" ht="12.2" customHeight="1" x14ac:dyDescent="0.2">
      <c r="A18" s="2397"/>
      <c r="B18" s="2398"/>
      <c r="C18" s="2398"/>
      <c r="D18" s="2398"/>
      <c r="E18" s="2398"/>
      <c r="F18" s="2399"/>
      <c r="G18" s="2407" t="str">
        <f>COVER!T21</f>
        <v>618-277-8100</v>
      </c>
      <c r="H18" s="2408"/>
      <c r="I18" s="2408"/>
      <c r="J18" s="2408"/>
      <c r="K18" s="2407" t="str">
        <f>COVER!X21</f>
        <v>618-277-9307</v>
      </c>
      <c r="L18" s="241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1834</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oddFooter>&amp;C44</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topLeftCell="A52" zoomScaleNormal="125" workbookViewId="0">
      <selection activeCell="D70" sqref="D70"/>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9" t="str">
        <f>'Single Audit Cover'!A7</f>
        <v>Brooklyn UD 188</v>
      </c>
      <c r="B1" s="2406"/>
      <c r="C1" s="2406"/>
      <c r="D1" s="2406"/>
    </row>
    <row r="2" spans="1:11" s="1212" customFormat="1" ht="12.75" x14ac:dyDescent="0.2">
      <c r="A2" s="2430">
        <f>'Single Audit Cover'!E7</f>
        <v>50082188022</v>
      </c>
      <c r="B2" s="2431"/>
      <c r="C2" s="2431"/>
      <c r="D2" s="2431"/>
    </row>
    <row r="3" spans="1:11" s="1212" customFormat="1" ht="12.75" x14ac:dyDescent="0.2">
      <c r="A3" s="2429" t="s">
        <v>1513</v>
      </c>
      <c r="B3" s="2406"/>
      <c r="C3" s="2406"/>
      <c r="D3" s="2406"/>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1835</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differentOddEven="1" alignWithMargins="0">
    <oddHeader>&amp;L&amp;8Page 38&amp;R&amp;8Page 38</oddHeader>
    <oddFooter>&amp;C45</oddFooter>
    <evenFooter>&amp;C46</even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98" zoomScaleNormal="110" zoomScaleSheetLayoutView="100" zoomScalePageLayoutView="98" workbookViewId="0">
      <selection activeCell="B53" sqref="B53"/>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3" t="str">
        <f>'Single Audit Cover'!A7</f>
        <v>Brooklyn UD 188</v>
      </c>
      <c r="B1" s="2433"/>
      <c r="C1" s="2433"/>
      <c r="D1" s="2433"/>
      <c r="E1" s="2433"/>
    </row>
    <row r="2" spans="1:5" x14ac:dyDescent="0.2">
      <c r="A2" s="2434">
        <f>'Single Audit Cover'!E7</f>
        <v>50082188022</v>
      </c>
      <c r="B2" s="2434"/>
      <c r="C2" s="2434"/>
      <c r="D2" s="2434"/>
      <c r="E2" s="2434"/>
    </row>
    <row r="3" spans="1:5" ht="4.5" customHeight="1" x14ac:dyDescent="0.2"/>
    <row r="4" spans="1:5" x14ac:dyDescent="0.2">
      <c r="A4" s="2433" t="s">
        <v>1245</v>
      </c>
      <c r="B4" s="2433"/>
      <c r="C4" s="2433"/>
      <c r="D4" s="2433"/>
      <c r="E4" s="2433"/>
    </row>
    <row r="5" spans="1:5" x14ac:dyDescent="0.2">
      <c r="A5" s="2436" t="str">
        <f>'Single Audit Cover'!A4</f>
        <v>Year Ending June 30, 2019</v>
      </c>
      <c r="B5" s="2436"/>
      <c r="C5" s="2436"/>
      <c r="D5" s="2436"/>
      <c r="E5" s="2436"/>
    </row>
    <row r="6" spans="1:5" x14ac:dyDescent="0.2">
      <c r="A6" s="2433" t="s">
        <v>1244</v>
      </c>
      <c r="B6" s="2433"/>
      <c r="C6" s="2433"/>
      <c r="D6" s="2433"/>
      <c r="E6" s="2433"/>
    </row>
    <row r="8" spans="1:5" x14ac:dyDescent="0.2">
      <c r="A8" s="1257" t="s">
        <v>1243</v>
      </c>
    </row>
    <row r="10" spans="1:5" x14ac:dyDescent="0.2">
      <c r="A10" s="1258" t="s">
        <v>1242</v>
      </c>
      <c r="B10" s="1259" t="s">
        <v>1241</v>
      </c>
      <c r="C10" s="1259"/>
      <c r="D10" s="1260">
        <f>SUM('Acct Summary 7-8'!C7:K7)</f>
        <v>807692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6277</v>
      </c>
    </row>
    <row r="15" spans="1:5" x14ac:dyDescent="0.2">
      <c r="A15" s="1258"/>
      <c r="B15" s="1259"/>
      <c r="C15" s="1259"/>
    </row>
    <row r="16" spans="1:5" x14ac:dyDescent="0.2">
      <c r="A16" s="1258" t="s">
        <v>1842</v>
      </c>
      <c r="B16" s="1259"/>
      <c r="C16" s="1259"/>
    </row>
    <row r="17" spans="1:4" x14ac:dyDescent="0.2">
      <c r="A17" s="1258" t="s">
        <v>2059</v>
      </c>
      <c r="B17" s="1259" t="s">
        <v>1236</v>
      </c>
      <c r="C17" s="1259"/>
      <c r="D17" s="1261">
        <f>-SUM('Revenues 9-14'!C264:D264,'Revenues 9-14'!F264:G264)</f>
        <v>0</v>
      </c>
    </row>
    <row r="19" spans="1:4" ht="13.5" thickBot="1" x14ac:dyDescent="0.25">
      <c r="A19" s="1262" t="s">
        <v>1235</v>
      </c>
      <c r="D19" s="1263">
        <f>SUM(D10:D17)</f>
        <v>813969</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5"/>
      <c r="B24" s="2435"/>
      <c r="D24" s="1265"/>
    </row>
    <row r="25" spans="1:4" x14ac:dyDescent="0.2">
      <c r="A25" s="2432"/>
      <c r="B25" s="2432"/>
      <c r="D25" s="1265"/>
    </row>
    <row r="26" spans="1:4" x14ac:dyDescent="0.2">
      <c r="A26" s="2432"/>
      <c r="B26" s="2432"/>
      <c r="D26" s="1265"/>
    </row>
    <row r="27" spans="1:4" x14ac:dyDescent="0.2">
      <c r="A27" s="2432"/>
      <c r="B27" s="2432"/>
      <c r="D27" s="1265"/>
    </row>
    <row r="28" spans="1:4" x14ac:dyDescent="0.2">
      <c r="A28" s="2432"/>
      <c r="B28" s="2432"/>
      <c r="D28" s="1265"/>
    </row>
    <row r="29" spans="1:4" x14ac:dyDescent="0.2">
      <c r="A29" s="2432"/>
      <c r="B29" s="2432"/>
      <c r="D29" s="1265"/>
    </row>
    <row r="30" spans="1:4" x14ac:dyDescent="0.2">
      <c r="A30" s="2432"/>
      <c r="B30" s="2432"/>
      <c r="D30" s="1265"/>
    </row>
    <row r="32" spans="1:4" x14ac:dyDescent="0.2">
      <c r="A32" s="1257" t="s">
        <v>1233</v>
      </c>
      <c r="D32" s="1260">
        <f>SUM(D19:D30)</f>
        <v>813969</v>
      </c>
    </row>
    <row r="33" spans="1:4" x14ac:dyDescent="0.2">
      <c r="D33" s="1266"/>
    </row>
    <row r="34" spans="1:4" x14ac:dyDescent="0.2">
      <c r="A34" s="317" t="s">
        <v>1232</v>
      </c>
    </row>
    <row r="35" spans="1:4" x14ac:dyDescent="0.2">
      <c r="A35" s="317" t="s">
        <v>1231</v>
      </c>
      <c r="B35" s="1255" t="s">
        <v>1230</v>
      </c>
      <c r="D35" s="1267">
        <v>813969</v>
      </c>
    </row>
    <row r="37" spans="1:4" x14ac:dyDescent="0.2">
      <c r="A37" s="1257" t="s">
        <v>1229</v>
      </c>
    </row>
    <row r="39" spans="1:4" ht="13.35" customHeight="1" x14ac:dyDescent="0.2">
      <c r="A39" s="1264" t="s">
        <v>1228</v>
      </c>
    </row>
    <row r="40" spans="1:4" x14ac:dyDescent="0.2">
      <c r="A40" s="2432"/>
      <c r="B40" s="2432"/>
      <c r="D40" s="1265"/>
    </row>
    <row r="41" spans="1:4" x14ac:dyDescent="0.2">
      <c r="A41" s="2432"/>
      <c r="B41" s="2432"/>
      <c r="D41" s="1268"/>
    </row>
    <row r="42" spans="1:4" x14ac:dyDescent="0.2">
      <c r="A42" s="2432"/>
      <c r="B42" s="2432"/>
      <c r="D42" s="1268"/>
    </row>
    <row r="43" spans="1:4" x14ac:dyDescent="0.2">
      <c r="A43" s="2432"/>
      <c r="B43" s="2432"/>
      <c r="D43" s="1268"/>
    </row>
    <row r="44" spans="1:4" x14ac:dyDescent="0.2">
      <c r="A44" s="2432"/>
      <c r="B44" s="2432"/>
      <c r="D44" s="1268"/>
    </row>
    <row r="45" spans="1:4" x14ac:dyDescent="0.2">
      <c r="A45" s="2432"/>
      <c r="B45" s="2432"/>
      <c r="D45" s="1268"/>
    </row>
    <row r="47" spans="1:4" x14ac:dyDescent="0.2">
      <c r="B47" s="1269" t="s">
        <v>1227</v>
      </c>
      <c r="C47" s="1269"/>
      <c r="D47" s="1270">
        <f>SUM(D35:D45)</f>
        <v>813969</v>
      </c>
    </row>
    <row r="49" spans="2:4" x14ac:dyDescent="0.2">
      <c r="B49" s="1269" t="s">
        <v>1226</v>
      </c>
      <c r="C49" s="1269"/>
      <c r="D49" s="1270">
        <f>D32-D47</f>
        <v>0</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oddFooter>&amp;C45</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topLeftCell="A16" zoomScaleNormal="100" workbookViewId="0">
      <selection activeCell="B53" sqref="B5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Brooklyn UD 188</v>
      </c>
      <c r="C1" s="2437"/>
      <c r="D1" s="2437"/>
      <c r="E1" s="2437"/>
      <c r="F1" s="2437"/>
      <c r="G1" s="2437"/>
      <c r="H1" s="2437"/>
      <c r="I1" s="2437"/>
      <c r="J1" s="2437"/>
      <c r="K1" s="2437"/>
      <c r="L1" s="2437"/>
      <c r="M1" s="2437"/>
    </row>
    <row r="2" spans="2:14" ht="15" x14ac:dyDescent="0.2">
      <c r="B2" s="2438">
        <f>'Single Audit Cover'!E7</f>
        <v>50082188022</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1837</v>
      </c>
      <c r="I8" s="1316" t="s">
        <v>1262</v>
      </c>
      <c r="J8" s="1315" t="s">
        <v>1988</v>
      </c>
      <c r="K8" s="1316" t="s">
        <v>1261</v>
      </c>
      <c r="L8" s="1317" t="s">
        <v>1257</v>
      </c>
      <c r="M8" s="1318" t="s">
        <v>30</v>
      </c>
    </row>
    <row r="9" spans="2:14" ht="14.25" x14ac:dyDescent="0.2">
      <c r="B9" s="1322" t="s">
        <v>1259</v>
      </c>
      <c r="C9" s="1310" t="s">
        <v>1733</v>
      </c>
      <c r="D9" s="1311" t="s">
        <v>1734</v>
      </c>
      <c r="E9" s="1319" t="s">
        <v>1837</v>
      </c>
      <c r="F9" s="1320" t="s">
        <v>1988</v>
      </c>
      <c r="G9" s="1321" t="s">
        <v>1837</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2123</v>
      </c>
      <c r="C11" s="1335"/>
      <c r="D11" s="1336"/>
      <c r="E11" s="1337"/>
      <c r="F11" s="1337"/>
      <c r="G11" s="1337"/>
      <c r="H11" s="1337"/>
      <c r="I11" s="1337"/>
      <c r="J11" s="1337"/>
      <c r="K11" s="1337"/>
      <c r="L11" s="1337">
        <f>+G11+I11+K11</f>
        <v>0</v>
      </c>
      <c r="M11" s="1337"/>
    </row>
    <row r="12" spans="2:14" ht="20.100000000000001" customHeight="1" x14ac:dyDescent="0.2">
      <c r="B12" s="1334" t="s">
        <v>1059</v>
      </c>
      <c r="C12" s="1338">
        <v>10.553000000000001</v>
      </c>
      <c r="D12" s="1339" t="s">
        <v>2102</v>
      </c>
      <c r="E12" s="1340">
        <v>4472</v>
      </c>
      <c r="F12" s="1340"/>
      <c r="G12" s="1340">
        <v>4472</v>
      </c>
      <c r="H12" s="1340"/>
      <c r="I12" s="1340"/>
      <c r="J12" s="1340"/>
      <c r="K12" s="1340"/>
      <c r="L12" s="1337">
        <f t="shared" ref="L12:L27" si="0">+G12+I12+K12</f>
        <v>4472</v>
      </c>
      <c r="M12" s="1340"/>
    </row>
    <row r="13" spans="2:14" ht="20.100000000000001" customHeight="1" x14ac:dyDescent="0.2">
      <c r="B13" s="1334"/>
      <c r="C13" s="1338"/>
      <c r="D13" s="1339" t="s">
        <v>2103</v>
      </c>
      <c r="E13" s="1340">
        <v>24560</v>
      </c>
      <c r="F13" s="1340">
        <v>6555</v>
      </c>
      <c r="G13" s="1340">
        <v>24560</v>
      </c>
      <c r="H13" s="1340"/>
      <c r="I13" s="1340">
        <v>6555</v>
      </c>
      <c r="J13" s="1340"/>
      <c r="K13" s="1340"/>
      <c r="L13" s="1337">
        <f t="shared" si="0"/>
        <v>31115</v>
      </c>
      <c r="M13" s="1340"/>
    </row>
    <row r="14" spans="2:14" ht="20.100000000000001" customHeight="1" x14ac:dyDescent="0.2">
      <c r="B14" s="1334"/>
      <c r="C14" s="1338"/>
      <c r="D14" s="1339" t="s">
        <v>2104</v>
      </c>
      <c r="E14" s="1340"/>
      <c r="F14" s="1340">
        <v>30587</v>
      </c>
      <c r="G14" s="1340"/>
      <c r="H14" s="1340"/>
      <c r="I14" s="1340">
        <v>30587</v>
      </c>
      <c r="J14" s="1340"/>
      <c r="K14" s="1340"/>
      <c r="L14" s="1337">
        <f t="shared" si="0"/>
        <v>30587</v>
      </c>
      <c r="M14" s="1340"/>
    </row>
    <row r="15" spans="2:14" ht="20.100000000000001" customHeight="1" x14ac:dyDescent="0.2">
      <c r="B15" s="1334" t="s">
        <v>2101</v>
      </c>
      <c r="C15" s="1338">
        <v>10.555</v>
      </c>
      <c r="D15" s="1339"/>
      <c r="E15" s="1340">
        <v>7318</v>
      </c>
      <c r="F15" s="1340">
        <v>6277</v>
      </c>
      <c r="G15" s="1340">
        <v>7318</v>
      </c>
      <c r="H15" s="1340"/>
      <c r="I15" s="1340">
        <v>6277</v>
      </c>
      <c r="J15" s="1340"/>
      <c r="K15" s="1340"/>
      <c r="L15" s="1337">
        <f t="shared" si="0"/>
        <v>13595</v>
      </c>
      <c r="M15" s="1340"/>
    </row>
    <row r="16" spans="2:14" ht="20.100000000000001" customHeight="1" x14ac:dyDescent="0.2">
      <c r="B16" s="1334" t="s">
        <v>1058</v>
      </c>
      <c r="C16" s="1338">
        <v>10.555</v>
      </c>
      <c r="D16" s="1339" t="s">
        <v>2105</v>
      </c>
      <c r="E16" s="1340">
        <v>10069</v>
      </c>
      <c r="F16" s="1340"/>
      <c r="G16" s="1340">
        <v>10069</v>
      </c>
      <c r="H16" s="1340"/>
      <c r="I16" s="1340"/>
      <c r="J16" s="1340"/>
      <c r="K16" s="1340"/>
      <c r="L16" s="1337">
        <f t="shared" si="0"/>
        <v>10069</v>
      </c>
      <c r="M16" s="1340"/>
    </row>
    <row r="17" spans="2:14" ht="20.100000000000001" customHeight="1" x14ac:dyDescent="0.2">
      <c r="B17" s="1334"/>
      <c r="C17" s="1338"/>
      <c r="D17" s="1339" t="s">
        <v>2106</v>
      </c>
      <c r="E17" s="1340">
        <v>53337</v>
      </c>
      <c r="F17" s="1340">
        <v>14350</v>
      </c>
      <c r="G17" s="1340">
        <v>53337</v>
      </c>
      <c r="H17" s="1340"/>
      <c r="I17" s="1340">
        <v>14350</v>
      </c>
      <c r="J17" s="1340"/>
      <c r="K17" s="1340"/>
      <c r="L17" s="1337">
        <f t="shared" si="0"/>
        <v>67687</v>
      </c>
      <c r="M17" s="1340"/>
    </row>
    <row r="18" spans="2:14" ht="20.100000000000001" customHeight="1" x14ac:dyDescent="0.2">
      <c r="B18" s="1334"/>
      <c r="C18" s="1338"/>
      <c r="D18" s="1339" t="s">
        <v>2107</v>
      </c>
      <c r="E18" s="1340"/>
      <c r="F18" s="1340">
        <v>64969</v>
      </c>
      <c r="G18" s="1340"/>
      <c r="H18" s="1340"/>
      <c r="I18" s="1340">
        <v>64969</v>
      </c>
      <c r="J18" s="1340"/>
      <c r="K18" s="1340"/>
      <c r="L18" s="1337">
        <f t="shared" si="0"/>
        <v>64969</v>
      </c>
      <c r="M18" s="1340"/>
    </row>
    <row r="19" spans="2:14" ht="20.100000000000001" customHeight="1" x14ac:dyDescent="0.2">
      <c r="B19" s="1334" t="s">
        <v>2108</v>
      </c>
      <c r="C19" s="1338">
        <v>10.558999999999999</v>
      </c>
      <c r="D19" s="1339" t="s">
        <v>2109</v>
      </c>
      <c r="E19" s="1340">
        <v>9745</v>
      </c>
      <c r="F19" s="1340"/>
      <c r="G19" s="1340">
        <v>9745</v>
      </c>
      <c r="H19" s="1340"/>
      <c r="I19" s="1340"/>
      <c r="J19" s="1340"/>
      <c r="K19" s="1340"/>
      <c r="L19" s="1337">
        <f t="shared" si="0"/>
        <v>9745</v>
      </c>
      <c r="M19" s="1340"/>
    </row>
    <row r="20" spans="2:14" ht="20.100000000000001" customHeight="1" x14ac:dyDescent="0.2">
      <c r="B20" s="1334"/>
      <c r="C20" s="1338"/>
      <c r="D20" s="1339" t="s">
        <v>2110</v>
      </c>
      <c r="E20" s="1340"/>
      <c r="F20" s="1340">
        <v>9316</v>
      </c>
      <c r="G20" s="1340"/>
      <c r="H20" s="1340"/>
      <c r="I20" s="1340">
        <v>9316</v>
      </c>
      <c r="J20" s="1340"/>
      <c r="K20" s="1340"/>
      <c r="L20" s="1337">
        <f t="shared" si="0"/>
        <v>9316</v>
      </c>
      <c r="M20" s="1340"/>
    </row>
    <row r="21" spans="2:14" ht="20.100000000000001" customHeight="1" x14ac:dyDescent="0.2">
      <c r="B21" s="1334" t="s">
        <v>2111</v>
      </c>
      <c r="C21" s="1338"/>
      <c r="D21" s="1339"/>
      <c r="E21" s="1340">
        <f>SUM(E12:E20)</f>
        <v>109501</v>
      </c>
      <c r="F21" s="1340">
        <f t="shared" ref="F21:I21" si="1">SUM(F12:F20)</f>
        <v>132054</v>
      </c>
      <c r="G21" s="1340">
        <f t="shared" si="1"/>
        <v>109501</v>
      </c>
      <c r="H21" s="1340"/>
      <c r="I21" s="1340">
        <f t="shared" si="1"/>
        <v>132054</v>
      </c>
      <c r="J21" s="1340"/>
      <c r="K21" s="1340"/>
      <c r="L21" s="1337">
        <f t="shared" si="0"/>
        <v>241555</v>
      </c>
      <c r="M21" s="1340"/>
    </row>
    <row r="22" spans="2:14" ht="20.100000000000001" customHeight="1" x14ac:dyDescent="0.2">
      <c r="B22" s="1334" t="s">
        <v>2112</v>
      </c>
      <c r="C22" s="1338">
        <v>10.582000000000001</v>
      </c>
      <c r="D22" s="1339" t="s">
        <v>2113</v>
      </c>
      <c r="E22" s="1340">
        <v>772</v>
      </c>
      <c r="F22" s="1340"/>
      <c r="G22" s="1340">
        <v>772</v>
      </c>
      <c r="H22" s="1340"/>
      <c r="I22" s="1340"/>
      <c r="J22" s="1340"/>
      <c r="K22" s="1340"/>
      <c r="L22" s="1337">
        <f t="shared" si="0"/>
        <v>772</v>
      </c>
      <c r="M22" s="1340"/>
    </row>
    <row r="23" spans="2:14" ht="20.100000000000001" customHeight="1" x14ac:dyDescent="0.2">
      <c r="B23" s="1334"/>
      <c r="C23" s="1338"/>
      <c r="D23" s="1339" t="s">
        <v>2114</v>
      </c>
      <c r="E23" s="1340">
        <v>4183</v>
      </c>
      <c r="F23" s="1340">
        <v>374</v>
      </c>
      <c r="G23" s="1340">
        <v>4183</v>
      </c>
      <c r="H23" s="1340"/>
      <c r="I23" s="1340">
        <v>374</v>
      </c>
      <c r="J23" s="1340"/>
      <c r="K23" s="1340"/>
      <c r="L23" s="1337">
        <f t="shared" si="0"/>
        <v>4557</v>
      </c>
      <c r="M23" s="1340"/>
    </row>
    <row r="24" spans="2:14" ht="20.100000000000001" customHeight="1" x14ac:dyDescent="0.2">
      <c r="B24" s="1334"/>
      <c r="C24" s="1338"/>
      <c r="D24" s="1339" t="s">
        <v>2115</v>
      </c>
      <c r="E24" s="1340"/>
      <c r="F24" s="1340">
        <f>4428+231</f>
        <v>4659</v>
      </c>
      <c r="G24" s="1340"/>
      <c r="H24" s="1340"/>
      <c r="I24" s="1340">
        <v>4428</v>
      </c>
      <c r="J24" s="1340"/>
      <c r="K24" s="1340"/>
      <c r="L24" s="1337">
        <f t="shared" si="0"/>
        <v>4428</v>
      </c>
      <c r="M24" s="1340"/>
    </row>
    <row r="25" spans="2:14" ht="20.100000000000001" customHeight="1" x14ac:dyDescent="0.2">
      <c r="B25" s="1334" t="s">
        <v>2116</v>
      </c>
      <c r="C25" s="1338"/>
      <c r="D25" s="1339"/>
      <c r="E25" s="1340">
        <f>SUM(E21:E24)</f>
        <v>114456</v>
      </c>
      <c r="F25" s="1340">
        <f t="shared" ref="F25:I25" si="2">SUM(F21:F24)</f>
        <v>137087</v>
      </c>
      <c r="G25" s="1340">
        <f t="shared" si="2"/>
        <v>114456</v>
      </c>
      <c r="H25" s="1340"/>
      <c r="I25" s="1340">
        <f t="shared" si="2"/>
        <v>136856</v>
      </c>
      <c r="J25" s="1340"/>
      <c r="K25" s="1340"/>
      <c r="L25" s="1337">
        <f t="shared" si="0"/>
        <v>251312</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1735</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1838</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1736</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1737</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1738</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1739</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46" orientation="landscape" useFirstPageNumber="1" r:id="rId1"/>
  <headerFooter differentOddEven="1" alignWithMargins="0">
    <oddHeader>&amp;L&amp;8Page 40&amp;R&amp;8Page 40</oddHeader>
    <oddFooter>&amp;C46</oddFooter>
    <evenFooter>&amp;C46</even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view="pageLayout" topLeftCell="A22" zoomScaleNormal="100" workbookViewId="0">
      <selection activeCell="B53" sqref="B5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Brooklyn UD 188</v>
      </c>
      <c r="C1" s="2437"/>
      <c r="D1" s="2437"/>
      <c r="E1" s="2437"/>
      <c r="F1" s="2437"/>
      <c r="G1" s="2437"/>
      <c r="H1" s="2437"/>
      <c r="I1" s="2437"/>
      <c r="J1" s="2437"/>
      <c r="K1" s="2437"/>
      <c r="L1" s="2437"/>
      <c r="M1" s="2437"/>
    </row>
    <row r="2" spans="2:14" ht="15" x14ac:dyDescent="0.2">
      <c r="B2" s="2438">
        <f>'Single Audit Cover'!E7</f>
        <v>50082188022</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1837</v>
      </c>
      <c r="I8" s="1316" t="s">
        <v>1262</v>
      </c>
      <c r="J8" s="1315" t="s">
        <v>1988</v>
      </c>
      <c r="K8" s="1316" t="s">
        <v>1261</v>
      </c>
      <c r="L8" s="1317" t="s">
        <v>1257</v>
      </c>
      <c r="M8" s="1318" t="s">
        <v>30</v>
      </c>
    </row>
    <row r="9" spans="2:14" ht="14.25" x14ac:dyDescent="0.2">
      <c r="B9" s="1322" t="s">
        <v>1259</v>
      </c>
      <c r="C9" s="1310" t="s">
        <v>1733</v>
      </c>
      <c r="D9" s="1311" t="s">
        <v>1734</v>
      </c>
      <c r="E9" s="1319" t="s">
        <v>1837</v>
      </c>
      <c r="F9" s="1320" t="s">
        <v>1988</v>
      </c>
      <c r="G9" s="1321" t="s">
        <v>1837</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2117</v>
      </c>
      <c r="C11" s="1335"/>
      <c r="D11" s="1336"/>
      <c r="E11" s="1337"/>
      <c r="F11" s="1337"/>
      <c r="G11" s="1337"/>
      <c r="H11" s="1337"/>
      <c r="I11" s="1337"/>
      <c r="J11" s="1337"/>
      <c r="K11" s="1337"/>
      <c r="L11" s="1337">
        <f>+G11+I11+K11</f>
        <v>0</v>
      </c>
      <c r="M11" s="1337"/>
    </row>
    <row r="12" spans="2:14" ht="20.100000000000001" customHeight="1" x14ac:dyDescent="0.2">
      <c r="B12" s="1334" t="s">
        <v>2118</v>
      </c>
      <c r="C12" s="1338">
        <v>93.778000000000006</v>
      </c>
      <c r="D12" s="1339"/>
      <c r="E12" s="1340">
        <f>731+2116</f>
        <v>2847</v>
      </c>
      <c r="F12" s="1340">
        <v>3164</v>
      </c>
      <c r="G12" s="1340">
        <v>2116</v>
      </c>
      <c r="H12" s="1340"/>
      <c r="I12" s="1340">
        <v>3164</v>
      </c>
      <c r="J12" s="1340"/>
      <c r="K12" s="1340"/>
      <c r="L12" s="1337">
        <f t="shared" ref="L12:L27" si="0">+G12+I12+K12</f>
        <v>5280</v>
      </c>
      <c r="M12" s="1340"/>
    </row>
    <row r="13" spans="2:14" ht="20.100000000000001" customHeight="1" x14ac:dyDescent="0.2">
      <c r="B13" s="1334" t="s">
        <v>2119</v>
      </c>
      <c r="C13" s="1338"/>
      <c r="D13" s="1339"/>
      <c r="E13" s="1340">
        <f>E12</f>
        <v>2847</v>
      </c>
      <c r="F13" s="1340">
        <f t="shared" ref="F13:I14" si="1">F12</f>
        <v>3164</v>
      </c>
      <c r="G13" s="1340">
        <f t="shared" si="1"/>
        <v>2116</v>
      </c>
      <c r="H13" s="1340"/>
      <c r="I13" s="1340">
        <f t="shared" si="1"/>
        <v>3164</v>
      </c>
      <c r="J13" s="1340"/>
      <c r="K13" s="1340"/>
      <c r="L13" s="1337">
        <f t="shared" si="0"/>
        <v>5280</v>
      </c>
      <c r="M13" s="1340"/>
    </row>
    <row r="14" spans="2:14" ht="20.100000000000001" customHeight="1" x14ac:dyDescent="0.2">
      <c r="B14" s="1334" t="s">
        <v>2120</v>
      </c>
      <c r="C14" s="1338"/>
      <c r="D14" s="1339"/>
      <c r="E14" s="1340">
        <f>E13</f>
        <v>2847</v>
      </c>
      <c r="F14" s="1340">
        <f t="shared" si="1"/>
        <v>3164</v>
      </c>
      <c r="G14" s="1340">
        <f t="shared" si="1"/>
        <v>2116</v>
      </c>
      <c r="H14" s="1340"/>
      <c r="I14" s="1340">
        <f t="shared" si="1"/>
        <v>3164</v>
      </c>
      <c r="J14" s="1340"/>
      <c r="K14" s="1340"/>
      <c r="L14" s="1337">
        <f t="shared" si="0"/>
        <v>5280</v>
      </c>
      <c r="M14" s="1340"/>
    </row>
    <row r="15" spans="2:14" ht="20.100000000000001" customHeight="1" x14ac:dyDescent="0.2">
      <c r="B15" s="1334" t="s">
        <v>2124</v>
      </c>
      <c r="C15" s="1338"/>
      <c r="D15" s="1339"/>
      <c r="E15" s="1340"/>
      <c r="F15" s="1340"/>
      <c r="G15" s="1340"/>
      <c r="H15" s="1340"/>
      <c r="I15" s="1340"/>
      <c r="J15" s="1340"/>
      <c r="K15" s="1340"/>
      <c r="L15" s="1337">
        <f t="shared" si="0"/>
        <v>0</v>
      </c>
      <c r="M15" s="1340"/>
    </row>
    <row r="16" spans="2:14" ht="20.100000000000001" customHeight="1" x14ac:dyDescent="0.2">
      <c r="B16" s="1334" t="s">
        <v>2121</v>
      </c>
      <c r="C16" s="1338">
        <v>84.027000000000001</v>
      </c>
      <c r="D16" s="1339" t="s">
        <v>2122</v>
      </c>
      <c r="E16" s="1340"/>
      <c r="F16" s="1340">
        <v>319</v>
      </c>
      <c r="G16" s="1340"/>
      <c r="H16" s="1340"/>
      <c r="I16" s="1340">
        <v>319</v>
      </c>
      <c r="J16" s="1340"/>
      <c r="K16" s="1340"/>
      <c r="L16" s="1337">
        <f t="shared" si="0"/>
        <v>319</v>
      </c>
      <c r="M16" s="1340"/>
    </row>
    <row r="17" spans="2:14" ht="20.100000000000001" customHeight="1" x14ac:dyDescent="0.2">
      <c r="B17" s="1334" t="s">
        <v>2125</v>
      </c>
      <c r="C17" s="1338"/>
      <c r="D17" s="1339"/>
      <c r="E17" s="1340"/>
      <c r="F17" s="1340">
        <f>F16</f>
        <v>319</v>
      </c>
      <c r="G17" s="1340"/>
      <c r="H17" s="1340"/>
      <c r="I17" s="1340">
        <f>I16</f>
        <v>319</v>
      </c>
      <c r="J17" s="1340"/>
      <c r="K17" s="1340"/>
      <c r="L17" s="1337">
        <f t="shared" si="0"/>
        <v>319</v>
      </c>
      <c r="M17" s="1340"/>
    </row>
    <row r="18" spans="2:14" ht="20.100000000000001" customHeight="1" x14ac:dyDescent="0.2">
      <c r="B18" s="1334" t="s">
        <v>2132</v>
      </c>
      <c r="C18" s="1338">
        <v>84.01</v>
      </c>
      <c r="D18" s="1339" t="s">
        <v>2127</v>
      </c>
      <c r="E18" s="1340">
        <v>8860</v>
      </c>
      <c r="F18" s="1340"/>
      <c r="G18" s="1340"/>
      <c r="H18" s="1340"/>
      <c r="I18" s="1340"/>
      <c r="J18" s="1340"/>
      <c r="K18" s="1340"/>
      <c r="L18" s="1337">
        <f t="shared" si="0"/>
        <v>0</v>
      </c>
      <c r="M18" s="1340"/>
    </row>
    <row r="19" spans="2:14" ht="20.100000000000001" customHeight="1" x14ac:dyDescent="0.2">
      <c r="B19" s="1334"/>
      <c r="C19" s="1338"/>
      <c r="D19" s="1339" t="s">
        <v>2126</v>
      </c>
      <c r="E19" s="1340">
        <v>211276</v>
      </c>
      <c r="F19" s="1340">
        <v>21727</v>
      </c>
      <c r="G19" s="1340">
        <v>229610</v>
      </c>
      <c r="H19" s="1340"/>
      <c r="I19" s="1340">
        <v>3393</v>
      </c>
      <c r="J19" s="1340"/>
      <c r="K19" s="1340"/>
      <c r="L19" s="1337">
        <f t="shared" si="0"/>
        <v>233003</v>
      </c>
      <c r="M19" s="1340"/>
    </row>
    <row r="20" spans="2:14" ht="20.100000000000001" customHeight="1" x14ac:dyDescent="0.2">
      <c r="B20" s="1334"/>
      <c r="C20" s="1338"/>
      <c r="D20" s="1339" t="s">
        <v>2128</v>
      </c>
      <c r="E20" s="1340"/>
      <c r="F20" s="1340">
        <v>191832</v>
      </c>
      <c r="G20" s="1340"/>
      <c r="H20" s="1340"/>
      <c r="I20" s="1340">
        <v>199145</v>
      </c>
      <c r="J20" s="1340"/>
      <c r="K20" s="1340"/>
      <c r="L20" s="1337">
        <f t="shared" si="0"/>
        <v>199145</v>
      </c>
      <c r="M20" s="1340"/>
    </row>
    <row r="21" spans="2:14" ht="20.100000000000001" customHeight="1" x14ac:dyDescent="0.2">
      <c r="B21" s="1334" t="s">
        <v>2133</v>
      </c>
      <c r="C21" s="1338">
        <v>84.367000000000004</v>
      </c>
      <c r="D21" s="1339" t="s">
        <v>2129</v>
      </c>
      <c r="E21" s="1340">
        <v>1643</v>
      </c>
      <c r="F21" s="1340"/>
      <c r="G21" s="1340"/>
      <c r="H21" s="1340"/>
      <c r="I21" s="1340"/>
      <c r="J21" s="1340"/>
      <c r="K21" s="1340"/>
      <c r="L21" s="1337">
        <f t="shared" si="0"/>
        <v>0</v>
      </c>
      <c r="M21" s="1340"/>
    </row>
    <row r="22" spans="2:14" ht="20.100000000000001" customHeight="1" x14ac:dyDescent="0.2">
      <c r="B22" s="1334"/>
      <c r="C22" s="1338"/>
      <c r="D22" s="1339" t="s">
        <v>2130</v>
      </c>
      <c r="E22" s="1340">
        <v>16857</v>
      </c>
      <c r="F22" s="1340"/>
      <c r="G22" s="1340">
        <v>16857</v>
      </c>
      <c r="H22" s="1340"/>
      <c r="I22" s="1340"/>
      <c r="J22" s="1340"/>
      <c r="K22" s="1340"/>
      <c r="L22" s="1337">
        <f t="shared" si="0"/>
        <v>16857</v>
      </c>
      <c r="M22" s="1340"/>
    </row>
    <row r="23" spans="2:14" ht="20.100000000000001" customHeight="1" x14ac:dyDescent="0.2">
      <c r="B23" s="1334"/>
      <c r="C23" s="1338"/>
      <c r="D23" s="1339" t="s">
        <v>2131</v>
      </c>
      <c r="E23" s="1340"/>
      <c r="F23" s="1340">
        <v>349</v>
      </c>
      <c r="G23" s="1340"/>
      <c r="H23" s="1340"/>
      <c r="I23" s="1340">
        <v>1349</v>
      </c>
      <c r="J23" s="1340"/>
      <c r="K23" s="1340"/>
      <c r="L23" s="1337">
        <f t="shared" si="0"/>
        <v>1349</v>
      </c>
      <c r="M23" s="1340"/>
    </row>
    <row r="24" spans="2:14" ht="20.100000000000001" customHeight="1" x14ac:dyDescent="0.2">
      <c r="B24" s="1334" t="s">
        <v>2134</v>
      </c>
      <c r="C24" s="1338">
        <v>84.376999999999995</v>
      </c>
      <c r="D24" s="1338" t="s">
        <v>2135</v>
      </c>
      <c r="E24" s="1340"/>
      <c r="F24" s="1340">
        <v>71991</v>
      </c>
      <c r="G24" s="1340"/>
      <c r="H24" s="1340"/>
      <c r="I24" s="1340">
        <v>109096</v>
      </c>
      <c r="J24" s="1340"/>
      <c r="K24" s="1340"/>
      <c r="L24" s="1337">
        <f t="shared" si="0"/>
        <v>109096</v>
      </c>
      <c r="M24" s="1340"/>
    </row>
    <row r="25" spans="2:14" ht="20.100000000000001" customHeight="1" x14ac:dyDescent="0.2">
      <c r="B25" s="1334"/>
      <c r="C25" s="1338"/>
      <c r="D25" s="1338" t="s">
        <v>2136</v>
      </c>
      <c r="E25" s="1340">
        <v>27687</v>
      </c>
      <c r="F25" s="1340"/>
      <c r="G25" s="1340">
        <v>16178</v>
      </c>
      <c r="H25" s="1340"/>
      <c r="I25" s="1340"/>
      <c r="J25" s="1340"/>
      <c r="K25" s="1340"/>
      <c r="L25" s="1337">
        <f t="shared" si="0"/>
        <v>16178</v>
      </c>
      <c r="M25" s="1340"/>
    </row>
    <row r="26" spans="2:14" ht="20.100000000000001" customHeight="1" x14ac:dyDescent="0.2">
      <c r="B26" s="1334"/>
      <c r="C26" s="1338"/>
      <c r="D26" s="1338" t="s">
        <v>2137</v>
      </c>
      <c r="E26" s="1340">
        <v>331980</v>
      </c>
      <c r="F26" s="1340">
        <v>155132</v>
      </c>
      <c r="G26" s="1340">
        <v>420023</v>
      </c>
      <c r="H26" s="1340"/>
      <c r="I26" s="1340">
        <v>67089</v>
      </c>
      <c r="J26" s="1340"/>
      <c r="K26" s="1340"/>
      <c r="L26" s="1337">
        <f t="shared" si="0"/>
        <v>487112</v>
      </c>
      <c r="M26" s="1340"/>
    </row>
    <row r="27" spans="2:14" ht="20.100000000000001" customHeight="1" x14ac:dyDescent="0.2">
      <c r="B27" s="1334"/>
      <c r="C27" s="1338"/>
      <c r="D27" s="1338" t="s">
        <v>2138</v>
      </c>
      <c r="E27" s="1340"/>
      <c r="F27" s="1340">
        <v>232368</v>
      </c>
      <c r="G27" s="1340"/>
      <c r="H27" s="1340"/>
      <c r="I27" s="1340">
        <v>261055</v>
      </c>
      <c r="J27" s="1340"/>
      <c r="K27" s="1340"/>
      <c r="L27" s="1337">
        <f t="shared" si="0"/>
        <v>261055</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1735</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1838</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1736</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1737</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1738</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1739</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differentOddEven="1" alignWithMargins="0">
    <oddHeader>&amp;L&amp;8Page 40&amp;R&amp;8Page 40</oddHeader>
    <oddFooter>&amp;C47</oddFooter>
    <evenFooter>&amp;C47</even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view="pageLayout" topLeftCell="A16" zoomScaleNormal="100" workbookViewId="0">
      <selection activeCell="B53" sqref="B5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Brooklyn UD 188</v>
      </c>
      <c r="C1" s="2437"/>
      <c r="D1" s="2437"/>
      <c r="E1" s="2437"/>
      <c r="F1" s="2437"/>
      <c r="G1" s="2437"/>
      <c r="H1" s="2437"/>
      <c r="I1" s="2437"/>
      <c r="J1" s="2437"/>
      <c r="K1" s="2437"/>
      <c r="L1" s="2437"/>
      <c r="M1" s="2437"/>
    </row>
    <row r="2" spans="2:14" ht="15" x14ac:dyDescent="0.2">
      <c r="B2" s="2438">
        <f>'Single Audit Cover'!E7</f>
        <v>50082188022</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1732</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1837</v>
      </c>
      <c r="I8" s="1316" t="s">
        <v>1262</v>
      </c>
      <c r="J8" s="1315" t="s">
        <v>1988</v>
      </c>
      <c r="K8" s="1316" t="s">
        <v>1261</v>
      </c>
      <c r="L8" s="1317" t="s">
        <v>1257</v>
      </c>
      <c r="M8" s="1318" t="s">
        <v>30</v>
      </c>
    </row>
    <row r="9" spans="2:14" ht="14.25" x14ac:dyDescent="0.2">
      <c r="B9" s="1322" t="s">
        <v>1259</v>
      </c>
      <c r="C9" s="1310" t="s">
        <v>1733</v>
      </c>
      <c r="D9" s="1311" t="s">
        <v>1734</v>
      </c>
      <c r="E9" s="1319" t="s">
        <v>1837</v>
      </c>
      <c r="F9" s="1320" t="s">
        <v>1988</v>
      </c>
      <c r="G9" s="1321" t="s">
        <v>1837</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2139</v>
      </c>
      <c r="C11" s="1335"/>
      <c r="D11" s="1336"/>
      <c r="E11" s="1337">
        <f>' SEFA (2)'!E17+' SEFA (2)'!E18+' SEFA (2)'!E19+' SEFA (2)'!E20+' SEFA (2)'!E21+' SEFA (2)'!E22+' SEFA (2)'!E23+' SEFA (2)'!E24+' SEFA (2)'!E25+' SEFA (2)'!E26+' SEFA (2)'!E27</f>
        <v>598303</v>
      </c>
      <c r="F11" s="1337">
        <f>' SEFA (2)'!F17+' SEFA (2)'!F18+' SEFA (2)'!F19+' SEFA (2)'!F20+' SEFA (2)'!F21+' SEFA (2)'!F22+' SEFA (2)'!F23+' SEFA (2)'!F24+' SEFA (2)'!F25+' SEFA (2)'!F26+' SEFA (2)'!F27</f>
        <v>673718</v>
      </c>
      <c r="G11" s="1337">
        <f>' SEFA (2)'!G17+' SEFA (2)'!G18+' SEFA (2)'!G19+' SEFA (2)'!G20+' SEFA (2)'!G21+' SEFA (2)'!G22+' SEFA (2)'!G23+' SEFA (2)'!G24+' SEFA (2)'!G25+' SEFA (2)'!G26+' SEFA (2)'!G27</f>
        <v>682668</v>
      </c>
      <c r="H11" s="1337"/>
      <c r="I11" s="1337">
        <f>' SEFA (2)'!I17+' SEFA (2)'!I18+' SEFA (2)'!I19+' SEFA (2)'!I20+' SEFA (2)'!I21+' SEFA (2)'!I22+' SEFA (2)'!I23+' SEFA (2)'!I24+' SEFA (2)'!I25+' SEFA (2)'!I26+' SEFA (2)'!I27</f>
        <v>641446</v>
      </c>
      <c r="J11" s="1337"/>
      <c r="K11" s="1337"/>
      <c r="L11" s="1337">
        <f>+G11+I11+K11</f>
        <v>1324114</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t="s">
        <v>2140</v>
      </c>
      <c r="C13" s="1338"/>
      <c r="D13" s="1339"/>
      <c r="E13" s="1340">
        <f>' SEFA'!E25+' SEFA (2)'!E14+' SEFA (3)'!E11</f>
        <v>715606</v>
      </c>
      <c r="F13" s="1340">
        <f>' SEFA'!F25+' SEFA (2)'!F14+' SEFA (3)'!F11</f>
        <v>813969</v>
      </c>
      <c r="G13" s="1340">
        <f>' SEFA'!G25+' SEFA (2)'!G14+' SEFA (3)'!G11</f>
        <v>799240</v>
      </c>
      <c r="H13" s="1340"/>
      <c r="I13" s="1340">
        <f>' SEFA'!I25+' SEFA (2)'!I14+' SEFA (3)'!I11</f>
        <v>781466</v>
      </c>
      <c r="J13" s="1340"/>
      <c r="K13" s="1340"/>
      <c r="L13" s="1337">
        <f t="shared" si="0"/>
        <v>1580706</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1735</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1838</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1736</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1737</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1738</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1739</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differentOddEven="1" alignWithMargins="0">
    <oddHeader>&amp;L&amp;8Page 40&amp;R&amp;8Page 40</oddHeader>
    <oddFooter>&amp;C48</oddFooter>
    <evenFooter>&amp;C48</even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G52"/>
  <sheetViews>
    <sheetView showGridLines="0" view="pageLayout" zoomScaleNormal="120" workbookViewId="0">
      <selection activeCell="B12" sqref="B12"/>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50" t="str">
        <f>'Single Audit Cover'!A7</f>
        <v>Brooklyn UD 188</v>
      </c>
      <c r="B1" s="2450"/>
      <c r="C1" s="2450"/>
      <c r="D1" s="2450"/>
      <c r="E1" s="2450"/>
      <c r="F1" s="2450"/>
    </row>
    <row r="2" spans="1:7" ht="13.5" customHeight="1" x14ac:dyDescent="0.2">
      <c r="A2" s="2438">
        <f>'Single Audit Cover'!E7</f>
        <v>50082188022</v>
      </c>
      <c r="B2" s="2438"/>
      <c r="C2" s="2438"/>
      <c r="D2" s="2438"/>
      <c r="E2" s="2438"/>
      <c r="F2" s="2438"/>
      <c r="G2" s="1272"/>
    </row>
    <row r="3" spans="1:7" ht="15.75" customHeight="1" x14ac:dyDescent="0.2">
      <c r="A3" s="2451" t="s">
        <v>1271</v>
      </c>
      <c r="B3" s="2451"/>
      <c r="C3" s="2451"/>
      <c r="D3" s="2451"/>
      <c r="E3" s="2451"/>
      <c r="F3" s="2451"/>
    </row>
    <row r="4" spans="1:7" ht="13.5" customHeight="1" x14ac:dyDescent="0.2">
      <c r="A4" s="2452" t="str">
        <f>'Single Audit Cover'!A4</f>
        <v>Year Ending June 30, 2019</v>
      </c>
      <c r="B4" s="2452"/>
      <c r="C4" s="2452"/>
      <c r="D4" s="2452"/>
      <c r="E4" s="2452"/>
      <c r="F4" s="2452"/>
    </row>
    <row r="5" spans="1:7" ht="8.25" customHeight="1" x14ac:dyDescent="0.2">
      <c r="C5" s="317"/>
      <c r="D5" s="317"/>
    </row>
    <row r="6" spans="1:7" ht="13.5" customHeight="1" x14ac:dyDescent="0.2">
      <c r="A6" s="1273" t="s">
        <v>1728</v>
      </c>
      <c r="C6" s="317"/>
      <c r="D6" s="317"/>
    </row>
    <row r="7" spans="1:7" ht="60.95" customHeight="1" x14ac:dyDescent="0.2">
      <c r="A7" s="2449" t="s">
        <v>2156</v>
      </c>
      <c r="B7" s="2449"/>
      <c r="C7" s="2449"/>
      <c r="D7" s="2449"/>
      <c r="E7" s="2449"/>
      <c r="F7" s="2449"/>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2141</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9" t="s">
        <v>2142</v>
      </c>
      <c r="B13" s="2449"/>
      <c r="C13" s="2449"/>
      <c r="D13" s="2449"/>
      <c r="E13" s="2449"/>
      <c r="F13" s="2449"/>
    </row>
    <row r="14" spans="1:7" ht="9.75" customHeight="1" x14ac:dyDescent="0.2">
      <c r="C14" s="1257"/>
      <c r="D14" s="1257"/>
    </row>
    <row r="15" spans="1:7" ht="13.5" customHeight="1" x14ac:dyDescent="0.2">
      <c r="C15" s="1846" t="s">
        <v>1270</v>
      </c>
      <c r="D15" s="2447" t="s">
        <v>1269</v>
      </c>
      <c r="E15" s="2447"/>
      <c r="F15" s="2447"/>
    </row>
    <row r="16" spans="1:7" ht="13.5" customHeight="1" x14ac:dyDescent="0.2">
      <c r="A16" s="1279"/>
      <c r="B16" s="1273" t="s">
        <v>1268</v>
      </c>
      <c r="C16" s="1846" t="s">
        <v>1267</v>
      </c>
      <c r="D16" s="2448" t="s">
        <v>1588</v>
      </c>
      <c r="E16" s="2448"/>
      <c r="F16" s="2448"/>
    </row>
    <row r="17" spans="1:6" ht="20.45" customHeight="1" x14ac:dyDescent="0.2">
      <c r="A17" s="1280"/>
      <c r="B17" s="1281" t="s">
        <v>2143</v>
      </c>
      <c r="C17" s="1282"/>
      <c r="D17" s="2442"/>
      <c r="E17" s="2442"/>
      <c r="F17" s="2442"/>
    </row>
    <row r="18" spans="1:6" ht="20.65" customHeight="1" x14ac:dyDescent="0.2">
      <c r="A18" s="1280"/>
      <c r="B18" s="1281"/>
      <c r="C18" s="1282"/>
      <c r="D18" s="2442"/>
      <c r="E18" s="2442"/>
      <c r="F18" s="2442"/>
    </row>
    <row r="19" spans="1:6" ht="20.65" customHeight="1" x14ac:dyDescent="0.2">
      <c r="A19" s="1280"/>
      <c r="B19" s="1281"/>
      <c r="C19" s="1282"/>
      <c r="D19" s="2442"/>
      <c r="E19" s="2442"/>
      <c r="F19" s="2442"/>
    </row>
    <row r="20" spans="1:6" ht="20.65" customHeight="1" x14ac:dyDescent="0.2">
      <c r="A20" s="1280"/>
      <c r="B20" s="1281"/>
      <c r="C20" s="1282"/>
      <c r="D20" s="2442"/>
      <c r="E20" s="2442"/>
      <c r="F20" s="2442"/>
    </row>
    <row r="21" spans="1:6" ht="20.65" customHeight="1" x14ac:dyDescent="0.2">
      <c r="A21" s="1280"/>
      <c r="B21" s="1281"/>
      <c r="C21" s="1282"/>
      <c r="D21" s="2442"/>
      <c r="E21" s="2442"/>
      <c r="F21" s="2442"/>
    </row>
    <row r="22" spans="1:6" ht="20.65" customHeight="1" x14ac:dyDescent="0.2">
      <c r="A22" s="1280"/>
      <c r="B22" s="1281"/>
      <c r="C22" s="1282"/>
      <c r="D22" s="2442"/>
      <c r="E22" s="2442"/>
      <c r="F22" s="2442"/>
    </row>
    <row r="23" spans="1:6" ht="20.65" customHeight="1" x14ac:dyDescent="0.2">
      <c r="A23" s="1280"/>
      <c r="B23" s="1281"/>
      <c r="C23" s="1282"/>
      <c r="D23" s="2442"/>
      <c r="E23" s="2442"/>
      <c r="F23" s="2442"/>
    </row>
    <row r="24" spans="1:6" ht="20.65" customHeight="1" x14ac:dyDescent="0.2">
      <c r="A24" s="1280"/>
      <c r="B24" s="1281"/>
      <c r="C24" s="1282"/>
      <c r="D24" s="2442"/>
      <c r="E24" s="2442"/>
      <c r="F24" s="2442"/>
    </row>
    <row r="25" spans="1:6" ht="20.65" customHeight="1" x14ac:dyDescent="0.2">
      <c r="A25" s="1280"/>
      <c r="B25" s="1281"/>
      <c r="C25" s="1282"/>
      <c r="D25" s="2442"/>
      <c r="E25" s="2442"/>
      <c r="F25" s="2442"/>
    </row>
    <row r="26" spans="1:6" ht="20.65" customHeight="1" x14ac:dyDescent="0.2">
      <c r="A26" s="1280"/>
      <c r="B26" s="1281"/>
      <c r="C26" s="1282"/>
      <c r="D26" s="2442"/>
      <c r="E26" s="2442"/>
      <c r="F26" s="2442"/>
    </row>
    <row r="27" spans="1:6" ht="20.65" customHeight="1" x14ac:dyDescent="0.2">
      <c r="A27" s="1280"/>
      <c r="B27" s="1281"/>
      <c r="C27" s="1282"/>
      <c r="D27" s="2442"/>
      <c r="E27" s="2442"/>
      <c r="F27" s="2442"/>
    </row>
    <row r="28" spans="1:6" ht="20.65" customHeight="1" x14ac:dyDescent="0.2">
      <c r="A28" s="1280"/>
      <c r="B28" s="1281"/>
      <c r="C28" s="1282"/>
      <c r="D28" s="2442"/>
      <c r="E28" s="2442"/>
      <c r="F28" s="2442"/>
    </row>
    <row r="29" spans="1:6" ht="20.65" customHeight="1" x14ac:dyDescent="0.2">
      <c r="A29" s="1280"/>
      <c r="B29" s="1281"/>
      <c r="C29" s="1282"/>
      <c r="D29" s="2442"/>
      <c r="E29" s="2442"/>
      <c r="F29" s="2442"/>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3" t="s">
        <v>1730</v>
      </c>
      <c r="B32" s="2443"/>
      <c r="C32" s="2443"/>
      <c r="D32" s="2443"/>
      <c r="E32" s="2443"/>
      <c r="F32" s="2443"/>
    </row>
    <row r="33" spans="1:6" ht="13.5" customHeight="1" x14ac:dyDescent="0.2">
      <c r="A33" s="328" t="s">
        <v>1434</v>
      </c>
      <c r="B33" s="328"/>
      <c r="C33" s="1285">
        <v>6277</v>
      </c>
      <c r="D33" s="1903"/>
      <c r="E33" s="1283"/>
    </row>
    <row r="34" spans="1:6" ht="13.5" customHeight="1" x14ac:dyDescent="0.2">
      <c r="A34" s="328" t="s">
        <v>1836</v>
      </c>
      <c r="B34" s="328"/>
      <c r="C34" s="1286">
        <v>0</v>
      </c>
      <c r="D34" s="1903" t="s">
        <v>1589</v>
      </c>
      <c r="E34" s="2444">
        <f>+C33+C34</f>
        <v>6277</v>
      </c>
      <c r="F34" s="2445"/>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1731</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6" t="s">
        <v>1590</v>
      </c>
      <c r="C49" s="2446"/>
      <c r="D49" s="2446"/>
      <c r="E49" s="1396"/>
    </row>
    <row r="50" spans="1:5" s="1297" customFormat="1" ht="3.75" customHeight="1" x14ac:dyDescent="0.2">
      <c r="A50" s="1296"/>
      <c r="B50" s="1845"/>
      <c r="C50" s="1845"/>
      <c r="D50" s="1845"/>
      <c r="E50" s="1396"/>
    </row>
    <row r="51" spans="1:5" s="1297" customFormat="1" ht="20.25" customHeight="1" x14ac:dyDescent="0.2">
      <c r="A51" s="1298">
        <v>6</v>
      </c>
      <c r="B51" s="2441" t="s">
        <v>1551</v>
      </c>
      <c r="C51" s="2441"/>
      <c r="D51" s="2441"/>
    </row>
    <row r="52" spans="1:5" ht="14.25" customHeight="1" x14ac:dyDescent="0.2">
      <c r="A52" s="1298"/>
      <c r="B52" s="2441"/>
      <c r="C52" s="2441"/>
      <c r="D52" s="2441"/>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rintOptions horizontalCentered="1"/>
  <pageMargins left="0.9" right="0.27" top="0.43" bottom="0" header="0.15" footer="0.15"/>
  <pageSetup scale="90" firstPageNumber="39" orientation="portrait" useFirstPageNumber="1" r:id="rId1"/>
  <headerFooter scaleWithDoc="0">
    <oddHeader>&amp;L&amp;8Page 41&amp;R&amp;8Page 41</oddHeader>
    <oddFooter>&amp;LSee notes to financial statements.&amp;C49</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15" zoomScale="110" zoomScaleNormal="110" workbookViewId="0">
      <selection activeCell="B53" sqref="B53"/>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4" t="str">
        <f>'Single Audit Cover'!A7</f>
        <v>Brooklyn UD 188</v>
      </c>
      <c r="C1" s="2465"/>
      <c r="D1" s="2465"/>
      <c r="E1" s="2465"/>
      <c r="F1" s="2465"/>
      <c r="G1" s="2465"/>
      <c r="H1" s="2465"/>
      <c r="I1" s="2465"/>
      <c r="J1" s="1406"/>
    </row>
    <row r="2" spans="2:10" s="317" customFormat="1" ht="12.75" customHeight="1" x14ac:dyDescent="0.2">
      <c r="B2" s="2466">
        <f>'Single Audit Cover'!E7</f>
        <v>50082188022</v>
      </c>
      <c r="C2" s="2467"/>
      <c r="D2" s="2467"/>
      <c r="E2" s="2467"/>
      <c r="F2" s="2467"/>
      <c r="G2" s="2467"/>
      <c r="H2" s="2467"/>
      <c r="I2" s="2467"/>
      <c r="J2" s="1406"/>
    </row>
    <row r="3" spans="2:10" s="317" customFormat="1" ht="12.75" customHeight="1" x14ac:dyDescent="0.2">
      <c r="B3" s="2468" t="s">
        <v>1285</v>
      </c>
      <c r="C3" s="2469"/>
      <c r="D3" s="2469"/>
      <c r="E3" s="2469"/>
      <c r="F3" s="2469"/>
      <c r="G3" s="2469"/>
      <c r="H3" s="2469"/>
      <c r="I3" s="2469"/>
      <c r="J3" s="1407"/>
    </row>
    <row r="4" spans="2:10" s="317" customFormat="1" ht="12.75" customHeight="1" x14ac:dyDescent="0.2">
      <c r="B4" s="2468" t="str">
        <f>'Single Audit Cover'!A4</f>
        <v>Year Ending June 30, 2019</v>
      </c>
      <c r="C4" s="2469"/>
      <c r="D4" s="2469"/>
      <c r="E4" s="2469"/>
      <c r="F4" s="2469"/>
      <c r="G4" s="2469"/>
      <c r="H4" s="2469"/>
      <c r="I4" s="2469"/>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8" t="s">
        <v>1284</v>
      </c>
      <c r="C7" s="2469"/>
      <c r="D7" s="2469"/>
      <c r="E7" s="2469"/>
      <c r="F7" s="2469"/>
      <c r="G7" s="2469"/>
      <c r="H7" s="2469"/>
      <c r="I7" s="2469"/>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0" t="s">
        <v>1164</v>
      </c>
      <c r="D11" s="2470"/>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2062</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2062</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2062</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2062</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2062</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1" t="s">
        <v>2144</v>
      </c>
      <c r="E29" s="2471"/>
      <c r="F29" s="2471"/>
      <c r="G29" s="2471"/>
      <c r="H29" s="2471"/>
      <c r="I29" s="2471"/>
    </row>
    <row r="30" spans="2:9" s="317" customFormat="1" x14ac:dyDescent="0.2">
      <c r="B30" s="1365"/>
      <c r="C30" s="322"/>
      <c r="D30" s="1417" t="s">
        <v>1746</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2062</v>
      </c>
      <c r="H33" s="1297" t="s">
        <v>99</v>
      </c>
    </row>
    <row r="35" spans="2:9" x14ac:dyDescent="0.2">
      <c r="B35" s="1425" t="s">
        <v>1747</v>
      </c>
      <c r="C35" s="1426"/>
      <c r="D35" s="1264"/>
    </row>
    <row r="36" spans="2:9" ht="6" customHeight="1" x14ac:dyDescent="0.2">
      <c r="B36" s="1425"/>
      <c r="C36" s="1426"/>
      <c r="D36" s="1264"/>
    </row>
    <row r="37" spans="2:9" ht="17.25" customHeight="1" x14ac:dyDescent="0.2">
      <c r="B37" s="1427" t="s">
        <v>1748</v>
      </c>
      <c r="C37" s="2472" t="s">
        <v>1749</v>
      </c>
      <c r="D37" s="2473"/>
      <c r="E37" s="2473"/>
      <c r="F37" s="2474"/>
      <c r="G37" s="2472" t="s">
        <v>1592</v>
      </c>
      <c r="H37" s="2473"/>
      <c r="I37" s="2474"/>
    </row>
    <row r="38" spans="2:9" ht="16.5" customHeight="1" x14ac:dyDescent="0.2">
      <c r="B38" s="1428">
        <v>84.376999999999995</v>
      </c>
      <c r="C38" s="2460" t="s">
        <v>2145</v>
      </c>
      <c r="D38" s="2461"/>
      <c r="E38" s="2461"/>
      <c r="F38" s="2462"/>
      <c r="G38" s="2475">
        <v>437240</v>
      </c>
      <c r="H38" s="2476"/>
      <c r="I38" s="2477"/>
    </row>
    <row r="39" spans="2:9" ht="16.5" customHeight="1" x14ac:dyDescent="0.2">
      <c r="B39" s="1428"/>
      <c r="C39" s="2460"/>
      <c r="D39" s="2461"/>
      <c r="E39" s="2461"/>
      <c r="F39" s="2462"/>
      <c r="G39" s="2463"/>
      <c r="H39" s="2463"/>
      <c r="I39" s="2463"/>
    </row>
    <row r="40" spans="2:9" ht="16.5" customHeight="1" x14ac:dyDescent="0.2">
      <c r="B40" s="1428"/>
      <c r="C40" s="2460"/>
      <c r="D40" s="2461"/>
      <c r="E40" s="2461"/>
      <c r="F40" s="2462"/>
      <c r="G40" s="2463"/>
      <c r="H40" s="2463"/>
      <c r="I40" s="2463"/>
    </row>
    <row r="41" spans="2:9" ht="16.5" customHeight="1" x14ac:dyDescent="0.2">
      <c r="B41" s="1428"/>
      <c r="C41" s="2460"/>
      <c r="D41" s="2461"/>
      <c r="E41" s="2461"/>
      <c r="F41" s="2462"/>
      <c r="G41" s="2463"/>
      <c r="H41" s="2463"/>
      <c r="I41" s="2463"/>
    </row>
    <row r="42" spans="2:9" ht="16.5" customHeight="1" x14ac:dyDescent="0.2">
      <c r="B42" s="1428"/>
      <c r="C42" s="2460"/>
      <c r="D42" s="2461"/>
      <c r="E42" s="2461"/>
      <c r="F42" s="2462"/>
      <c r="G42" s="2463"/>
      <c r="H42" s="2463"/>
      <c r="I42" s="2463"/>
    </row>
    <row r="43" spans="2:9" ht="16.5" customHeight="1" x14ac:dyDescent="0.2">
      <c r="B43" s="1428"/>
      <c r="C43" s="2453" t="s">
        <v>1593</v>
      </c>
      <c r="D43" s="2454"/>
      <c r="E43" s="2454"/>
      <c r="F43" s="2455"/>
      <c r="G43" s="2456">
        <f>SUM(G38:I42)</f>
        <v>437240</v>
      </c>
      <c r="H43" s="2456"/>
      <c r="I43" s="2456"/>
    </row>
    <row r="44" spans="2:9" ht="12.75" customHeight="1" x14ac:dyDescent="0.2"/>
    <row r="45" spans="2:9" ht="12.75" customHeight="1" x14ac:dyDescent="0.2">
      <c r="B45" s="1419" t="s">
        <v>1839</v>
      </c>
      <c r="D45" s="2457">
        <v>781466</v>
      </c>
      <c r="E45" s="2458"/>
    </row>
    <row r="46" spans="2:9" ht="5.25" customHeight="1" x14ac:dyDescent="0.2">
      <c r="B46" s="1429"/>
      <c r="D46" s="1430"/>
      <c r="E46" s="1431"/>
    </row>
    <row r="47" spans="2:9" ht="12.75" customHeight="1" x14ac:dyDescent="0.2">
      <c r="B47" s="1297" t="s">
        <v>1594</v>
      </c>
      <c r="C47" s="1297"/>
      <c r="D47" s="1432">
        <f>+G43/D45</f>
        <v>0.55951250598234603</v>
      </c>
      <c r="E47" s="1433"/>
      <c r="F47" s="1434"/>
      <c r="I47" s="1435"/>
    </row>
    <row r="48" spans="2:9" ht="9.9499999999999993" customHeight="1" x14ac:dyDescent="0.2"/>
    <row r="49" spans="1:9" x14ac:dyDescent="0.2">
      <c r="B49" s="1365" t="s">
        <v>1273</v>
      </c>
      <c r="C49" s="1279"/>
      <c r="D49" s="1279"/>
      <c r="E49" s="2459">
        <v>750000</v>
      </c>
      <c r="F49" s="2459"/>
      <c r="G49" s="2459"/>
      <c r="H49" s="322"/>
    </row>
    <row r="51" spans="1:9" ht="13.5" customHeight="1" x14ac:dyDescent="0.2">
      <c r="B51" s="1365" t="s">
        <v>1272</v>
      </c>
      <c r="C51" s="1279"/>
      <c r="E51" s="1422"/>
      <c r="F51" s="1297" t="s">
        <v>885</v>
      </c>
      <c r="G51" s="1422" t="s">
        <v>2062</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1750</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1751</v>
      </c>
      <c r="C58" s="1448"/>
      <c r="D58" s="1448"/>
    </row>
    <row r="59" spans="1:9" s="1445" customFormat="1" ht="3.95" customHeight="1" x14ac:dyDescent="0.2">
      <c r="A59" s="1442"/>
      <c r="B59" s="1447"/>
      <c r="C59" s="1448"/>
      <c r="D59" s="1448"/>
    </row>
    <row r="60" spans="1:9" s="1445" customFormat="1" ht="13.5" customHeight="1" x14ac:dyDescent="0.2">
      <c r="A60" s="1442"/>
      <c r="B60" s="1447" t="s">
        <v>1752</v>
      </c>
      <c r="C60" s="1448"/>
      <c r="D60" s="1448"/>
    </row>
    <row r="61" spans="1:9" s="1445" customFormat="1" ht="3.95" customHeight="1" x14ac:dyDescent="0.2">
      <c r="A61" s="1442"/>
      <c r="B61" s="1447"/>
      <c r="C61" s="1448"/>
      <c r="D61" s="1448"/>
    </row>
    <row r="62" spans="1:9" s="1445" customFormat="1" ht="12.75" customHeight="1" x14ac:dyDescent="0.2">
      <c r="A62" s="1442"/>
      <c r="B62" s="1447" t="s">
        <v>1753</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scaleWithDoc="0">
    <oddHeader>&amp;L&amp;8Page 42&amp;R&amp;8Page 42</oddHeader>
    <oddFooter>&amp;LSee notes to financial statements.&amp;C50</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view="pageBreakPreview" topLeftCell="A22" zoomScale="60" zoomScaleNormal="110" workbookViewId="0">
      <selection activeCell="B53" sqref="B5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Brooklyn UD 188</v>
      </c>
      <c r="C1" s="2464"/>
      <c r="D1" s="2464"/>
      <c r="E1" s="2464"/>
      <c r="F1" s="2464"/>
      <c r="G1" s="2464"/>
      <c r="H1" s="2464"/>
      <c r="I1" s="2464"/>
      <c r="J1" s="2464"/>
      <c r="K1" s="2464"/>
      <c r="L1" s="1371"/>
      <c r="M1" s="1371"/>
    </row>
    <row r="2" spans="1:13" ht="12" customHeight="1" x14ac:dyDescent="0.2">
      <c r="B2" s="2466">
        <f>'Single Audit Cover'!E7</f>
        <v>50082188022</v>
      </c>
      <c r="C2" s="2466"/>
      <c r="D2" s="2466"/>
      <c r="E2" s="2466"/>
      <c r="F2" s="2466"/>
      <c r="G2" s="2466"/>
      <c r="H2" s="2466"/>
      <c r="I2" s="2466"/>
      <c r="J2" s="2466"/>
      <c r="K2" s="2466"/>
      <c r="L2" s="1372"/>
      <c r="M2" s="1373"/>
    </row>
    <row r="3" spans="1:13" ht="10.35" customHeight="1" x14ac:dyDescent="0.2">
      <c r="B3" s="2480" t="s">
        <v>1285</v>
      </c>
      <c r="C3" s="2480"/>
      <c r="D3" s="2480"/>
      <c r="E3" s="2480"/>
      <c r="F3" s="2480"/>
      <c r="G3" s="2480"/>
      <c r="H3" s="2480"/>
      <c r="I3" s="2480"/>
      <c r="J3" s="2480"/>
      <c r="K3" s="2480"/>
      <c r="L3" s="1374"/>
      <c r="M3" s="1374"/>
    </row>
    <row r="4" spans="1:13" ht="14.25" customHeight="1" x14ac:dyDescent="0.2">
      <c r="B4" s="2481" t="str">
        <f>'Single Audit Cover'!A4</f>
        <v>Year Ending June 30, 2019</v>
      </c>
      <c r="C4" s="2481"/>
      <c r="D4" s="2481"/>
      <c r="E4" s="2481"/>
      <c r="F4" s="2481"/>
      <c r="G4" s="2481"/>
      <c r="H4" s="2481"/>
      <c r="I4" s="2481"/>
      <c r="J4" s="2481"/>
      <c r="K4" s="2481"/>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1" t="s">
        <v>1296</v>
      </c>
      <c r="C7" s="2481"/>
      <c r="D7" s="2482"/>
      <c r="E7" s="2482"/>
      <c r="F7" s="2482"/>
      <c r="G7" s="2482"/>
      <c r="H7" s="2482"/>
      <c r="I7" s="2482"/>
      <c r="J7" s="2482"/>
      <c r="K7" s="2482"/>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1740</v>
      </c>
      <c r="C10" s="1382" t="s">
        <v>1989</v>
      </c>
      <c r="D10" s="1383">
        <v>1</v>
      </c>
      <c r="E10" s="322"/>
      <c r="F10" s="1384" t="s">
        <v>1295</v>
      </c>
      <c r="G10" s="1385" t="s">
        <v>2062</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9" t="s">
        <v>2079</v>
      </c>
      <c r="C14" s="2479"/>
      <c r="D14" s="2479"/>
      <c r="E14" s="2479"/>
      <c r="F14" s="2479"/>
      <c r="G14" s="2479"/>
      <c r="H14" s="2479"/>
      <c r="I14" s="2479"/>
      <c r="J14" s="2479"/>
      <c r="K14" s="2479"/>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9" t="s">
        <v>2146</v>
      </c>
      <c r="C17" s="2479"/>
      <c r="D17" s="2479"/>
      <c r="E17" s="2479"/>
      <c r="F17" s="2479"/>
      <c r="G17" s="2479"/>
      <c r="H17" s="2479"/>
      <c r="I17" s="2479"/>
      <c r="J17" s="2479"/>
      <c r="K17" s="2479"/>
      <c r="L17" s="1378"/>
    </row>
    <row r="18" spans="2:12" ht="4.5" customHeight="1" x14ac:dyDescent="0.2">
      <c r="B18" s="1395"/>
      <c r="C18" s="1395"/>
      <c r="L18" s="1378"/>
    </row>
    <row r="19" spans="2:12" s="1279" customFormat="1" ht="13.5" customHeight="1" x14ac:dyDescent="0.2">
      <c r="B19" s="1390" t="s">
        <v>1741</v>
      </c>
      <c r="C19" s="1390"/>
      <c r="D19" s="1391"/>
      <c r="E19" s="1391"/>
      <c r="F19" s="1391"/>
      <c r="G19" s="1392"/>
      <c r="H19" s="1391"/>
      <c r="I19" s="1392"/>
      <c r="J19" s="1391"/>
      <c r="K19" s="1391"/>
      <c r="L19" s="1393"/>
    </row>
    <row r="20" spans="2:12" ht="45.75" customHeight="1" x14ac:dyDescent="0.2">
      <c r="B20" s="2483" t="s">
        <v>2153</v>
      </c>
      <c r="C20" s="2483"/>
      <c r="D20" s="2479"/>
      <c r="E20" s="2479"/>
      <c r="F20" s="2479"/>
      <c r="G20" s="2479"/>
      <c r="H20" s="2479"/>
      <c r="I20" s="2479"/>
      <c r="J20" s="2479"/>
      <c r="K20" s="2479"/>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9" t="s">
        <v>2081</v>
      </c>
      <c r="C23" s="2479"/>
      <c r="D23" s="2479"/>
      <c r="E23" s="2479"/>
      <c r="F23" s="2479"/>
      <c r="G23" s="2479"/>
      <c r="H23" s="2479"/>
      <c r="I23" s="2479"/>
      <c r="J23" s="2479"/>
      <c r="K23" s="2479"/>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9" t="s">
        <v>2154</v>
      </c>
      <c r="C26" s="2479"/>
      <c r="D26" s="2479"/>
      <c r="E26" s="2479"/>
      <c r="F26" s="2479"/>
      <c r="G26" s="2479"/>
      <c r="H26" s="2479"/>
      <c r="I26" s="2479"/>
      <c r="J26" s="2479"/>
      <c r="K26" s="2479"/>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8" t="s">
        <v>2155</v>
      </c>
      <c r="C29" s="2478"/>
      <c r="D29" s="2479"/>
      <c r="E29" s="2479"/>
      <c r="F29" s="2479"/>
      <c r="G29" s="2479"/>
      <c r="H29" s="2479"/>
      <c r="I29" s="2479"/>
      <c r="J29" s="2479"/>
      <c r="K29" s="2479"/>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1742</v>
      </c>
      <c r="C31" s="1400"/>
      <c r="D31" s="1375"/>
      <c r="E31" s="1376"/>
      <c r="F31" s="1376"/>
      <c r="G31" s="1377"/>
      <c r="H31" s="1376"/>
      <c r="I31" s="1377"/>
      <c r="J31" s="1376"/>
      <c r="K31" s="1376"/>
      <c r="L31" s="1378"/>
    </row>
    <row r="32" spans="2:12" s="322" customFormat="1" ht="44.25" customHeight="1" x14ac:dyDescent="0.2">
      <c r="B32" s="2478" t="s">
        <v>2080</v>
      </c>
      <c r="C32" s="2478"/>
      <c r="D32" s="2479"/>
      <c r="E32" s="2479"/>
      <c r="F32" s="2479"/>
      <c r="G32" s="2479"/>
      <c r="H32" s="2479"/>
      <c r="I32" s="2479"/>
      <c r="J32" s="2479"/>
      <c r="K32" s="2479"/>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1743</v>
      </c>
      <c r="C35" s="1403"/>
      <c r="D35" s="322"/>
      <c r="E35" s="322"/>
      <c r="F35" s="322"/>
      <c r="L35" s="1378"/>
    </row>
    <row r="36" spans="1:13" ht="9.6" customHeight="1" x14ac:dyDescent="0.2">
      <c r="B36" s="1297" t="s">
        <v>1840</v>
      </c>
      <c r="C36" s="1297"/>
      <c r="L36" s="1378"/>
    </row>
    <row r="37" spans="1:13" ht="9.6" customHeight="1" x14ac:dyDescent="0.2">
      <c r="B37" s="1297" t="s">
        <v>1841</v>
      </c>
      <c r="C37" s="1297"/>
    </row>
    <row r="38" spans="1:13" ht="11.85" customHeight="1" x14ac:dyDescent="0.2">
      <c r="B38" s="1404" t="s">
        <v>1744</v>
      </c>
      <c r="C38" s="1404"/>
    </row>
    <row r="39" spans="1:13" ht="9.6" customHeight="1" x14ac:dyDescent="0.2">
      <c r="B39" s="1297" t="s">
        <v>1286</v>
      </c>
      <c r="C39" s="1297"/>
      <c r="M39" s="1405"/>
    </row>
    <row r="40" spans="1:13" ht="12.6" customHeight="1" x14ac:dyDescent="0.2">
      <c r="B40" s="1404" t="s">
        <v>1745</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rintOptions horizontalCentered="1"/>
  <pageMargins left="0.32" right="0.27" top="0.68" bottom="0.47" header="0.26" footer="0.31"/>
  <pageSetup firstPageNumber="41" orientation="portrait" useFirstPageNumber="1" r:id="rId1"/>
  <headerFooter scaleWithDoc="0">
    <oddHeader>&amp;L&amp;8Page 43&amp;R&amp;8Page 43</oddHeader>
    <oddFooter>&amp;LSee notes to financial statements.&amp;C51</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topLeftCell="A4" zoomScale="110" zoomScaleNormal="110" workbookViewId="0">
      <selection activeCell="B53" sqref="B5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7" t="str">
        <f>'Single Audit Cover'!A7</f>
        <v>Brooklyn UD 188</v>
      </c>
      <c r="C1" s="2487"/>
      <c r="D1" s="2487"/>
      <c r="E1" s="2487"/>
      <c r="F1" s="2487"/>
      <c r="G1" s="2487"/>
      <c r="H1" s="2487"/>
      <c r="I1" s="2487"/>
      <c r="J1" s="2487"/>
      <c r="K1" s="2487"/>
      <c r="L1" s="1449"/>
    </row>
    <row r="2" spans="1:12" ht="12.75" customHeight="1" x14ac:dyDescent="0.2">
      <c r="B2" s="2488">
        <f>'Single Audit Cover'!E7</f>
        <v>50082188022</v>
      </c>
      <c r="C2" s="2488"/>
      <c r="D2" s="2488"/>
      <c r="E2" s="2488"/>
      <c r="F2" s="2488"/>
      <c r="G2" s="2488"/>
      <c r="H2" s="2488"/>
      <c r="I2" s="2488"/>
      <c r="J2" s="2488"/>
      <c r="K2" s="2488"/>
      <c r="L2" s="1450"/>
    </row>
    <row r="3" spans="1:12" ht="12.75" customHeight="1" x14ac:dyDescent="0.2">
      <c r="B3" s="2480" t="s">
        <v>1285</v>
      </c>
      <c r="C3" s="2480"/>
      <c r="D3" s="2480"/>
      <c r="E3" s="2480"/>
      <c r="F3" s="2480"/>
      <c r="G3" s="2480"/>
      <c r="H3" s="2480"/>
      <c r="I3" s="2480"/>
      <c r="J3" s="2480"/>
      <c r="K3" s="2480"/>
      <c r="L3" s="1374"/>
    </row>
    <row r="4" spans="1:12" ht="12.75" customHeight="1" x14ac:dyDescent="0.2">
      <c r="B4" s="2480" t="str">
        <f>'Single Audit Cover'!A4</f>
        <v>Year Ending June 30, 2019</v>
      </c>
      <c r="C4" s="2480"/>
      <c r="D4" s="2480"/>
      <c r="E4" s="2480"/>
      <c r="F4" s="2480"/>
      <c r="G4" s="2480"/>
      <c r="H4" s="2480"/>
      <c r="I4" s="2480"/>
      <c r="J4" s="2480"/>
      <c r="K4" s="2480"/>
      <c r="L4" s="1374"/>
    </row>
    <row r="5" spans="1:12" ht="5.25" customHeight="1" x14ac:dyDescent="0.2">
      <c r="B5" s="1257" t="s">
        <v>1169</v>
      </c>
      <c r="C5" s="1257"/>
      <c r="L5" s="322"/>
    </row>
    <row r="6" spans="1:12" ht="30.75" customHeight="1" x14ac:dyDescent="0.2">
      <c r="A6" s="322"/>
      <c r="B6" s="2489" t="s">
        <v>1308</v>
      </c>
      <c r="C6" s="2489"/>
      <c r="D6" s="2489"/>
      <c r="E6" s="2489"/>
      <c r="F6" s="2489"/>
      <c r="G6" s="2489"/>
      <c r="H6" s="2489"/>
      <c r="I6" s="2489"/>
      <c r="J6" s="2489"/>
      <c r="K6" s="2489"/>
      <c r="L6" s="322"/>
    </row>
    <row r="7" spans="1:12" ht="4.5" customHeight="1" x14ac:dyDescent="0.2">
      <c r="B7" s="1376"/>
      <c r="C7" s="1376"/>
      <c r="D7" s="1376"/>
      <c r="E7" s="1376"/>
      <c r="F7" s="1376"/>
      <c r="G7" s="1377"/>
      <c r="H7" s="1376"/>
      <c r="I7" s="1377"/>
      <c r="J7" s="1376"/>
      <c r="K7" s="1376"/>
      <c r="L7" s="322"/>
    </row>
    <row r="8" spans="1:12" ht="13.5" customHeight="1" x14ac:dyDescent="0.2">
      <c r="B8" s="1384" t="s">
        <v>1754</v>
      </c>
      <c r="C8" s="1451" t="s">
        <v>1989</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1"/>
      <c r="G12" s="2471"/>
      <c r="H12" s="2471"/>
      <c r="I12" s="2471"/>
      <c r="J12" s="2471"/>
      <c r="K12" s="2471"/>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4"/>
      <c r="E14" s="2484"/>
      <c r="F14" s="2484"/>
      <c r="H14" s="1459" t="s">
        <v>1303</v>
      </c>
      <c r="I14" s="2485"/>
      <c r="J14" s="2485"/>
      <c r="K14" s="2485"/>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5"/>
      <c r="E16" s="2485"/>
      <c r="F16" s="2485"/>
      <c r="G16" s="2485"/>
      <c r="H16" s="2485"/>
      <c r="I16" s="2485"/>
      <c r="J16" s="2485"/>
      <c r="K16" s="2485"/>
      <c r="L16" s="322"/>
    </row>
    <row r="17" spans="2:12" ht="13.5" customHeight="1" x14ac:dyDescent="0.2">
      <c r="B17" s="1384" t="s">
        <v>1301</v>
      </c>
      <c r="C17" s="1384"/>
      <c r="D17" s="2486"/>
      <c r="E17" s="2486"/>
      <c r="F17" s="2486"/>
      <c r="G17" s="2486"/>
      <c r="H17" s="2486"/>
      <c r="I17" s="2486"/>
      <c r="J17" s="2486"/>
      <c r="K17" s="2486"/>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9"/>
      <c r="C20" s="2479"/>
      <c r="D20" s="2479"/>
      <c r="E20" s="2479"/>
      <c r="F20" s="2479"/>
      <c r="G20" s="2479"/>
      <c r="H20" s="2479"/>
      <c r="I20" s="2479"/>
      <c r="J20" s="2479"/>
      <c r="K20" s="2479"/>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1755</v>
      </c>
      <c r="C22" s="1461"/>
      <c r="D22" s="322"/>
      <c r="E22" s="322"/>
      <c r="F22" s="322"/>
      <c r="G22" s="1380"/>
      <c r="H22" s="322"/>
      <c r="I22" s="1380"/>
      <c r="J22" s="322"/>
      <c r="K22" s="322"/>
      <c r="L22" s="322"/>
    </row>
    <row r="23" spans="2:12" ht="37.5" customHeight="1" x14ac:dyDescent="0.2">
      <c r="B23" s="2479"/>
      <c r="C23" s="2479"/>
      <c r="D23" s="2479"/>
      <c r="E23" s="2479"/>
      <c r="F23" s="2479"/>
      <c r="G23" s="2479"/>
      <c r="H23" s="2479"/>
      <c r="I23" s="2479"/>
      <c r="J23" s="2479"/>
      <c r="K23" s="2479"/>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1756</v>
      </c>
      <c r="C25" s="1461"/>
      <c r="D25" s="322"/>
      <c r="E25" s="322"/>
      <c r="F25" s="322"/>
      <c r="G25" s="1380"/>
      <c r="H25" s="322"/>
      <c r="I25" s="1380"/>
      <c r="J25" s="322"/>
      <c r="K25" s="322"/>
      <c r="L25" s="322"/>
    </row>
    <row r="26" spans="2:12" ht="37.5" customHeight="1" x14ac:dyDescent="0.2">
      <c r="B26" s="2479"/>
      <c r="C26" s="2479"/>
      <c r="D26" s="2479"/>
      <c r="E26" s="2479"/>
      <c r="F26" s="2479"/>
      <c r="G26" s="2479"/>
      <c r="H26" s="2479"/>
      <c r="I26" s="2479"/>
      <c r="J26" s="2479"/>
      <c r="K26" s="2479"/>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1757</v>
      </c>
      <c r="C28" s="1461"/>
      <c r="D28" s="322"/>
      <c r="E28" s="322"/>
      <c r="F28" s="322"/>
      <c r="G28" s="1380"/>
      <c r="H28" s="322"/>
      <c r="I28" s="1380"/>
      <c r="J28" s="322"/>
      <c r="K28" s="322"/>
      <c r="L28" s="322"/>
    </row>
    <row r="29" spans="2:12" ht="37.5" customHeight="1" x14ac:dyDescent="0.2">
      <c r="B29" s="2479"/>
      <c r="C29" s="2479"/>
      <c r="D29" s="2479"/>
      <c r="E29" s="2479"/>
      <c r="F29" s="2479"/>
      <c r="G29" s="2479"/>
      <c r="H29" s="2479"/>
      <c r="I29" s="2479"/>
      <c r="J29" s="2479"/>
      <c r="K29" s="2479"/>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9"/>
      <c r="C32" s="2479"/>
      <c r="D32" s="2479"/>
      <c r="E32" s="2479"/>
      <c r="F32" s="2479"/>
      <c r="G32" s="2479"/>
      <c r="H32" s="2479"/>
      <c r="I32" s="2479"/>
      <c r="J32" s="2479"/>
      <c r="K32" s="2479"/>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9"/>
      <c r="C35" s="2479"/>
      <c r="D35" s="2479"/>
      <c r="E35" s="2479"/>
      <c r="F35" s="2479"/>
      <c r="G35" s="2479"/>
      <c r="H35" s="2479"/>
      <c r="I35" s="2479"/>
      <c r="J35" s="2479"/>
      <c r="K35" s="2479"/>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9"/>
      <c r="C38" s="2479"/>
      <c r="D38" s="2479"/>
      <c r="E38" s="2479"/>
      <c r="F38" s="2479"/>
      <c r="G38" s="2479"/>
      <c r="H38" s="2479"/>
      <c r="I38" s="2479"/>
      <c r="J38" s="2479"/>
      <c r="K38" s="2479"/>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1758</v>
      </c>
      <c r="C40" s="1400"/>
      <c r="D40" s="1375"/>
      <c r="E40" s="1376"/>
      <c r="F40" s="1376"/>
      <c r="G40" s="1377"/>
      <c r="H40" s="1376"/>
      <c r="I40" s="1377"/>
      <c r="J40" s="1376"/>
      <c r="K40" s="1376"/>
    </row>
    <row r="41" spans="2:12" s="322" customFormat="1" ht="33.75" customHeight="1" x14ac:dyDescent="0.2">
      <c r="B41" s="2479"/>
      <c r="C41" s="2479"/>
      <c r="D41" s="2479"/>
      <c r="E41" s="2479"/>
      <c r="F41" s="2479"/>
      <c r="G41" s="2479"/>
      <c r="H41" s="2479"/>
      <c r="I41" s="2479"/>
      <c r="J41" s="2479"/>
      <c r="K41" s="2479"/>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1759</v>
      </c>
      <c r="C44" s="1403"/>
      <c r="D44" s="322"/>
      <c r="E44" s="322"/>
      <c r="F44" s="322"/>
    </row>
    <row r="45" spans="2:12" ht="10.5" customHeight="1" x14ac:dyDescent="0.2">
      <c r="B45" s="1404" t="s">
        <v>1760</v>
      </c>
      <c r="C45" s="1404"/>
      <c r="G45" s="317"/>
      <c r="I45" s="317"/>
    </row>
    <row r="46" spans="2:12" ht="11.1" customHeight="1" x14ac:dyDescent="0.2">
      <c r="B46" s="1404" t="s">
        <v>1761</v>
      </c>
      <c r="C46" s="1404"/>
      <c r="G46" s="317"/>
      <c r="I46" s="317"/>
    </row>
    <row r="47" spans="2:12" ht="11.1" customHeight="1" x14ac:dyDescent="0.2">
      <c r="B47" s="1404" t="s">
        <v>1762</v>
      </c>
      <c r="C47" s="1404"/>
      <c r="G47" s="317"/>
      <c r="I47" s="317"/>
    </row>
    <row r="48" spans="2:12" ht="11.1" customHeight="1" x14ac:dyDescent="0.2">
      <c r="B48" s="1404" t="s">
        <v>1763</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oddFooter>&amp;LSee notes to financial statements.&amp;C52</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topLeftCell="A40" zoomScale="110" zoomScaleNormal="110" workbookViewId="0">
      <selection activeCell="B53" sqref="B53"/>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4" t="str">
        <f>'Single Audit Cover'!A7</f>
        <v>Brooklyn UD 188</v>
      </c>
      <c r="C1" s="2464"/>
      <c r="D1" s="2464"/>
      <c r="E1" s="1469"/>
    </row>
    <row r="2" spans="2:5" s="1279" customFormat="1" ht="12.75" customHeight="1" x14ac:dyDescent="0.2">
      <c r="B2" s="2466">
        <f>'Single Audit Cover'!E7</f>
        <v>50082188022</v>
      </c>
      <c r="C2" s="2466"/>
      <c r="D2" s="2466"/>
      <c r="E2" s="1470"/>
    </row>
    <row r="3" spans="2:5" ht="12.75" customHeight="1" x14ac:dyDescent="0.2">
      <c r="B3" s="2480" t="s">
        <v>1764</v>
      </c>
      <c r="C3" s="2480"/>
      <c r="D3" s="2480"/>
      <c r="E3" s="1271"/>
    </row>
    <row r="4" spans="2:5" s="1279" customFormat="1" ht="12.75" customHeight="1" x14ac:dyDescent="0.2">
      <c r="B4" s="2490" t="str">
        <f>'Single Audit Cover'!A4</f>
        <v>Year Ending June 30, 2019</v>
      </c>
      <c r="C4" s="2490"/>
      <c r="D4" s="2490"/>
      <c r="E4" s="1471"/>
    </row>
    <row r="5" spans="2:5" s="1279" customFormat="1" ht="40.15" customHeight="1" x14ac:dyDescent="0.2">
      <c r="B5" s="1472" t="s">
        <v>1765</v>
      </c>
      <c r="C5" s="328"/>
      <c r="D5" s="328"/>
      <c r="E5" s="328"/>
    </row>
    <row r="6" spans="2:5" s="1279" customFormat="1" ht="13.5" customHeight="1" x14ac:dyDescent="0.2">
      <c r="B6" s="1473" t="s">
        <v>1315</v>
      </c>
      <c r="C6" s="1473" t="s">
        <v>1314</v>
      </c>
      <c r="D6" s="1473" t="s">
        <v>1766</v>
      </c>
    </row>
    <row r="7" spans="2:5" ht="13.5" customHeight="1" x14ac:dyDescent="0.2">
      <c r="B7" s="1474"/>
      <c r="C7" s="324"/>
      <c r="D7" s="324"/>
      <c r="E7" s="324"/>
    </row>
    <row r="8" spans="2:5" ht="13.5" customHeight="1" x14ac:dyDescent="0.2">
      <c r="B8" s="1474" t="s">
        <v>2152</v>
      </c>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1767</v>
      </c>
    </row>
    <row r="46" spans="2:5" ht="12.2" customHeight="1" x14ac:dyDescent="0.2">
      <c r="B46" s="1483" t="s">
        <v>1768</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statements.&amp;C53</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d21dc803-237d-4c68-8692-8d731fd29118"/>
    <ds:schemaRef ds:uri="6ce3111e-7420-4802-b50a-75d4e9a0b980"/>
    <ds:schemaRef ds:uri="http://purl.org/dc/terms/"/>
    <ds:schemaRef ds:uri="http://schemas.microsoft.com/sharepoint/v3"/>
    <ds:schemaRef ds:uri="http://schemas.microsoft.com/office/infopath/2007/PartnerControls"/>
    <ds:schemaRef ds:uri="http://schemas.microsoft.com/office/2006/documentManagement/types"/>
    <ds:schemaRef ds:uri="http://schemas.openxmlformats.org/package/2006/metadata/core-properties"/>
    <ds:schemaRef ds:uri="http://purl.org/dc/elements/1.1/"/>
    <ds:schemaRef ds:uri="4d435f69-8686-490b-bd6d-b153bf22ab50"/>
    <ds:schemaRef ds:uri="http://www.w3.org/XML/1998/namespace"/>
    <ds:schemaRef ds:uri="http://purl.org/dc/dcmitype/"/>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SEFA NOTES</vt:lpstr>
      <vt:lpstr>SF&amp;QC Sec-1</vt:lpstr>
      <vt:lpstr>SF&amp;QC Sec-2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2019-12-11T18:21:51Z</cp:lastPrinted>
  <dcterms:created xsi:type="dcterms:W3CDTF">2003-10-29T19:06:34Z</dcterms:created>
  <dcterms:modified xsi:type="dcterms:W3CDTF">2019-12-30T20:24:35Z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