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06D3257-38C5-4A5E-BA9C-675EB2B59B62}" xr6:coauthVersionLast="36" xr6:coauthVersionMax="36" xr10:uidLastSave="{00000000-0000-0000-0000-000000000000}"/>
  <bookViews>
    <workbookView xWindow="-105" yWindow="-105" windowWidth="23250" windowHeight="12600" tabRatio="959" xr2:uid="{00000000-000D-0000-FFFF-FFFF00000000}"/>
  </bookViews>
  <sheets>
    <sheet name="COVER" sheetId="24" r:id="rId1"/>
    <sheet name="TOC" sheetId="168" r:id="rId2"/>
    <sheet name="FP Info 3" sheetId="37" r:id="rId3"/>
    <sheet name="Aud Quest 2" sheetId="28"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3)" sheetId="184" r:id="rId28"/>
    <sheet name=" SEFA (2)" sheetId="183" r:id="rId29"/>
    <sheet name=" SEFA (4)" sheetId="185" r:id="rId30"/>
    <sheet name=" SEFA (5)" sheetId="187" r:id="rId31"/>
    <sheet name=" SEFA" sheetId="179" r:id="rId32"/>
    <sheet name="SEFA NOTES" sheetId="173" r:id="rId33"/>
    <sheet name="SF&amp;QC Sec-1" sheetId="174" r:id="rId34"/>
    <sheet name="SF&amp;QC Sec-2 (2)" sheetId="186" r:id="rId35"/>
    <sheet name="SF&amp;QC Sec-2" sheetId="175" r:id="rId36"/>
    <sheet name="SF&amp;QC Sec-3 (2)" sheetId="188" r:id="rId37"/>
    <sheet name="SF&amp;QC Sec-3" sheetId="176" r:id="rId38"/>
    <sheet name="SSPAF" sheetId="177" r:id="rId39"/>
  </sheets>
  <definedNames>
    <definedName name="_xlnm.Print_Area" localSheetId="31">' SEFA'!$B$1:$M$46</definedName>
    <definedName name="_xlnm.Print_Area" localSheetId="28">' SEFA (2)'!$B$1:$M$46</definedName>
    <definedName name="_xlnm.Print_Area" localSheetId="27">' SEFA (3)'!$B$1:$M$46</definedName>
    <definedName name="_xlnm.Print_Area" localSheetId="29">' SEFA (4)'!$B$1:$M$46</definedName>
    <definedName name="_xlnm.Print_Area" localSheetId="30">'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7">'SF&amp;QC Sec-3'!$A$1:$K$48</definedName>
    <definedName name="_xlnm.Print_Area" localSheetId="36">'SF&amp;QC Sec-3 (2)'!$A$1:$K$48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31">#REF!</definedName>
    <definedName name="SCHADDRS" localSheetId="28">#REF!</definedName>
    <definedName name="SCHADDRS" localSheetId="27">#REF!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5">#REF!</definedName>
    <definedName name="SCHADDRS" localSheetId="34">#REF!</definedName>
    <definedName name="SCHADDRS" localSheetId="37">#REF!</definedName>
    <definedName name="SCHADDRS" localSheetId="36">#REF!</definedName>
    <definedName name="SCHADDRS" localSheetId="25">#REF!</definedName>
    <definedName name="SCHADDRS" localSheetId="24">#REF!</definedName>
    <definedName name="SCHADDRS" localSheetId="38">#REF!</definedName>
    <definedName name="SCHADDRS">#REF!</definedName>
    <definedName name="SCHCTY" localSheetId="31">#REF!</definedName>
    <definedName name="SCHCTY" localSheetId="28">#REF!</definedName>
    <definedName name="SCHCTY" localSheetId="27">#REF!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5">#REF!</definedName>
    <definedName name="SCHCTY" localSheetId="34">#REF!</definedName>
    <definedName name="SCHCTY" localSheetId="37">#REF!</definedName>
    <definedName name="SCHCTY" localSheetId="36">#REF!</definedName>
    <definedName name="SCHCTY" localSheetId="25">#REF!</definedName>
    <definedName name="SCHCTY" localSheetId="24">#REF!</definedName>
    <definedName name="SCHCTY" localSheetId="38">#REF!</definedName>
    <definedName name="SCHCTY">#REF!</definedName>
    <definedName name="SCHNMBR" localSheetId="31">#REF!</definedName>
    <definedName name="SCHNMBR" localSheetId="28">#REF!</definedName>
    <definedName name="SCHNMBR" localSheetId="27">#REF!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5">#REF!</definedName>
    <definedName name="SCHNMBR" localSheetId="34">#REF!</definedName>
    <definedName name="SCHNMBR" localSheetId="37">#REF!</definedName>
    <definedName name="SCHNMBR" localSheetId="36">#REF!</definedName>
    <definedName name="SCHNMBR" localSheetId="25">#REF!</definedName>
    <definedName name="SCHNMBR" localSheetId="24">#REF!</definedName>
    <definedName name="SCHNMBR" localSheetId="38">#REF!</definedName>
    <definedName name="SCHNMBR">#REF!</definedName>
    <definedName name="SCHNME" localSheetId="31">#REF!</definedName>
    <definedName name="SCHNME" localSheetId="28">#REF!</definedName>
    <definedName name="SCHNME" localSheetId="27">#REF!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5">#REF!</definedName>
    <definedName name="SCHNME" localSheetId="34">#REF!</definedName>
    <definedName name="SCHNME" localSheetId="37">#REF!</definedName>
    <definedName name="SCHNME" localSheetId="36">#REF!</definedName>
    <definedName name="SCHNME" localSheetId="25">#REF!</definedName>
    <definedName name="SCHNME" localSheetId="24">#REF!</definedName>
    <definedName name="SCHNME" localSheetId="38">#REF!</definedName>
    <definedName name="SCHNME">#REF!</definedName>
    <definedName name="SUPT" localSheetId="31">#REF!</definedName>
    <definedName name="SUPT" localSheetId="28">#REF!</definedName>
    <definedName name="SUPT" localSheetId="27">#REF!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5">#REF!</definedName>
    <definedName name="SUPT" localSheetId="34">#REF!</definedName>
    <definedName name="SUPT" localSheetId="37">#REF!</definedName>
    <definedName name="SUPT" localSheetId="36">#REF!</definedName>
    <definedName name="SUPT" localSheetId="25">#REF!</definedName>
    <definedName name="SUPT" localSheetId="24">#REF!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8" l="1"/>
  <c r="I14" i="179"/>
  <c r="F14" i="179"/>
  <c r="L20" i="187"/>
  <c r="L17" i="187"/>
  <c r="I14" i="187"/>
  <c r="I25" i="187" s="1"/>
  <c r="G14" i="187"/>
  <c r="F14" i="187"/>
  <c r="F25" i="187" s="1"/>
  <c r="E14" i="187"/>
  <c r="L12" i="187"/>
  <c r="B4" i="187"/>
  <c r="E14" i="185"/>
  <c r="F22" i="183"/>
  <c r="M19" i="3"/>
  <c r="D5" i="29" l="1"/>
  <c r="F75" i="29"/>
  <c r="E75" i="29"/>
  <c r="D75" i="29"/>
  <c r="C75" i="29"/>
  <c r="H73" i="29"/>
  <c r="F73" i="29"/>
  <c r="F49" i="29"/>
  <c r="E49" i="29"/>
  <c r="D49" i="29"/>
  <c r="C49" i="29"/>
  <c r="D14" i="29"/>
  <c r="H14" i="29"/>
  <c r="F14" i="29"/>
  <c r="E14" i="29"/>
  <c r="C14" i="29" l="1"/>
  <c r="F13" i="29"/>
  <c r="F9" i="29"/>
  <c r="D9" i="29"/>
  <c r="C9" i="29"/>
  <c r="D8" i="29"/>
  <c r="C8" i="29"/>
  <c r="F5" i="29"/>
  <c r="E5" i="29"/>
  <c r="C5" i="29"/>
  <c r="C265" i="5"/>
  <c r="C207" i="5"/>
  <c r="C168" i="5"/>
  <c r="C107" i="5"/>
  <c r="C99" i="5"/>
  <c r="C31" i="3"/>
  <c r="C32" i="3"/>
  <c r="C8" i="3"/>
  <c r="C4" i="3"/>
  <c r="C182" i="29" l="1"/>
  <c r="F182" i="29"/>
  <c r="E182" i="29"/>
  <c r="D182" i="29"/>
  <c r="F4" i="3"/>
  <c r="D280" i="29"/>
  <c r="D223" i="29"/>
  <c r="D217" i="29"/>
  <c r="D215" i="29"/>
  <c r="G65" i="5"/>
  <c r="G31" i="3"/>
  <c r="G4" i="3"/>
  <c r="H4" i="3"/>
  <c r="I4" i="3"/>
  <c r="J31" i="3"/>
  <c r="J27" i="3"/>
  <c r="J4" i="3"/>
  <c r="L21" i="185" l="1"/>
  <c r="B4" i="186" l="1"/>
  <c r="I25" i="185" l="1"/>
  <c r="G25" i="185"/>
  <c r="F25" i="185"/>
  <c r="E25" i="185"/>
  <c r="L24" i="185"/>
  <c r="L23" i="185"/>
  <c r="L22" i="185"/>
  <c r="I19" i="185"/>
  <c r="G19" i="185"/>
  <c r="L19" i="185" s="1"/>
  <c r="F19" i="185"/>
  <c r="E19" i="185"/>
  <c r="L18" i="185"/>
  <c r="L17" i="185"/>
  <c r="I15" i="185"/>
  <c r="G15" i="185"/>
  <c r="F15" i="185"/>
  <c r="E15" i="185"/>
  <c r="L14" i="185"/>
  <c r="L13" i="185"/>
  <c r="L12" i="185"/>
  <c r="B4" i="185"/>
  <c r="I25" i="183"/>
  <c r="G25" i="183"/>
  <c r="F25" i="183"/>
  <c r="E25" i="183"/>
  <c r="I20" i="183"/>
  <c r="G20" i="183"/>
  <c r="F20" i="183"/>
  <c r="E20" i="183"/>
  <c r="F124" i="29" l="1"/>
  <c r="E124" i="29"/>
  <c r="D124" i="29"/>
  <c r="C124" i="29"/>
  <c r="D31" i="3"/>
  <c r="D4" i="3"/>
  <c r="J107" i="5"/>
  <c r="I26" i="184" l="1"/>
  <c r="F26" i="184"/>
  <c r="I22" i="184"/>
  <c r="G22" i="184"/>
  <c r="F22" i="184"/>
  <c r="E22" i="184"/>
  <c r="L12" i="184"/>
  <c r="G18" i="184"/>
  <c r="G26" i="184" s="1"/>
  <c r="I18" i="184"/>
  <c r="F18" i="184"/>
  <c r="E18" i="184"/>
  <c r="E26" i="184" s="1"/>
  <c r="L24" i="184"/>
  <c r="L21" i="184"/>
  <c r="L20" i="184"/>
  <c r="L17" i="184"/>
  <c r="L16" i="184"/>
  <c r="L15" i="184"/>
  <c r="L14" i="184"/>
  <c r="L13" i="184"/>
  <c r="B4" i="184"/>
  <c r="L27" i="183"/>
  <c r="L26" i="183"/>
  <c r="L25" i="183"/>
  <c r="L24" i="183"/>
  <c r="L23" i="183"/>
  <c r="L22" i="183"/>
  <c r="L21" i="183"/>
  <c r="L20" i="183"/>
  <c r="L19" i="183"/>
  <c r="L18" i="183"/>
  <c r="L15" i="183"/>
  <c r="L12" i="183"/>
  <c r="B4" i="183"/>
  <c r="L22" i="184" l="1"/>
  <c r="L18" i="184"/>
  <c r="F141" i="18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F19" i="181" s="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8"/>
  <c r="B1" i="186"/>
  <c r="B1" i="185"/>
  <c r="B2" i="188"/>
  <c r="B2" i="187"/>
  <c r="B2" i="186"/>
  <c r="B2" i="185"/>
  <c r="B1" i="183"/>
  <c r="B1" i="184"/>
  <c r="B2" i="179"/>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D7765" i="106" s="1"/>
  <c r="B7764" i="106"/>
  <c r="D7764" i="106" s="1"/>
  <c r="J85" i="28"/>
  <c r="B7758" i="106" s="1"/>
  <c r="D7758" i="106" s="1"/>
  <c r="J88" i="28"/>
  <c r="K6" i="29"/>
  <c r="B7763" i="106" s="1"/>
  <c r="D7763" i="106" s="1"/>
  <c r="B7762" i="106"/>
  <c r="D7762" i="106" s="1"/>
  <c r="K12" i="12"/>
  <c r="K23" i="12"/>
  <c r="J12" i="12"/>
  <c r="B7718" i="106" s="1"/>
  <c r="D7718" i="106" s="1"/>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B2805" i="106" s="1"/>
  <c r="D2805"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8" i="106"/>
  <c r="D7008" i="106" s="1"/>
  <c r="B7009" i="106"/>
  <c r="D7009"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G26" i="108"/>
  <c r="E27" i="108"/>
  <c r="G27" i="108"/>
  <c r="F31" i="108"/>
  <c r="G28" i="108"/>
  <c r="D31" i="108"/>
  <c r="D36" i="108"/>
  <c r="E31" i="108"/>
  <c r="G31" i="108"/>
  <c r="E33"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F65" i="34"/>
  <c r="C67" i="34"/>
  <c r="D67" i="34"/>
  <c r="F67" i="34"/>
  <c r="C68" i="34"/>
  <c r="D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1744" i="106"/>
  <c r="D1744" i="106" s="1"/>
  <c r="B1745" i="106"/>
  <c r="D1745" i="106" s="1"/>
  <c r="D6" i="7"/>
  <c r="B1762" i="106" s="1"/>
  <c r="D1762" i="106" s="1"/>
  <c r="B1747" i="106"/>
  <c r="D1747" i="106" s="1"/>
  <c r="B1748" i="106"/>
  <c r="D1748" i="106" s="1"/>
  <c r="B1751" i="106"/>
  <c r="D1751" i="106" s="1"/>
  <c r="B1749" i="106"/>
  <c r="D1749" i="106" s="1"/>
  <c r="B1752" i="106"/>
  <c r="D1752" i="106" s="1"/>
  <c r="B1753" i="106"/>
  <c r="D1753" i="106" s="1"/>
  <c r="B3725" i="106"/>
  <c r="D3725" i="106" s="1"/>
  <c r="B1754" i="106"/>
  <c r="D1754" i="106" s="1"/>
  <c r="B1756" i="106"/>
  <c r="D1756" i="106" s="1"/>
  <c r="B3446" i="106"/>
  <c r="D3446" i="106" s="1"/>
  <c r="B4102" i="106"/>
  <c r="D4102" i="106" s="1"/>
  <c r="B4103" i="106"/>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L22" i="37"/>
  <c r="B5752" i="106"/>
  <c r="D5752" i="106" s="1"/>
  <c r="D54" i="36" l="1"/>
  <c r="G30" i="108"/>
  <c r="F38" i="34"/>
  <c r="G14" i="4"/>
  <c r="B2609" i="106" s="1"/>
  <c r="D2609" i="106" s="1"/>
  <c r="F71" i="34"/>
  <c r="C129" i="29"/>
  <c r="C342" i="29"/>
  <c r="B7216" i="106" s="1"/>
  <c r="D7216" i="106" s="1"/>
  <c r="F19" i="7"/>
  <c r="B1807" i="106" s="1"/>
  <c r="D1807" i="106" s="1"/>
  <c r="E26" i="108"/>
  <c r="D6103" i="106"/>
  <c r="B3647" i="106"/>
  <c r="D3647" i="106" s="1"/>
  <c r="L13" i="11"/>
  <c r="B2060" i="106" s="1"/>
  <c r="D2060" i="106" s="1"/>
  <c r="H112" i="29"/>
  <c r="B7018" i="106" s="1"/>
  <c r="D7018" i="106" s="1"/>
  <c r="H76" i="4"/>
  <c r="B3298" i="106" s="1"/>
  <c r="D3298" i="106" s="1"/>
  <c r="L5" i="11"/>
  <c r="B2056" i="106" s="1"/>
  <c r="D2056" i="106" s="1"/>
  <c r="D24" i="37"/>
  <c r="B4270" i="106" s="1"/>
  <c r="D4270" i="106" s="1"/>
  <c r="G15" i="145"/>
  <c r="F77" i="4"/>
  <c r="B3255" i="106" s="1"/>
  <c r="D3255" i="106" s="1"/>
  <c r="B1274" i="106"/>
  <c r="D1274" i="106" s="1"/>
  <c r="F37" i="34"/>
  <c r="D7245" i="106"/>
  <c r="J22" i="37"/>
  <c r="F70" i="34"/>
  <c r="F52" i="34"/>
  <c r="E38" i="108"/>
  <c r="H365" i="29"/>
  <c r="B7242" i="106" s="1"/>
  <c r="D7242" i="106" s="1"/>
  <c r="B2724" i="106"/>
  <c r="D2724" i="106" s="1"/>
  <c r="F27" i="108"/>
  <c r="E35" i="108"/>
  <c r="J129" i="29"/>
  <c r="B7038" i="106" s="1"/>
  <c r="D7038" i="106" s="1"/>
  <c r="H33" i="118"/>
  <c r="F42" i="34"/>
  <c r="D14" i="4"/>
  <c r="B2570" i="106" s="1"/>
  <c r="D2570" i="106" s="1"/>
  <c r="F28" i="108"/>
  <c r="J41" i="3"/>
  <c r="D51" i="36" s="1"/>
  <c r="C352" i="29"/>
  <c r="C367" i="29" s="1"/>
  <c r="B3622" i="106" s="1"/>
  <c r="D3622" i="106" s="1"/>
  <c r="K76" i="4"/>
  <c r="B3586" i="106" s="1"/>
  <c r="D3586" i="106" s="1"/>
  <c r="B281" i="106"/>
  <c r="D281" i="106" s="1"/>
  <c r="J210" i="29"/>
  <c r="B7072" i="106" s="1"/>
  <c r="D7072" i="106" s="1"/>
  <c r="L342" i="29"/>
  <c r="H342" i="29"/>
  <c r="B7221" i="106" s="1"/>
  <c r="D7221" i="106" s="1"/>
  <c r="F56" i="34"/>
  <c r="F50" i="34"/>
  <c r="G39" i="108"/>
  <c r="D68" i="36"/>
  <c r="I210" i="29"/>
  <c r="B7071" i="106" s="1"/>
  <c r="D7071" i="106" s="1"/>
  <c r="I129" i="29"/>
  <c r="B7037" i="106" s="1"/>
  <c r="D7037" i="106" s="1"/>
  <c r="K184" i="29"/>
  <c r="F13" i="4" s="1"/>
  <c r="B2596" i="106" s="1"/>
  <c r="D2596" i="106" s="1"/>
  <c r="G29" i="108"/>
  <c r="D69" i="36"/>
  <c r="D22" i="37"/>
  <c r="F46" i="34"/>
  <c r="F36" i="34"/>
  <c r="F36" i="108"/>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C114" i="29" l="1"/>
  <c r="B757" i="106" s="1"/>
  <c r="D757" i="106" s="1"/>
  <c r="L16" i="11"/>
  <c r="B2061" i="106" s="1"/>
  <c r="D2061" i="106" s="1"/>
  <c r="G170" i="5"/>
  <c r="B5778" i="106" s="1"/>
  <c r="D5778" i="106" s="1"/>
  <c r="N23" i="3"/>
  <c r="B284" i="106" s="1"/>
  <c r="D284" i="106" s="1"/>
  <c r="B5527" i="106"/>
  <c r="D5527" i="106" s="1"/>
  <c r="B6216" i="106"/>
  <c r="D6216" i="106" s="1"/>
  <c r="H151" i="29"/>
  <c r="B1273" i="106" s="1"/>
  <c r="D1273" i="106" s="1"/>
  <c r="K365" i="29"/>
  <c r="L114" i="29"/>
  <c r="D7254" i="106"/>
  <c r="B3621" i="106"/>
  <c r="D3621" i="106" s="1"/>
  <c r="D7250" i="106"/>
  <c r="H77" i="4"/>
  <c r="B3299" i="106" s="1"/>
  <c r="D3299" i="106" s="1"/>
  <c r="D7251" i="106"/>
  <c r="I151" i="29"/>
  <c r="F59" i="34" s="1"/>
  <c r="D7256" i="106"/>
  <c r="F41" i="108"/>
  <c r="G43" i="108" s="1"/>
  <c r="G6" i="4"/>
  <c r="B2604" i="106" s="1"/>
  <c r="D2604" i="106" s="1"/>
  <c r="J16" i="4"/>
  <c r="B6226" i="106" s="1"/>
  <c r="D6226" i="106" s="1"/>
  <c r="B1328" i="106"/>
  <c r="D1328" i="106" s="1"/>
  <c r="B1381" i="106"/>
  <c r="D1381" i="106" s="1"/>
  <c r="K342" i="29"/>
  <c r="F13" i="34" s="1"/>
  <c r="D44" i="36"/>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1145" i="106"/>
  <c r="D1145" i="106" s="1"/>
  <c r="K367" i="29"/>
  <c r="B3678" i="106" s="1"/>
  <c r="D3678"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J78" i="4" s="1"/>
  <c r="K368" i="29"/>
  <c r="B3681" i="106" s="1"/>
  <c r="D3681" i="106" s="1"/>
  <c r="B6223" i="106"/>
  <c r="D6223" i="106" s="1"/>
  <c r="J19" i="4"/>
  <c r="B6229" i="106" s="1"/>
  <c r="D6229" i="106" s="1"/>
  <c r="F8" i="4"/>
  <c r="B2595" i="106" s="1"/>
  <c r="D2595" i="106" s="1"/>
  <c r="K17" i="4"/>
  <c r="B3575" i="106" s="1"/>
  <c r="D357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K20" i="4"/>
  <c r="K78" i="4" s="1"/>
  <c r="K19" i="4"/>
  <c r="B4144" i="106" s="1"/>
  <c r="D4144" i="106" s="1"/>
  <c r="F10" i="4"/>
  <c r="B4125" i="106" s="1"/>
  <c r="D4125" i="106" s="1"/>
  <c r="D8" i="146"/>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B3576" i="106"/>
  <c r="D3576" i="106" s="1"/>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<sst xmlns="http://schemas.openxmlformats.org/spreadsheetml/2006/main" count="5583" uniqueCount="2274">
  <si>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</si>
  <si>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</si>
  <si>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</si>
  <si>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</si>
  <si>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</si>
  <si>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</si>
  <si>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</si>
  <si>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</si>
  <si>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</si>
  <si>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</si>
  <si>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</si>
  <si>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</si>
  <si>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</si>
  <si>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</si>
  <si>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</si>
  <si>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</si>
  <si>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</si>
  <si>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</si>
  <si>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</si>
  <si>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</si>
  <si>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</si>
  <si>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</si>
  <si>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</si>
  <si>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</si>
  <si>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</si>
  <si>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</si>
  <si>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</si>
  <si>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</si>
  <si>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</si>
  <si>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</si>
  <si>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</si>
  <si>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</si>
  <si>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</si>
  <si>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</si>
  <si>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</si>
  <si>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</si>
  <si>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</si>
  <si>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</si>
  <si>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</si>
  <si>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</si>
  <si>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</si>
  <si>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</si>
  <si>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</si>
  <si>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</si>
  <si>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</si>
  <si>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</si>
  <si>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</si>
  <si>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</si>
  <si>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</si>
  <si>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</si>
  <si>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</si>
  <si>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</si>
  <si>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</si>
  <si>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</si>
  <si>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</si>
  <si>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</si>
  <si>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</si>
  <si>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</si>
  <si>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</si>
  <si>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</si>
  <si>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</si>
  <si>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</si>
  <si>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</si>
  <si>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</si>
  <si>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</si>
  <si>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</si>
  <si>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</si>
  <si>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</si>
  <si>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</si>
  <si>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</si>
  <si>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</si>
  <si>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</si>
  <si>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</si>
  <si>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</si>
  <si>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</si>
  <si>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</si>
  <si>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</si>
  <si>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</si>
  <si>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</si>
  <si>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</si>
  <si>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</si>
  <si>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</si>
  <si>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</si>
  <si>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</si>
  <si>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</si>
  <si>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</si>
  <si>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</si>
  <si>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</si>
  <si>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</si>
  <si>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</si>
  <si>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</si>
  <si>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</si>
  <si>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</si>
  <si>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</si>
  <si>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</si>
  <si>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</si>
  <si>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</si>
  <si>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</si>
  <si>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</si>
  <si>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</si>
  <si>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</si>
  <si>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</si>
  <si>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</si>
  <si>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</si>
  <si>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</si>
  <si>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</si>
  <si>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</si>
  <si>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</si>
  <si>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</si>
  <si>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</si>
  <si>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</si>
  <si>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</si>
  <si>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</si>
  <si>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</si>
  <si>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</si>
  <si>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</si>
  <si>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</si>
  <si>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</si>
  <si>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</si>
  <si>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</si>
  <si>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</si>
  <si>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</si>
  <si>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</si>
  <si>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</si>
  <si>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</si>
  <si>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</si>
  <si>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</si>
  <si>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</si>
  <si>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</si>
  <si>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</si>
  <si>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</si>
  <si>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</si>
  <si>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</si>
  <si>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</si>
  <si>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</si>
  <si>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</si>
  <si>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</si>
  <si>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</si>
  <si>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</si>
  <si>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</si>
  <si>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</si>
  <si>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</si>
  <si>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</si>
  <si>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</si>
  <si>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</si>
  <si>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</si>
  <si>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</si>
  <si>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</si>
  <si>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</si>
  <si>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</si>
  <si>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</si>
  <si>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</si>
  <si>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</si>
  <si>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</si>
  <si>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</si>
  <si>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</si>
  <si>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</si>
  <si>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</si>
  <si>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</si>
  <si>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</si>
  <si>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</si>
  <si>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</si>
  <si>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</si>
  <si>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</si>
  <si>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</si>
  <si>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</si>
  <si>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</si>
  <si>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</si>
  <si>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</si>
  <si>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</si>
  <si>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</si>
  <si>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</si>
  <si>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</si>
  <si>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</si>
  <si>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</si>
  <si>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</si>
  <si>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</si>
  <si>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</si>
  <si>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</si>
  <si>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</si>
  <si>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</si>
  <si>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</si>
  <si>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</si>
  <si>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</si>
  <si>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</si>
  <si>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</si>
  <si>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</si>
  <si>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</si>
  <si>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</si>
  <si>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</si>
  <si>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</si>
  <si>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</si>
  <si>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</si>
  <si>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</si>
  <si>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</si>
  <si>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</si>
  <si>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</si>
  <si>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</si>
  <si>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</si>
  <si>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</si>
  <si>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</si>
  <si>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</si>
  <si>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</si>
  <si>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</si>
  <si>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</si>
  <si>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</si>
  <si>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</si>
  <si>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</si>
  <si>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</si>
  <si>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</si>
  <si>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</si>
  <si>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</si>
  <si>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</si>
  <si>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</si>
  <si>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</si>
  <si>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</si>
  <si>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</si>
  <si>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</si>
  <si>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</si>
  <si>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</si>
  <si>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</si>
  <si>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</si>
  <si>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</si>
  <si>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</si>
  <si>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</si>
  <si>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</si>
  <si>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</si>
  <si>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</si>
  <si>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</si>
  <si>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</si>
  <si>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</si>
  <si>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</si>
  <si>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</si>
  <si>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</si>
  <si>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</si>
  <si>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</si>
  <si>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</si>
  <si>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</si>
  <si>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</si>
  <si>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</si>
  <si>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</si>
  <si>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</si>
  <si>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</si>
  <si>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</si>
  <si>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</si>
  <si>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</si>
  <si>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</si>
  <si>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</si>
  <si>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</si>
  <si>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</si>
  <si>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</si>
  <si>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</si>
  <si>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</si>
  <si>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</si>
  <si>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</si>
  <si>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</si>
  <si>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</si>
  <si>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</si>
  <si>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</si>
  <si>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</si>
  <si>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</si>
  <si>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</si>
  <si>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</si>
  <si>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</si>
  <si>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</si>
  <si>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</si>
  <si>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</si>
  <si>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</si>
  <si>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</si>
  <si>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</si>
  <si>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</si>
  <si>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</si>
  <si>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</si>
  <si>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</si>
  <si>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</si>
  <si>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</si>
  <si>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</si>
  <si>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</si>
  <si>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</si>
  <si>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</si>
  <si>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</si>
  <si>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</si>
  <si>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</si>
  <si>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</si>
  <si>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</si>
  <si>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</si>
  <si>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</si>
  <si>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</si>
  <si>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</si>
  <si>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</si>
  <si>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</si>
  <si>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</si>
  <si>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</si>
  <si>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</si>
  <si>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</si>
  <si>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</si>
  <si>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</si>
  <si>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</si>
  <si>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</si>
  <si>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</si>
  <si>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</si>
  <si>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</si>
  <si>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</si>
  <si>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</si>
  <si>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</si>
  <si>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</si>
  <si>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</si>
  <si>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</si>
  <si>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</si>
  <si>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</si>
  <si>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</si>
  <si>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</si>
  <si>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</si>
  <si>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</si>
  <si>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</si>
  <si>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</si>
  <si>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</si>
  <si>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</si>
  <si>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</si>
  <si>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</si>
  <si>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</si>
  <si>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</si>
  <si>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</si>
  <si>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</si>
  <si>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</si>
  <si>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</si>
  <si>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</si>
  <si>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</si>
  <si>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</si>
  <si>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</si>
  <si>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</si>
  <si>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</si>
  <si>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</si>
  <si>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</si>
  <si>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</si>
  <si>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</si>
  <si>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</si>
  <si>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</si>
  <si>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</si>
  <si>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</si>
  <si>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</si>
  <si>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</si>
  <si>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</si>
  <si>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</si>
  <si>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</si>
  <si>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</si>
  <si>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</si>
  <si>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</si>
  <si>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</si>
  <si>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</si>
  <si>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</si>
  <si>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</si>
  <si>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</si>
  <si>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</si>
  <si>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</si>
  <si>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</si>
  <si>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</si>
  <si>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</si>
  <si>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</si>
  <si>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</si>
  <si>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</si>
  <si>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</si>
  <si>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</si>
  <si>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</si>
  <si>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</si>
  <si>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</si>
  <si>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</si>
  <si>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</si>
  <si>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</si>
  <si>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</si>
  <si>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</si>
  <si>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</si>
  <si>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</si>
  <si>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</si>
  <si>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</si>
  <si>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</si>
  <si>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</si>
  <si>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</si>
  <si>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</si>
  <si>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</si>
  <si>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</si>
  <si>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</si>
  <si>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</si>
  <si>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</si>
  <si>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</si>
  <si>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</si>
  <si>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</si>
  <si>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</si>
  <si>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</si>
  <si>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</si>
  <si>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</si>
  <si>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</si>
  <si>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</si>
  <si>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</si>
  <si>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</si>
  <si>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</si>
  <si>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</si>
  <si>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</si>
  <si>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</si>
  <si>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</si>
  <si>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</si>
  <si>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</si>
  <si>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</si>
  <si>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</si>
  <si>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</si>
  <si>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</si>
  <si>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</si>
  <si>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</si>
  <si>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</si>
  <si>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</si>
  <si>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</si>
  <si>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</si>
  <si>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</si>
  <si>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</si>
  <si>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</si>
  <si>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</si>
  <si>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</si>
  <si>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</si>
  <si>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</si>
  <si>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</si>
  <si>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</si>
  <si>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</si>
  <si>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</si>
  <si>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</si>
  <si>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</si>
  <si>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</si>
  <si>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</si>
  <si>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</si>
  <si>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</si>
  <si>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</si>
  <si>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</si>
  <si>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</si>
  <si>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</si>
  <si>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</si>
  <si>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</si>
  <si>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</si>
  <si>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</si>
  <si>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</si>
  <si>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</si>
  <si>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</si>
  <si>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</si>
  <si>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</si>
  <si>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</si>
  <si>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</si>
  <si>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</si>
  <si>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</si>
  <si>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</si>
  <si>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</si>
  <si>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</si>
  <si>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</si>
  <si>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</si>
  <si>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</si>
  <si>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</si>
  <si>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</si>
  <si>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</si>
  <si>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</si>
  <si>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</si>
  <si>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</si>
  <si>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</si>
  <si>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</si>
  <si>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</si>
  <si>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</si>
  <si>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</si>
  <si>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</si>
  <si>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</si>
  <si>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</si>
  <si>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</si>
  <si>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</si>
  <si>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</si>
  <si>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</si>
  <si>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</si>
  <si>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</si>
  <si>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</si>
  <si>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</si>
  <si>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</si>
  <si>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</si>
  <si>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</si>
  <si>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</si>
  <si>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</si>
  <si>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</si>
  <si>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</si>
  <si>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</si>
  <si>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</si>
  <si>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</si>
  <si>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</si>
  <si>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</si>
  <si>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</si>
  <si>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</si>
  <si>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</si>
  <si>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</si>
  <si>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</si>
  <si>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</si>
  <si>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</si>
  <si>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</si>
  <si>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</si>
  <si>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</si>
  <si>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</si>
  <si>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</si>
  <si>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</si>
  <si>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</si>
  <si>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</si>
  <si>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</si>
  <si>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</si>
  <si>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</si>
  <si>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</si>
  <si>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</si>
  <si>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</si>
  <si>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</si>
  <si>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</si>
  <si>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</si>
  <si>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</si>
  <si>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</si>
  <si>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</si>
  <si>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</si>
  <si>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</si>
  <si>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</si>
  <si>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</si>
  <si>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</si>
  <si>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</si>
  <si>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</si>
  <si>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</si>
  <si>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</si>
  <si>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</si>
  <si>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</si>
  <si>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</si>
  <si>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</si>
  <si>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</si>
  <si>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</si>
  <si>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</si>
  <si>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</si>
  <si>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</si>
  <si>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</si>
  <si>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</si>
  <si>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</si>
  <si>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</si>
  <si>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</si>
  <si>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</si>
  <si>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</si>
  <si>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</si>
  <si>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</si>
  <si>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</si>
  <si>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</si>
  <si>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</si>
  <si>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</si>
  <si>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</si>
  <si>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</si>
  <si>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</si>
  <si>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</si>
  <si>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</si>
  <si>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</si>
  <si>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</si>
  <si>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</si>
  <si>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</si>
  <si>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</si>
  <si>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</si>
  <si>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</si>
  <si>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</si>
  <si>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</si>
  <si>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</si>
  <si>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</si>
  <si>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</si>
  <si>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</si>
  <si>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</si>
  <si>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</si>
  <si>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</si>
  <si>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</si>
  <si>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</si>
  <si>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</si>
  <si>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</si>
  <si>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</si>
  <si>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</si>
  <si>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</si>
  <si>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</si>
  <si>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</si>
  <si>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</si>
  <si>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</si>
  <si>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</si>
  <si>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</si>
  <si>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</si>
  <si>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</si>
  <si>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</si>
  <si>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</si>
  <si>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</si>
  <si>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</si>
  <si>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</si>
  <si>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</si>
  <si>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</si>
  <si>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</si>
  <si>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</si>
  <si>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</si>
  <si>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</si>
  <si>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</si>
  <si>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</si>
  <si>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</si>
  <si>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</si>
  <si>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</si>
  <si>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</si>
  <si>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</si>
  <si>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</si>
  <si>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</si>
  <si>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</si>
  <si>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</si>
  <si>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</si>
  <si>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</si>
  <si>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</si>
  <si>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</si>
  <si>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</si>
  <si>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</si>
  <si>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</si>
  <si>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</si>
  <si>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</si>
  <si>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</si>
  <si>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</si>
  <si>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</si>
  <si>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</si>
  <si>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</si>
  <si>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</si>
  <si>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</si>
  <si>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</si>
  <si>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</si>
  <si>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</si>
  <si>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</si>
  <si>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</si>
  <si>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</si>
  <si>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</si>
  <si>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</si>
  <si>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</si>
  <si>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</si>
  <si>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</si>
  <si>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</si>
  <si>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</si>
  <si>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</si>
  <si>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</si>
  <si>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</si>
  <si>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</si>
  <si>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</si>
  <si>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</si>
  <si>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</si>
  <si>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</si>
  <si>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</si>
  <si>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</si>
  <si>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</si>
  <si>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</si>
  <si>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</si>
  <si>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</si>
  <si>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</si>
  <si>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</si>
  <si>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</si>
  <si>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</si>
  <si>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</si>
  <si>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</si>
  <si>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</si>
  <si>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</si>
  <si>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</si>
  <si>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</si>
  <si>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</si>
  <si>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</si>
  <si>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</si>
  <si>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</si>
  <si>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</si>
  <si>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</si>
  <si>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</si>
  <si>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</si>
  <si>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</si>
  <si>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</si>
  <si>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</si>
  <si>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</si>
  <si>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</si>
  <si>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</si>
  <si>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</si>
  <si>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</si>
  <si>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</si>
  <si>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</si>
  <si>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</si>
  <si>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</si>
  <si>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</si>
  <si>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</si>
  <si>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</si>
  <si>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</si>
  <si>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</si>
  <si>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</si>
  <si>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</si>
  <si>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</si>
  <si>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</si>
  <si>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</si>
  <si>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</si>
  <si>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</si>
  <si>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</si>
  <si>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</si>
  <si>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</si>
  <si>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</si>
  <si>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</si>
  <si>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</si>
  <si>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</si>
  <si>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</si>
  <si>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</si>
  <si>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</si>
  <si>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</si>
  <si>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</si>
  <si>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</si>
  <si>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</si>
  <si>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</si>
  <si>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</si>
  <si>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</si>
  <si>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</si>
  <si>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</si>
  <si>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</si>
  <si>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</si>
  <si>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</si>
  <si>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</si>
  <si>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</si>
  <si>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</si>
  <si>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</si>
  <si>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</si>
  <si>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</si>
  <si>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</si>
  <si>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</si>
  <si>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</si>
  <si>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</si>
  <si>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</si>
  <si>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</si>
  <si>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</si>
  <si>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</si>
  <si>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</si>
  <si>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</si>
  <si>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</si>
  <si>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</si>
  <si>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</si>
  <si>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</si>
  <si>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</si>
  <si>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</si>
  <si>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</si>
  <si>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</si>
  <si>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</si>
  <si>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</si>
  <si>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</si>
  <si>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</si>
  <si>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</si>
  <si>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</si>
  <si>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</si>
  <si>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</si>
  <si>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</si>
  <si>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</si>
  <si>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</si>
  <si>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</si>
  <si>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</si>
  <si>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</si>
  <si>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</si>
  <si>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</si>
  <si>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</si>
  <si>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</si>
  <si>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</si>
  <si>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</si>
  <si>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</si>
  <si>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</si>
  <si>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</si>
  <si>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</si>
  <si>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</si>
  <si>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</si>
  <si>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</si>
  <si>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</si>
  <si>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</si>
  <si>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</si>
  <si>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</si>
  <si>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</si>
  <si>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</si>
  <si>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</si>
  <si>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</si>
  <si>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</si>
  <si>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</si>
  <si>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</si>
  <si>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</si>
  <si>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</si>
  <si>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</si>
  <si>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</si>
  <si>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</si>
  <si>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</si>
  <si>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</si>
  <si>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</si>
  <si>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</si>
  <si>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</si>
  <si>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</si>
  <si>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</si>
  <si>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</si>
  <si>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</si>
  <si>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</si>
  <si>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</si>
  <si>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</si>
  <si>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</si>
  <si>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</si>
  <si>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</si>
  <si>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</si>
  <si>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</si>
  <si>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</si>
  <si>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</si>
  <si>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</si>
  <si>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</si>
  <si>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</si>
  <si>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</si>
  <si>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</si>
  <si>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</si>
  <si>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</si>
  <si>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</si>
  <si>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</si>
  <si>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</si>
  <si>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</si>
  <si>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</si>
  <si>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</si>
  <si>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</si>
  <si>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</si>
  <si>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</si>
  <si>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</si>
  <si>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</si>
  <si>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</si>
  <si>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</si>
  <si>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</si>
  <si>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</si>
  <si>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</si>
  <si>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</si>
  <si>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</si>
  <si>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</si>
  <si>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</si>
  <si>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</si>
  <si>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</si>
  <si>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</si>
  <si>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</si>
  <si>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</si>
  <si>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</si>
  <si>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</si>
  <si>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</si>
  <si>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</si>
  <si>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</si>
  <si>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</si>
  <si>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</si>
  <si>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</si>
  <si>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</si>
  <si>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</si>
  <si>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</si>
  <si>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</si>
  <si>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</si>
  <si>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</si>
  <si>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</si>
  <si>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</si>
  <si>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</si>
  <si>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</si>
  <si>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</si>
  <si>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</si>
  <si>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</si>
  <si>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</si>
  <si>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</si>
  <si>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</si>
  <si>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</si>
  <si>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</si>
  <si>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</si>
  <si>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</si>
  <si>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</si>
  <si>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</si>
  <si>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</si>
  <si>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</si>
  <si>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</si>
  <si>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</si>
  <si>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</si>
  <si>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</si>
  <si>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</si>
  <si>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</si>
  <si>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</si>
  <si>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</si>
  <si>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</si>
  <si>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</si>
  <si>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</si>
  <si>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</si>
  <si>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</si>
  <si>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</si>
  <si>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</si>
  <si>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</si>
  <si>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</si>
  <si>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</si>
  <si>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</si>
  <si>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</si>
  <si>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</si>
  <si>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</si>
  <si>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</si>
  <si>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</si>
  <si>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</si>
  <si>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</si>
  <si>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</si>
  <si>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</si>
  <si>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</si>
  <si>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</si>
  <si>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</si>
  <si>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</si>
  <si>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</si>
  <si>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</si>
  <si>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</si>
  <si>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</si>
  <si>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</si>
  <si>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</si>
  <si>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</si>
  <si>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</si>
  <si>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</si>
  <si>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</si>
  <si>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</si>
  <si>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</si>
  <si>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</si>
  <si>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</si>
  <si>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</si>
  <si>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</si>
  <si>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</si>
  <si>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</si>
  <si>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</si>
  <si>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</si>
  <si>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</si>
  <si>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</si>
  <si>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</si>
  <si>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</si>
  <si>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</si>
  <si>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</si>
  <si>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</si>
  <si>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</si>
  <si>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</si>
  <si>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</si>
  <si>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</si>
  <si>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</si>
  <si>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</si>
  <si>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</si>
  <si>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</si>
  <si>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</si>
  <si>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</si>
  <si>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</si>
  <si>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</si>
  <si>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</si>
  <si>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</si>
  <si>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</si>
  <si>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</si>
  <si>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</si>
  <si>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</si>
  <si>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</si>
  <si>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</si>
  <si>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</si>
  <si>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</si>
  <si>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</si>
  <si>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</si>
  <si>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</si>
  <si>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</si>
  <si>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</si>
  <si>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</si>
  <si>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</si>
  <si>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</si>
  <si>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</si>
  <si>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</si>
  <si>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</si>
  <si>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</si>
  <si>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</si>
  <si>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</si>
  <si>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</si>
  <si>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</si>
  <si>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</si>
  <si>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</si>
  <si>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</si>
  <si>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</si>
  <si>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</si>
  <si>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</si>
  <si>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</si>
  <si>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</si>
  <si>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</si>
  <si>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</si>
  <si>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</si>
  <si>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</si>
  <si>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</si>
  <si>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</si>
  <si>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</si>
  <si>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</si>
  <si>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</si>
  <si>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</si>
  <si>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</si>
  <si>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</si>
  <si>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</si>
  <si>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</si>
  <si>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</si>
  <si>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</si>
  <si>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</si>
  <si>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</si>
  <si>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</si>
  <si>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</si>
  <si>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</si>
  <si>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</si>
  <si>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</si>
  <si>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</si>
  <si>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</si>
  <si>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</si>
  <si>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</si>
  <si>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</si>
  <si>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</si>
  <si>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</si>
  <si>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</si>
  <si>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</si>
  <si>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</si>
  <si>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</si>
  <si>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</si>
  <si>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</si>
  <si>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</si>
  <si>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</si>
  <si>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</si>
  <si>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</si>
  <si>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</si>
  <si>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</si>
  <si>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</si>
  <si>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</si>
  <si>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</si>
  <si>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</si>
  <si>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</si>
  <si>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</si>
  <si>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</si>
  <si>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</si>
  <si>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</si>
  <si>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</si>
  <si>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</si>
  <si>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</si>
  <si>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</si>
  <si>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</si>
  <si>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</si>
  <si>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</si>
  <si>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</si>
  <si>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</si>
  <si>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</si>
  <si>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</si>
  <si>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</si>
  <si>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</si>
  <si>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</si>
  <si>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</si>
  <si>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</si>
  <si>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</si>
  <si>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</si>
  <si>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</si>
  <si>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</si>
  <si>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</si>
  <si>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</si>
  <si>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</si>
  <si>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</si>
  <si>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</si>
  <si>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</si>
  <si>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</si>
  <si>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</si>
  <si>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</si>
  <si>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</si>
  <si>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</si>
  <si>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</si>
  <si>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</si>
  <si>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</si>
  <si>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</si>
  <si>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</si>
  <si>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</si>
  <si>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</si>
  <si>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</si>
  <si>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</si>
  <si>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</si>
  <si>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</si>
  <si>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</si>
  <si>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</si>
  <si>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</si>
  <si>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</si>
  <si>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</si>
  <si>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</si>
  <si>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</si>
  <si>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</si>
  <si>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</si>
  <si>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</si>
  <si>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</si>
  <si>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</si>
  <si>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</si>
  <si>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</si>
  <si>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</si>
  <si>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</si>
  <si>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</si>
  <si>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</si>
  <si>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</si>
  <si>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</si>
  <si>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</si>
  <si>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</si>
  <si>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</si>
  <si>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</si>
  <si>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</si>
  <si>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</si>
  <si>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</si>
  <si>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</si>
  <si>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</si>
  <si>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</si>
  <si>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</si>
  <si>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</si>
  <si>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</si>
  <si>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</si>
  <si>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</si>
  <si>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</si>
  <si>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</si>
  <si>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</si>
  <si>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</si>
  <si>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</si>
  <si>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</si>
  <si>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</si>
  <si>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</si>
  <si>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</si>
  <si>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</si>
  <si>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</si>
  <si>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</si>
  <si>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</si>
  <si>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</si>
  <si>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</si>
  <si>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</si>
  <si>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</si>
  <si>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</si>
  <si>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</si>
  <si>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</si>
  <si>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</si>
  <si>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</si>
  <si>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</si>
  <si>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</si>
  <si>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</si>
  <si>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</si>
  <si>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</si>
  <si>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</si>
  <si>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</si>
  <si>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</si>
  <si>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</si>
  <si>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</si>
  <si>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</si>
  <si>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</si>
  <si>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</si>
  <si>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</si>
  <si>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</si>
  <si>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</si>
  <si>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</si>
  <si>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</si>
  <si>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</si>
  <si>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</si>
  <si>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</si>
  <si>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</si>
  <si>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</si>
  <si>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</si>
  <si>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</si>
  <si>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</si>
  <si>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</si>
  <si>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</si>
  <si>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</si>
  <si>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</si>
  <si>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</si>
  <si>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</si>
  <si>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</si>
  <si>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</si>
  <si>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</si>
  <si>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</si>
  <si>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</si>
  <si>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</si>
  <si>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</si>
  <si>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</si>
  <si>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</si>
  <si>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</si>
  <si>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</si>
  <si>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</si>
  <si>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</si>
  <si>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</si>
  <si>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</si>
  <si>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</si>
  <si>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</si>
  <si>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</si>
  <si>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</si>
  <si>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</si>
  <si>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</si>
  <si>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</si>
  <si>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</si>
  <si>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</si>
  <si>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</si>
  <si>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</si>
  <si>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</si>
  <si>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</si>
  <si>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</si>
  <si>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</si>
  <si>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</si>
  <si>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</si>
  <si>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</si>
  <si>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</si>
  <si>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</si>
  <si>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</si>
  <si>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</si>
  <si>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</si>
  <si>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</si>
  <si>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</si>
  <si>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</si>
  <si>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</si>
  <si>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</si>
  <si>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</si>
  <si>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</si>
  <si>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</si>
  <si>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</si>
  <si>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</si>
  <si>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</si>
  <si>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</si>
  <si>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</si>
  <si>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</si>
  <si>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</si>
  <si>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</si>
  <si>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</si>
  <si>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</si>
  <si>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</si>
  <si>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</si>
  <si>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</si>
  <si>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</si>
  <si>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</si>
  <si>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</si>
  <si>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</si>
  <si>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</si>
  <si>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</si>
  <si>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</si>
  <si>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</si>
  <si>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</si>
  <si>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</si>
  <si>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</si>
  <si>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</si>
  <si>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</si>
  <si>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</si>
  <si>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</si>
  <si>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</si>
  <si>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</si>
  <si>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</si>
  <si>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</si>
  <si>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</si>
  <si>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</si>
  <si>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</si>
  <si>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</si>
  <si>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</si>
  <si>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</si>
  <si>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</si>
  <si>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</si>
  <si>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</si>
  <si>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</si>
  <si>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</si>
  <si>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</si>
  <si>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</si>
  <si>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</si>
  <si>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</si>
  <si>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</si>
  <si>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</si>
  <si>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</si>
  <si>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</si>
  <si>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</si>
  <si>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</si>
  <si>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</si>
  <si>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</si>
  <si>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</si>
  <si>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</si>
  <si>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</si>
  <si>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</si>
  <si>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</si>
  <si>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</si>
  <si>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</si>
  <si>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</si>
  <si>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</si>
  <si>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</si>
  <si>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</si>
  <si>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</si>
  <si>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</si>
  <si>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</si>
  <si>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</si>
  <si>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</si>
  <si>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</si>
  <si>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</si>
  <si>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</si>
  <si>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</si>
  <si>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</si>
  <si>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</si>
  <si>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</si>
  <si>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</si>
  <si>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</si>
  <si>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</si>
  <si>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</si>
  <si>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</si>
  <si>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</si>
  <si>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</si>
  <si>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</si>
  <si>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</si>
  <si>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</si>
  <si>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</si>
  <si>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</si>
  <si>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</si>
  <si>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</si>
  <si>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</si>
  <si>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</si>
  <si>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</si>
  <si>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</si>
  <si>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</si>
  <si>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</si>
  <si>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</si>
  <si>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</si>
  <si>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</si>
  <si>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</si>
  <si>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</si>
  <si>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</si>
  <si>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</si>
  <si>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</si>
  <si>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</si>
  <si>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</si>
  <si>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</si>
  <si>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</si>
  <si>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</si>
  <si>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</si>
  <si>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</si>
  <si>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</si>
  <si>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</si>
  <si>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</si>
  <si>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</si>
  <si>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</si>
  <si>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</si>
  <si>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</si>
  <si>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</si>
  <si>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</si>
  <si>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</si>
  <si>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</si>
  <si>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</si>
  <si>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</si>
  <si>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</si>
  <si>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</si>
  <si>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</si>
  <si>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</si>
  <si>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</si>
  <si>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</si>
  <si>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</si>
  <si>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</si>
  <si>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</si>
  <si>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</si>
  <si>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</si>
  <si>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</si>
  <si>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</si>
  <si>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</si>
  <si>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</si>
  <si>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</si>
  <si>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</si>
  <si>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</si>
  <si>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</si>
  <si>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</si>
  <si>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</si>
  <si>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</si>
  <si>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</si>
  <si>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</si>
  <si>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</si>
  <si>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</si>
  <si>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</si>
  <si>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</si>
  <si>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</si>
  <si>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</si>
  <si>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</si>
  <si>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</si>
  <si>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</si>
  <si>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</si>
  <si>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</si>
  <si>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</si>
  <si>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</si>
  <si>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</si>
  <si>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</si>
  <si>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</si>
  <si>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</si>
  <si>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</si>
  <si>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</si>
  <si>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</si>
  <si>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</si>
  <si>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</si>
  <si>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</si>
  <si>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</si>
  <si>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</si>
  <si>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</si>
  <si>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</si>
  <si>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</si>
  <si>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</si>
  <si>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</si>
  <si>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</si>
  <si>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</si>
  <si>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</si>
  <si>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</si>
  <si>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</si>
  <si>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</si>
  <si>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</si>
  <si>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</si>
  <si>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</si>
  <si>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</si>
  <si>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</si>
  <si>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</si>
  <si>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</si>
  <si>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</si>
  <si>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</si>
  <si>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</si>
  <si>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</si>
  <si>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</si>
  <si>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</si>
  <si>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</si>
  <si>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</si>
  <si>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</si>
  <si>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</si>
  <si>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</si>
  <si>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</si>
  <si>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</si>
  <si>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</si>
  <si>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</si>
  <si>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</si>
  <si>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</si>
  <si>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</si>
  <si>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</si>
  <si>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</si>
  <si>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</si>
  <si>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</si>
  <si>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</si>
  <si>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</si>
  <si>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</si>
  <si>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</si>
  <si>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</si>
  <si>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</si>
  <si>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</si>
  <si>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</si>
  <si>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</si>
  <si>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</si>
  <si>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</si>
  <si>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</si>
  <si>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</si>
  <si>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</si>
  <si>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</si>
  <si>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</si>
  <si>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</si>
  <si>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</si>
  <si>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</si>
  <si>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</si>
  <si>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</si>
  <si>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</si>
  <si>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</si>
  <si>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</si>
  <si>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</si>
  <si>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</si>
  <si>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</si>
  <si>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</si>
  <si>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</si>
  <si>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</si>
  <si>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</si>
  <si>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</si>
  <si>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</si>
  <si>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</si>
  <si>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</si>
  <si>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</si>
  <si>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</si>
  <si>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</si>
  <si>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</si>
  <si>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</si>
  <si>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</si>
  <si>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</si>
  <si>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</si>
  <si>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</si>
  <si>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</si>
  <si>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</si>
  <si>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</si>
  <si>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</si>
  <si>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</si>
  <si>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</si>
  <si>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</si>
  <si>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</si>
  <si>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</si>
  <si>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</si>
  <si>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</si>
  <si>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</si>
  <si>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</si>
  <si>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</si>
  <si>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</si>
  <si>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</si>
  <si>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</si>
  <si>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</si>
  <si>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</si>
  <si>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</si>
  <si>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</si>
  <si>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</si>
  <si>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</si>
  <si>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</si>
  <si>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</si>
  <si>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</si>
  <si>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</si>
  <si>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</si>
  <si>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</si>
  <si>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</si>
  <si>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</si>
  <si>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</si>
  <si>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</si>
  <si>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</si>
  <si>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</si>
  <si>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</si>
  <si>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</si>
  <si>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</si>
  <si>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</si>
  <si>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</si>
  <si>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</si>
  <si>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</si>
  <si>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</si>
  <si>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</si>
  <si>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</si>
  <si>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</si>
  <si>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</si>
  <si>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</si>
  <si>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</si>
  <si>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</si>
  <si>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</si>
  <si>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</si>
  <si>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</si>
  <si>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</si>
  <si>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</si>
  <si>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</si>
  <si>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</si>
  <si>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</si>
  <si>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</si>
  <si>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</si>
  <si>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</si>
  <si>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</si>
  <si>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</si>
  <si>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</si>
  <si>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</si>
  <si>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</si>
  <si>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</si>
  <si>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</si>
  <si>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</si>
  <si>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</si>
  <si>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</si>
  <si>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</si>
  <si>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</si>
  <si>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</si>
  <si>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</si>
  <si>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</si>
  <si>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</si>
  <si>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</si>
  <si>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</si>
  <si>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</si>
  <si>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</si>
  <si>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</si>
  <si>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</si>
  <si>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</si>
  <si>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</si>
  <si>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</si>
  <si>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</si>
  <si>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</si>
  <si>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</si>
  <si>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</si>
  <si>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</si>
  <si>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</si>
  <si>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</si>
  <si>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</si>
  <si>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</si>
  <si>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</si>
  <si>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</si>
  <si>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</si>
  <si>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</si>
  <si>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</si>
  <si>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</si>
  <si>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</si>
  <si>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</si>
  <si>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</si>
  <si>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</si>
  <si>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</si>
  <si>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</si>
  <si>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</si>
  <si>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</si>
  <si>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</si>
  <si>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</si>
  <si>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</si>
  <si>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</si>
  <si>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</si>
  <si>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</si>
  <si>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</si>
  <si>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</si>
  <si>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</si>
  <si>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</si>
  <si>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</si>
  <si>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</si>
  <si>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</si>
  <si>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</si>
  <si>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</si>
  <si>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</si>
  <si>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</si>
  <si>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</si>
  <si>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</si>
  <si>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</si>
  <si>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</si>
  <si>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</si>
  <si>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</si>
  <si>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</si>
  <si>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</si>
  <si>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</si>
  <si>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</si>
  <si>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</si>
  <si>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</si>
  <si>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</si>
  <si>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</si>
  <si>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</si>
  <si>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</si>
  <si>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</si>
  <si>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</si>
  <si>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</si>
  <si>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</si>
  <si>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</si>
  <si>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</si>
  <si>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</si>
  <si>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</si>
  <si>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</si>
  <si>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</si>
  <si>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</si>
  <si>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</si>
  <si>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</si>
  <si>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</si>
  <si>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</si>
  <si>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</si>
  <si>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</si>
  <si>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</si>
  <si>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</si>
  <si>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</si>
  <si>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</si>
  <si>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</si>
  <si>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</si>
  <si>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</si>
  <si>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</si>
  <si>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</si>
  <si>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</si>
  <si>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</si>
  <si>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</si>
  <si>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</si>
  <si>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</si>
  <si>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</si>
  <si>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</si>
  <si>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</si>
  <si>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</si>
  <si>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</si>
  <si>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</si>
  <si>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</si>
  <si>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</si>
  <si>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</si>
  <si>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</si>
  <si>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</si>
  <si>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</si>
  <si>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</si>
  <si>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</si>
  <si>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</si>
  <si>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</si>
  <si>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</si>
  <si>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</si>
  <si>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</si>
  <si>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</si>
  <si>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</si>
  <si>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</si>
  <si>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</si>
  <si>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</si>
  <si>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</si>
  <si>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</si>
  <si>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</si>
  <si>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</si>
  <si>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</si>
  <si>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</si>
  <si>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</si>
  <si>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</si>
  <si>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</si>
  <si>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</si>
  <si>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</si>
  <si>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</si>
  <si>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</si>
  <si>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</si>
  <si>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</si>
  <si>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</si>
  <si>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</si>
  <si>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</si>
  <si>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</si>
  <si>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</si>
  <si>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</si>
  <si>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</si>
  <si>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</si>
  <si>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</si>
  <si>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</si>
  <si>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</si>
  <si>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</si>
  <si>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</si>
  <si>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</si>
  <si>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</si>
  <si>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</si>
  <si>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</si>
  <si>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</si>
  <si>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</si>
  <si>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</si>
  <si>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</si>
  <si>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</si>
  <si>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</si>
  <si>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</si>
  <si>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</si>
  <si>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</si>
  <si>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</si>
  <si>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</si>
  <si>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</si>
  <si>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</si>
  <si>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</si>
  <si>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</si>
  <si>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</si>
  <si>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</si>
  <si>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</si>
  <si>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</si>
  <si>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</si>
  <si>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</si>
  <si>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</si>
  <si>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</si>
  <si>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</si>
  <si>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</si>
  <si>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</si>
  <si>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</si>
  <si>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</si>
  <si>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</si>
  <si>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</si>
  <si>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</si>
  <si>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</si>
  <si>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</si>
  <si>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</si>
  <si>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</si>
  <si>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</si>
  <si>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</si>
  <si>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</si>
  <si>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</si>
  <si>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</si>
  <si>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</si>
  <si>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</si>
  <si>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</si>
  <si>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</si>
  <si>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</si>
  <si>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</si>
  <si>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</si>
  <si>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</si>
  <si>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</si>
  <si>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</si>
  <si>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</si>
  <si>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</si>
  <si>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</si>
  <si>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</si>
  <si>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</si>
  <si>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</si>
  <si>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</si>
  <si>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</si>
  <si>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</si>
  <si>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</si>
  <si>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</si>
  <si>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</si>
  <si>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</si>
  <si>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</si>
  <si>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</si>
  <si>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</si>
  <si>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</si>
  <si>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</si>
  <si>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</si>
  <si>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</si>
  <si>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</si>
  <si>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</si>
  <si>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</si>
  <si>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</si>
  <si>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</si>
  <si>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</si>
  <si>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</si>
  <si>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</si>
  <si>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</si>
  <si>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</si>
  <si>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</si>
  <si>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</si>
  <si>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</si>
  <si>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</si>
  <si>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</si>
  <si>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</si>
  <si>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</si>
  <si>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</si>
  <si>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</si>
  <si>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</si>
  <si>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</si>
  <si>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</si>
  <si>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</si>
  <si>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</si>
  <si>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</si>
  <si>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</si>
  <si>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</si>
  <si>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</si>
  <si>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</si>
  <si>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</si>
  <si>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</si>
  <si>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</si>
  <si>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</si>
  <si>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</si>
  <si>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</si>
  <si>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</si>
  <si>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</si>
  <si>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</si>
  <si>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</si>
  <si>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</si>
  <si>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</si>
  <si>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</si>
  <si>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</si>
  <si>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</si>
  <si>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</si>
  <si>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</si>
  <si>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</si>
  <si>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</si>
  <si>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</si>
  <si>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</si>
  <si>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</si>
  <si>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</si>
  <si>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</si>
  <si>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</si>
  <si>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</si>
  <si>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</si>
  <si>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</si>
  <si>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</si>
  <si>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</si>
  <si>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</si>
  <si>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</si>
  <si>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</si>
  <si>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</si>
  <si>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</si>
  <si>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</si>
  <si>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</si>
  <si>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</si>
  <si>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</si>
  <si>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</si>
  <si>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</si>
  <si>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</si>
  <si>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</si>
  <si>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</si>
  <si>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</si>
  <si>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</si>
  <si>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</si>
  <si>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</si>
  <si>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</si>
  <si>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</si>
  <si>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</si>
  <si>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</si>
  <si>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</si>
  <si>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</si>
  <si>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</si>
  <si>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</si>
  <si>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</si>
  <si>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</si>
  <si>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</si>
  <si>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</si>
  <si>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</si>
  <si>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</si>
  <si>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</si>
  <si>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</si>
  <si>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</si>
  <si>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</si>
  <si>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</si>
  <si>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</si>
  <si>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</si>
  <si>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</si>
  <si>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</si>
  <si>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</si>
  <si>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</si>
  <si>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</si>
  <si>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</si>
  <si>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</si>
  <si>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</si>
  <si>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</si>
  <si>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</si>
  <si>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</si>
  <si>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</si>
  <si>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</si>
  <si>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</si>
  <si>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</si>
  <si>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</si>
  <si>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</si>
  <si>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</si>
  <si>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</si>
  <si>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</si>
  <si>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</si>
  <si>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</si>
  <si>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</si>
  <si>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</si>
  <si>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</si>
  <si>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</si>
  <si>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</si>
  <si>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</si>
  <si>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</si>
  <si>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</si>
  <si>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</si>
  <si>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</si>
  <si>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</si>
  <si>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</si>
  <si>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</si>
  <si>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</si>
  <si>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</si>
  <si>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</si>
  <si>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</si>
  <si>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</si>
  <si>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</si>
  <si>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</si>
  <si>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</si>
  <si>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</si>
  <si>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</si>
  <si>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</si>
  <si>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</si>
  <si>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</si>
  <si>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</si>
  <si>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</si>
  <si>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</si>
  <si>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</si>
  <si>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</si>
  <si>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</si>
  <si>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</si>
  <si>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</si>
  <si>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</si>
  <si>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</si>
  <si>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</si>
  <si>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</si>
  <si>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</si>
  <si>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</si>
  <si>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</si>
  <si>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</si>
  <si>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</si>
  <si>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</si>
  <si>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</si>
  <si>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</si>
  <si>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</si>
  <si>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</si>
  <si>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</si>
  <si>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</si>
  <si>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</si>
  <si>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</si>
  <si>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</si>
  <si>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</si>
  <si>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</si>
  <si>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</si>
  <si>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</si>
  <si>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</si>
  <si>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</si>
  <si>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</si>
  <si>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</si>
  <si>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</si>
  <si>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</si>
  <si>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</si>
  <si>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</si>
  <si>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</si>
  <si>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</si>
  <si>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</si>
  <si>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</si>
  <si>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</si>
  <si>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</si>
  <si>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</si>
  <si>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</si>
  <si>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</si>
  <si>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</si>
  <si>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</si>
  <si>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</si>
  <si>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</si>
  <si>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</si>
  <si>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</si>
  <si>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</si>
  <si>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</si>
  <si>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</si>
  <si>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</si>
  <si>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</si>
  <si>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</si>
  <si>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</si>
  <si>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</si>
  <si>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</si>
  <si>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</si>
  <si>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</si>
  <si>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</si>
  <si>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</si>
  <si>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</si>
  <si>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</si>
  <si>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</si>
  <si>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</si>
  <si>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</si>
  <si>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</si>
  <si>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</si>
  <si>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</si>
  <si>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</si>
  <si>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</si>
  <si>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</si>
  <si>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</si>
  <si>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</si>
  <si>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</si>
  <si>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</si>
  <si>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</si>
  <si>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</si>
  <si>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</si>
  <si>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</si>
  <si>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</si>
  <si>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</si>
  <si>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</si>
  <si>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</si>
  <si>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</si>
  <si>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</si>
  <si>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</si>
  <si>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</si>
  <si>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</si>
  <si>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</si>
  <si>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</si>
  <si>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</si>
  <si>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</si>
  <si>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</si>
  <si>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</si>
  <si>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</si>
  <si>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</si>
  <si>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</si>
  <si>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</si>
  <si>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</si>
  <si>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</si>
  <si>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</si>
  <si>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</si>
  <si>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</si>
  <si>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</si>
  <si>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</si>
  <si>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</si>
  <si>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</si>
  <si>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</si>
  <si>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</si>
  <si>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</si>
  <si>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</si>
  <si>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</si>
  <si>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</si>
  <si>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</si>
  <si>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</si>
  <si>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</si>
  <si>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</si>
  <si>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</si>
  <si>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</si>
  <si>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</si>
  <si>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</si>
  <si>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</si>
  <si>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</si>
  <si>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</si>
  <si>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</si>
  <si>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</si>
  <si>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</si>
  <si>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</si>
  <si>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</si>
  <si>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</si>
  <si>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</si>
  <si>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</si>
  <si>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</si>
  <si>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</si>
  <si>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</si>
  <si>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</si>
  <si>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</si>
  <si>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</si>
  <si>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</si>
  <si>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</si>
  <si>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</si>
  <si>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</si>
  <si>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</si>
  <si>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</si>
  <si>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</si>
  <si>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</si>
  <si>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</si>
  <si>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</si>
  <si>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</si>
  <si>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</si>
  <si>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</si>
  <si>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</si>
  <si>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</si>
  <si>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</si>
  <si>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</si>
  <si>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</si>
  <si>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</si>
  <si>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</si>
  <si>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</si>
  <si>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US DEPARTMENT OF AGRICULTURE - PASS THROUGH ILLINOIS STATE BOARD OF EDUCATION</t>
  </si>
  <si>
    <t>Federal Lunch Program FY 19</t>
  </si>
  <si>
    <t>Federal Lunch Program FY 18</t>
  </si>
  <si>
    <t>Federal Breakfast Program FY 19</t>
  </si>
  <si>
    <t>Federal Breakfast Program FY 18</t>
  </si>
  <si>
    <t>19-4210-00</t>
  </si>
  <si>
    <t>18-4210-00</t>
  </si>
  <si>
    <t>19-4220-00</t>
  </si>
  <si>
    <t>18-4220-00</t>
  </si>
  <si>
    <t>Summer Food Program FY 19</t>
  </si>
  <si>
    <t>Summer Food Program FY 18</t>
  </si>
  <si>
    <t>19-4225-00</t>
  </si>
  <si>
    <t>18-4225-00</t>
  </si>
  <si>
    <t xml:space="preserve">                        Child Nutrition Cluster</t>
  </si>
  <si>
    <t>N/A</t>
  </si>
  <si>
    <t>Child and Adult Care Food Program FY 19</t>
  </si>
  <si>
    <t>Child and Adult Care Food Program FY 18</t>
  </si>
  <si>
    <t>19-4226-00</t>
  </si>
  <si>
    <t>18-4226-00</t>
  </si>
  <si>
    <t>Fresh Fruits and Vegetables</t>
  </si>
  <si>
    <t>19-4240-00</t>
  </si>
  <si>
    <t xml:space="preserve">                          Total Child and Adult Care Food</t>
  </si>
  <si>
    <t>TOTAL US DEPARTMENT OF AGRICULTURE - PASS THROUGH ILLINOIS STATE BOARD OF EDUCATION</t>
  </si>
  <si>
    <t>X</t>
  </si>
  <si>
    <t>ST. CLAIR</t>
  </si>
  <si>
    <t>1700 JEROME LANE</t>
  </si>
  <si>
    <t>CAHOKIA</t>
  </si>
  <si>
    <t>harveya@cusd187.org</t>
  </si>
  <si>
    <t>SCHEFFEL BOYLE</t>
  </si>
  <si>
    <t>DALE HOLTMANN</t>
  </si>
  <si>
    <t>222 EAST MAIN STREET</t>
  </si>
  <si>
    <t>BELLEVILLE</t>
  </si>
  <si>
    <t>IL</t>
  </si>
  <si>
    <t>618-277-8100</t>
  </si>
  <si>
    <t>618-277-9307</t>
  </si>
  <si>
    <t>065-26956</t>
  </si>
  <si>
    <t>dale.holtmann@scheffelboyle.com</t>
  </si>
  <si>
    <t>ARNETT HARVEY</t>
  </si>
  <si>
    <t>618-332-4705</t>
  </si>
  <si>
    <t>618-332-3706</t>
  </si>
  <si>
    <t>x</t>
  </si>
  <si>
    <t>2011 A General Obligation School Bonds</t>
  </si>
  <si>
    <t>1, 4</t>
  </si>
  <si>
    <t>2012 B General Obligation School Bonds</t>
  </si>
  <si>
    <t>2012 D General Obligation School Bonds</t>
  </si>
  <si>
    <t>2013 Capital Appreciation Bonds</t>
  </si>
  <si>
    <t>2015 Capital Appreciation Bonds</t>
  </si>
  <si>
    <t>Sodexo</t>
  </si>
  <si>
    <t>First Student</t>
  </si>
  <si>
    <t>DEPT OF HEALTH AND HUMAN SVCS - PASS THROUGH IL DEPT OF HEALTHCARE AND FAMILY SVCS</t>
  </si>
  <si>
    <t>Medicaid</t>
  </si>
  <si>
    <t>19-4991-00</t>
  </si>
  <si>
    <t>DEPARTMENT OF HUMAN SERVICES - PASS THROUGH ILLINOIS DEPT OF HUMAN SERVICES</t>
  </si>
  <si>
    <t xml:space="preserve">STEP Performance </t>
  </si>
  <si>
    <t>19-4799-00</t>
  </si>
  <si>
    <t>US DEPARTMENT OF EDUCATION - PASS THROUGH ILLINOIS STATE BOARD OF EDUCATION</t>
  </si>
  <si>
    <t>Title II - Teacher Quality FY 19</t>
  </si>
  <si>
    <t>Title II - Teacher Quality FY 18</t>
  </si>
  <si>
    <t>19-4932-00</t>
  </si>
  <si>
    <t>18-4932-00</t>
  </si>
  <si>
    <t>19-4300-00</t>
  </si>
  <si>
    <t>18-4300-00</t>
  </si>
  <si>
    <t>19-4331-00</t>
  </si>
  <si>
    <t xml:space="preserve">                Total Title II</t>
  </si>
  <si>
    <t xml:space="preserve">                Total Title I Cluster</t>
  </si>
  <si>
    <t>US DEPARTMENT OF EDUCATION - PASS THROUGH ILLINOIS STATE BOARD OF EDUCATION (CONT'D)</t>
  </si>
  <si>
    <t>19-4600-00</t>
  </si>
  <si>
    <t>19-4620-00</t>
  </si>
  <si>
    <t>18-4620-00</t>
  </si>
  <si>
    <t>84.419B</t>
  </si>
  <si>
    <t>19-4902-00</t>
  </si>
  <si>
    <t>Preschool Expansion Grant FY 19</t>
  </si>
  <si>
    <t>Preschool Expansion Grant FY 18</t>
  </si>
  <si>
    <t>18-4902-00</t>
  </si>
  <si>
    <t xml:space="preserve">              Total Federal Special Education Cluster</t>
  </si>
  <si>
    <t xml:space="preserve">              Total Preschool Expansion Grant</t>
  </si>
  <si>
    <t>Title IV - 21st Century FY 19 (Section 15)</t>
  </si>
  <si>
    <t>Title IV - 21st Century FY 18 (Section 15)</t>
  </si>
  <si>
    <t>Title IV - 21st Century FY 19 (Section 25)</t>
  </si>
  <si>
    <t>Title IV - 21st Century FY 18 (Section 25)</t>
  </si>
  <si>
    <t xml:space="preserve">             Total Title IV - 21st Century</t>
  </si>
  <si>
    <t>19-4221-15</t>
  </si>
  <si>
    <t>18-4221-15</t>
  </si>
  <si>
    <t>19-4221-25</t>
  </si>
  <si>
    <t>18-4221-25</t>
  </si>
  <si>
    <t>Title IVA Student Support &amp; Academic Enrichment</t>
  </si>
  <si>
    <t>19-4400-00</t>
  </si>
  <si>
    <t>The School District is required to have the staff with sufficient training or expertise to complete the financial statements and all required disclosures in accordance with accounting principles generally accepted in the United States of America.</t>
  </si>
  <si>
    <t xml:space="preserve">The School District relies on the external audit firm to assist in the preparation of the financial statements and all required disclosures in accordance with accounting principles generally accepted in the United States of America. </t>
  </si>
  <si>
    <t>No questioned costs.</t>
  </si>
  <si>
    <t>Inaccurate or incomplete financial statements could be issued to the public or other third-party.</t>
  </si>
  <si>
    <t>The School District relies on the external audit firm to assist in the preparation of the financial statements and all required disclosures in accordance with accounting principles generally accepted in the United States of America.</t>
  </si>
  <si>
    <t>The School District should consider the costs and benefits of hiring staff with expertise or train existing accounting staff to ensure the District's annual financial statements and all required disclosures are prepared in accordance with accounting principles generally accepted in the United States of America.</t>
  </si>
  <si>
    <t xml:space="preserve">Management believes their accounting staff maintains adequate books and records of the school's transactions and oversees all nonaudit functions.  Additionally, management does not believe it is cost beneficial to hire additional expertise to ensure the School District's annual financial statements and all required disclosures are prepared in accordance with US GAAP.   </t>
  </si>
  <si>
    <t>The School District is required to have the staff with sufficient training or expertise to complete all required transactions and journal entries in accordance with accounting principles generally accepted in the United States of America.</t>
  </si>
  <si>
    <t>The School District relies on the external audit firm to assist with year end accruals and journal entries that are necessary to bring the trial balance into compliance with accounting principles generally accepted in the United States of America.</t>
  </si>
  <si>
    <t>No questioned costs</t>
  </si>
  <si>
    <t>The School District should consider the costs and benefits of hiring staff with expertise or train existing accounting staff to ensure the School District's annual financial statements are prepared in accordance with accounting principles generally accepted in the United States of America.</t>
  </si>
  <si>
    <t>The School District does not believe it is cost beneficial to hire additional expertise to ensure the District's annual financial statements are prepared in accordance with accounting principles generally accepted in the United States of America.  The School District's accounting staff oversees all nonaudit functions.  The School District will continue to reevaluate on an ongoing basis.</t>
  </si>
  <si>
    <t>The accompanying Schedule of Expenditures of Federal Awards includes the federal grant activity of Cahokia CUSD 187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</si>
  <si>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</si>
  <si>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r>
      <t xml:space="preserve">Of the federal expenditures presented in the schedule, </t>
    </r>
    <r>
      <rPr>
        <b/>
        <sz val="9"/>
        <rFont val="Calibri"/>
        <family val="2"/>
        <scheme val="minor"/>
      </rPr>
      <t>Cahokia CUSD 187</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</si>
  <si>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Cahokia CUSD 187</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</si>
  <si>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TOTAL US DEPARTMENT OF EDUCATION - PASS THROUGH ILLINOIS STATE BOARD OF EDUCATION </t>
  </si>
  <si>
    <t>US DEPARTMENT OF PUBLIC HEALTH PASS THROUGH ILLINOIS DEPARTMENT OF PUBLIC HEALTH</t>
  </si>
  <si>
    <t>AmeriCorps</t>
  </si>
  <si>
    <t>19-4099-00</t>
  </si>
  <si>
    <t>US DEPARTMENT OF EDUCATION - PASS THROUGH ST. CLAIR COUNTY REGIONAL OFFICE OF EDUCATION</t>
  </si>
  <si>
    <t>Title II - Math/Science</t>
  </si>
  <si>
    <t>19-4999-00</t>
  </si>
  <si>
    <t>US DEPARTMENT OF EDUCATION - PASS THROUGH SOUTHWESTERN ILLINOIS CTE SYSTEM</t>
  </si>
  <si>
    <t>Perkins</t>
  </si>
  <si>
    <t>19-4745-00</t>
  </si>
  <si>
    <t>TOTAL FEDERAL FINANCIAL ASSISTANCE CASH</t>
  </si>
  <si>
    <t>NONCASH COMMODITIES</t>
  </si>
  <si>
    <t>TOTAL FEDERAL FINANCIAL ASSISTANCE - CASH AND NONCASH</t>
  </si>
  <si>
    <t>CLUSTERS</t>
  </si>
  <si>
    <t>CHILD NUTRITION</t>
  </si>
  <si>
    <t>FEDERAL SPECIAL EDUCATION</t>
  </si>
  <si>
    <t>(M) Title I - Low Income FY 19</t>
  </si>
  <si>
    <t>(M) Title I - Low Income FY 18</t>
  </si>
  <si>
    <t>(M) Title I - School Improvement &amp; Accountability</t>
  </si>
  <si>
    <t>(M) Federal Special Education - IDEA Preschool</t>
  </si>
  <si>
    <t>(M) Federal Special Education - IDEA Flow Through FY 19</t>
  </si>
  <si>
    <t>(M) Federal Special Education - IDEA Flow Through FY 18</t>
  </si>
  <si>
    <t>Unmodified</t>
  </si>
  <si>
    <t>Title I Cluster</t>
  </si>
  <si>
    <t>84.027/84.173</t>
  </si>
  <si>
    <t>Federal Special Education Cluster</t>
  </si>
  <si>
    <t>Title I; Title II;  Title IV 21st Century; Preschool Expansion; Title IVA</t>
  </si>
  <si>
    <t>4300, 4331, 4932, 4421, 4902, 4400</t>
  </si>
  <si>
    <t>Illinois State Board of Education</t>
  </si>
  <si>
    <t>US Department of Education</t>
  </si>
  <si>
    <t>84 - 010, 367, 287, 419 424</t>
  </si>
  <si>
    <t>Expenditures reports are required on a quarterly basis and are due at ISBE 20 days after the quarter ends (10/20, 1/20, 4/20 and 7/20).</t>
  </si>
  <si>
    <t>The District was not in compliance with ISBE by filing the expenditure reports late.</t>
  </si>
  <si>
    <t>The District was still gathering the information needed and filed the reports late.</t>
  </si>
  <si>
    <t>To communicate to all employees involved in the grants when the due dates of the reports are due and monitor when reports are submitted.</t>
  </si>
  <si>
    <t>Management plans to communicate to each grant director when the reports are due and to monitor when reports are filed.</t>
  </si>
  <si>
    <t>Title I - School Improvement</t>
  </si>
  <si>
    <t>To determine that an accurate expenditure report was filed.</t>
  </si>
  <si>
    <t>The amount claimed on the June 30, 2019 expenditure reports did not match the general ledger reports.  The expenditure reports included in account 2210-400 the total for all 2210 accounts.</t>
  </si>
  <si>
    <t>The grant claimed  $4,522 instead of $1,080 for line item 2210-400.</t>
  </si>
  <si>
    <t>The School District did not file accurate expenditure reports at 6/30/19.  The School District noticed their error when they filed the expenditure report dated 8/26/19 and they corrected the account.</t>
  </si>
  <si>
    <t>The School District made an error in entering the total for account 2210-400.</t>
  </si>
  <si>
    <t>To reconcile the grant expense reports to the expenditure reports before filing.</t>
  </si>
  <si>
    <t>Management agrees to amend their procedures to reconcile the expenditure reports before filing.</t>
  </si>
  <si>
    <t>Preparing Financial Statements</t>
  </si>
  <si>
    <t>Management believes their accounting staff maintains</t>
  </si>
  <si>
    <t>adequate books and records of the school's transactions</t>
  </si>
  <si>
    <t xml:space="preserve">and oversees all nonaudit functions.   Additionally, </t>
  </si>
  <si>
    <t xml:space="preserve">management does not believe it is cost beneficial to </t>
  </si>
  <si>
    <t>hire additional expertise to prepare the financial statements.</t>
  </si>
  <si>
    <t>Journal Entries</t>
  </si>
  <si>
    <t>The School District personnel enter all transactions,</t>
  </si>
  <si>
    <t>however, several accrual basis journal entries are</t>
  </si>
  <si>
    <t>needed at year end to bring the trial balance into</t>
  </si>
  <si>
    <t>compliance with accounting principles generally</t>
  </si>
  <si>
    <t>accepted in the United States of America.</t>
  </si>
  <si>
    <t>2018-001</t>
  </si>
  <si>
    <t>Title I Grant Finding for not submitting</t>
  </si>
  <si>
    <t>During the prior year, the Title I June 30, 2017 expense</t>
  </si>
  <si>
    <t>accurate expenditure reports.</t>
  </si>
  <si>
    <t>report included July 2017 expenses.  During the current</t>
  </si>
  <si>
    <t>year, 4 grants did not claim all eligible expenses at</t>
  </si>
  <si>
    <t>June 30, 2018.</t>
  </si>
  <si>
    <t>2018-003</t>
  </si>
  <si>
    <t>2018-002</t>
  </si>
  <si>
    <t xml:space="preserve">In the prior year, the School District filed their </t>
  </si>
  <si>
    <t>quarterly expenditure reports late.  During the current</t>
  </si>
  <si>
    <t>year, they also filed expenditure reports late.</t>
  </si>
  <si>
    <t>2018-004</t>
  </si>
  <si>
    <t>2018-005</t>
  </si>
  <si>
    <t>Overexpenditure of Budget</t>
  </si>
  <si>
    <t>In the prior year, the Debt Service Fund was overbudget.</t>
  </si>
  <si>
    <t>In the current year, no funds were overbudget.</t>
  </si>
  <si>
    <t>Expenditure reports filed late</t>
  </si>
  <si>
    <t>We noted that the School District did not submit timely reports for the September 30, 2018 reports that were due 1/20/18, the March 31, 2019 reports that were due 4/20/19, or the June 30, 2019 reports that were due 7/20/19.</t>
  </si>
  <si>
    <t>Filed the Title I - Low Income grant 12/31/18, 3/31/19 and 6/30/19 reports late, Title IVA Student Support grant 9/30/18, 3/31/19 and 6/30/19 reports late, Title IV 21st Century 6/30/19 report late,  Preschool Expansion grant 9/30/18, 12/31/18, 3/31/19 and 6/30/19 reports late, TItle II Teacher Quality 9/30/18, 3/31/19 and 6/30/19 reports late.</t>
  </si>
  <si>
    <t>Scheffel Boyle</t>
  </si>
  <si>
    <t>10-2560-300</t>
  </si>
  <si>
    <t>40-2550-300</t>
  </si>
  <si>
    <t>ED-BUSINESS SERVICES-PURCHASED SERVICES</t>
  </si>
  <si>
    <t>TRANSPORATION-BUSINESS SERVICES-PURCHASED SERVICES</t>
  </si>
  <si>
    <t>ED-GENERAL ADMINISTRATION-PURCHASED SERVICES</t>
  </si>
  <si>
    <t>VARIOUS ROE'S</t>
  </si>
  <si>
    <t>Becker, Hoerner, Ysursa</t>
  </si>
  <si>
    <t>Clayborn &amp; Wagner LLP</t>
  </si>
  <si>
    <t>10-2300-300</t>
  </si>
  <si>
    <t>80-2300-300</t>
  </si>
  <si>
    <t>TORT-GENERAL ADMINISTRATION-PURCHASED SERVICES</t>
  </si>
  <si>
    <t>Project Compassion</t>
  </si>
  <si>
    <t>10-1000-300</t>
  </si>
  <si>
    <t>ED-INSTRUCTION-PURCHASED SERVICES</t>
  </si>
  <si>
    <t xml:space="preserve">Page 10, Other Local Revenue Account 1999 </t>
  </si>
  <si>
    <t xml:space="preserve">    Educational Fund - $175,821 Miscellaneous revenue from rental of building, stipdends and various refunds</t>
  </si>
  <si>
    <t xml:space="preserve">    O&amp;M Fund - $905 Miscellaneous revenue</t>
  </si>
  <si>
    <t xml:space="preserve">   Transporation - $55,983 - refund of transporation costs</t>
  </si>
  <si>
    <t xml:space="preserve">   Tort - $76,058 Refund of MissVic salaries</t>
  </si>
  <si>
    <t>Page 12, Other Restricted Revenue From State Sources</t>
  </si>
  <si>
    <t xml:space="preserve">    Educational Fund -  Other Restricted Grants (3999-HS and 3999-PS)</t>
  </si>
  <si>
    <t>Page 13, Title I Other</t>
  </si>
  <si>
    <t xml:space="preserve">    Educational Fund and Municipal Retirement Fund - Title I - School Improvement</t>
  </si>
  <si>
    <t>Page 13, CTE Other</t>
  </si>
  <si>
    <t xml:space="preserve">    Educational Fund - Perkins Grant</t>
  </si>
  <si>
    <t>Page 14, Other Restricted Revenue from Federal Sources</t>
  </si>
  <si>
    <t xml:space="preserve">    Educational Fund - Americorps - $173,611, STEP $3280 and ROE $500</t>
  </si>
  <si>
    <t>Page 16, Other Support Services</t>
  </si>
  <si>
    <t xml:space="preserve">    Educational Fund - Salaries, benefits, services and supplies for Title grants </t>
  </si>
  <si>
    <t>Page 16, Other payments to In state govt</t>
  </si>
  <si>
    <t xml:space="preserve">    Educational Fund - Payments to local government for SRO's</t>
  </si>
  <si>
    <t>Cahokia CUSD 187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</si>
</sst>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5">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60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38" fontId="54" fillId="0" borderId="2" xfId="9" applyNumberFormat="1" applyFont="1" applyFill="1" applyBorder="1" applyAlignment="1" applyProtection="1">
      <alignment horizontal="right" vertical="center"/>
      <protection locked="0"/>
    </xf>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38" fontId="54" fillId="0" borderId="2" xfId="0" applyNumberFormat="1" applyFont="1" applyFill="1" applyBorder="1" applyAlignment="1" applyProtection="1">
      <alignment horizontal="right"/>
      <protection locked="0"/>
    </xf>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4" fillId="0" borderId="2" xfId="0" applyFont="1" applyFill="1" applyBorder="1" applyAlignment="1" applyProtection="1">
      <alignment horizontal="right"/>
      <protection locked="0"/>
    </xf>
    <xf numFmtId="3" fontId="61" fillId="0" borderId="22" xfId="3" applyNumberFormat="1" applyFont="1" applyBorder="1" applyAlignment="1" applyProtection="1">
      <alignment horizontal="left" vertical="center" wrapText="1"/>
      <protection locked="0"/>
    </xf>
    <xf numFmtId="3" fontId="61" fillId="0" borderId="22" xfId="3" applyNumberFormat="1" applyFont="1" applyBorder="1" applyAlignment="1" applyProtection="1">
      <alignment horizontal="left" vertical="center" wrapText="1"/>
      <protection locked="0"/>
    </xf>
    <xf numFmtId="3" fontId="61" fillId="0" borderId="22" xfId="3" applyNumberFormat="1" applyFont="1" applyBorder="1" applyAlignment="1" applyProtection="1">
      <alignment horizontal="left" vertical="center" wrapText="1"/>
      <protection locked="0"/>
    </xf>
    <xf numFmtId="0" fontId="56" fillId="0" borderId="0" xfId="3" applyFont="1" applyProtection="1"/>
    <xf numFmtId="0" fontId="61" fillId="0" borderId="0" xfId="3" applyFont="1" applyBorder="1" applyAlignment="1" applyProtection="1">
      <alignment horizontal="center"/>
    </xf>
    <xf numFmtId="0" fontId="61" fillId="0" borderId="0" xfId="3" applyFont="1" applyBorder="1" applyProtection="1"/>
    <xf numFmtId="0" fontId="56" fillId="0" borderId="0" xfId="3" applyFont="1" applyAlignment="1" applyProtection="1">
      <alignment horizontal="center"/>
    </xf>
    <xf numFmtId="0" fontId="53" fillId="0" borderId="0" xfId="3" applyFont="1" applyProtection="1"/>
    <xf numFmtId="0" fontId="53" fillId="0" borderId="0" xfId="3" applyFont="1" applyFill="1" applyProtection="1"/>
    <xf numFmtId="0" fontId="56" fillId="0" borderId="0" xfId="3" applyFont="1" applyFill="1" applyProtection="1"/>
    <xf numFmtId="0" fontId="54" fillId="0" borderId="0" xfId="3" applyFont="1" applyProtection="1"/>
    <xf numFmtId="0" fontId="56" fillId="0" borderId="78" xfId="3" applyFont="1" applyBorder="1" applyProtection="1"/>
    <xf numFmtId="0" fontId="61" fillId="0" borderId="0" xfId="3" applyFont="1" applyProtection="1"/>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0" fontId="63" fillId="0" borderId="5" xfId="3" applyFont="1" applyFill="1" applyBorder="1" applyAlignment="1" applyProtection="1"/>
    <xf numFmtId="0" fontId="53" fillId="0" borderId="0" xfId="3" applyFont="1" applyAlignment="1" applyProtection="1">
      <alignment horizontal="center" vertical="center"/>
    </xf>
    <xf numFmtId="179" fontId="106" fillId="0" borderId="0" xfId="3" applyNumberFormat="1" applyFont="1" applyBorder="1" applyProtection="1">
      <protection locked="0"/>
    </xf>
    <xf numFmtId="0" fontId="106" fillId="0" borderId="0" xfId="3" applyFont="1" applyProtection="1">
      <protection locked="0"/>
    </xf>
    <xf numFmtId="179" fontId="106" fillId="0" borderId="0" xfId="3" applyNumberFormat="1" applyFont="1" applyBorder="1" applyAlignment="1" applyProtection="1">
      <alignment horizontal="left"/>
      <protection locked="0"/>
    </xf>
    <xf numFmtId="0" fontId="56" fillId="0" borderId="0" xfId="3" applyFont="1" applyProtection="1">
      <protection locked="0"/>
    </xf>
    <xf numFmtId="0" fontId="106" fillId="0" borderId="0" xfId="3" applyFont="1" applyProtection="1">
      <protection locked="0"/>
    </xf>
    <xf numFmtId="179" fontId="106" fillId="0" borderId="0" xfId="3" applyNumberFormat="1" applyFont="1" applyProtection="1">
      <protection locked="0"/>
    </xf>
    <xf numFmtId="179" fontId="106" fillId="0" borderId="0" xfId="3" applyNumberFormat="1" applyFont="1" applyAlignment="1" applyProtection="1">
      <alignment horizontal="left"/>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5">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99535A51-D552-4EF2-9D9D-D874A2A7B3A3}"/>
    <cellStyle name="Normal 3 2 3" xfId="20" xr:uid="{31E66627-E484-450F-A356-06FF660A1834}"/>
    <cellStyle name="Normal 3 3" xfId="19" xr:uid="{AC2EC5D9-06D3-4282-8624-4195911538C7}"/>
    <cellStyle name="Normal 4" xfId="16" xr:uid="{00000000-0005-0000-0000-000008000000}"/>
    <cellStyle name="Normal 4 2" xfId="24" xr:uid="{304BAED2-B656-4B67-A873-3D832EA1497A}"/>
    <cellStyle name="Normal 4 3" xfId="21" xr:uid="{D1C2EFA6-C9B7-451C-914F-72A66D5DB1FB}"/>
    <cellStyle name="Normal 5" xfId="17" xr:uid="{00000000-0005-0000-0000-000009000000}"/>
    <cellStyle name="Normal 5 2" xfId="22" xr:uid="{12382C27-9A38-4F56-9DFD-7C5E06AECBF8}"/>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121227</xdr:rowOff>
        </xdr:from>
        <xdr:to>
          <xdr:col>1</xdr:col>
          <xdr:colOff>914400</xdr:colOff>
          <xdr:row>6</xdr:row>
          <xdr:rowOff>118629</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1021773</xdr:colOff>
          <xdr:row>2</xdr:row>
          <xdr:rowOff>129886</xdr:rowOff>
        </xdr:from>
        <xdr:to>
          <xdr:col>1</xdr:col>
          <xdr:colOff>1913660</xdr:colOff>
          <xdr:row>6</xdr:row>
          <xdr:rowOff>127288</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F37927C9-42A0-4E86-BD53-AEDAEC0D5506}"/>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BFC108A3-CAFA-46AB-8643-839CEA001B6D}"/>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7C5FF454-E346-4588-8C04-E5BCBB689B67}"/>
            </a:ext>
          </a:extLst>
        </xdr:cNvPr>
        <xdr:cNvSpPr txBox="1">
          <a:spLocks noChangeArrowheads="1"/>
        </xdr:cNvSpPr>
      </xdr:nvSpPr>
      <xdr:spPr bwMode="auto">
        <a:xfrm>
          <a:off x="243840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43F4C5CA-2052-4B13-8FCE-659994984583}"/>
            </a:ext>
          </a:extLst>
        </xdr:cNvPr>
        <xdr:cNvSpPr>
          <a:spLocks noChangeArrowheads="1"/>
        </xdr:cNvSpPr>
      </xdr:nvSpPr>
      <xdr:spPr bwMode="auto">
        <a:xfrm>
          <a:off x="3947160" y="153162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98" t="s">
        <v>405</v>
      </c>
      <c r="J1" s="2099"/>
      <c r="K1" s="2099"/>
      <c r="L1" s="2099"/>
      <c r="M1" s="2099"/>
      <c r="N1" s="2099"/>
      <c r="O1" s="2099"/>
      <c r="P1" s="2099"/>
      <c r="Q1" s="2099"/>
      <c r="R1" s="2099"/>
      <c r="S1" s="2099"/>
    </row>
    <row r="2" spans="1:28" ht="12" customHeight="1" x14ac:dyDescent="0.2">
      <c r="A2" s="47" t="s">
        <v>1988</v>
      </c>
      <c r="D2" s="48"/>
      <c r="I2" s="2100" t="s">
        <v>979</v>
      </c>
      <c r="J2" s="2099"/>
      <c r="K2" s="2099"/>
      <c r="L2" s="2099"/>
      <c r="M2" s="2099"/>
      <c r="N2" s="2099"/>
      <c r="O2" s="2099"/>
      <c r="P2" s="2099"/>
      <c r="Q2" s="2099"/>
      <c r="R2" s="2099"/>
      <c r="S2" s="2099"/>
    </row>
    <row r="3" spans="1:28" ht="12" customHeight="1" x14ac:dyDescent="0.2">
      <c r="A3" s="155" t="s">
        <v>1940</v>
      </c>
      <c r="B3" s="156"/>
      <c r="C3" s="156"/>
      <c r="D3" s="157"/>
      <c r="I3" s="2100" t="s">
        <v>52</v>
      </c>
      <c r="J3" s="2099"/>
      <c r="K3" s="2099"/>
      <c r="L3" s="2099"/>
      <c r="M3" s="2099"/>
      <c r="N3" s="2099"/>
      <c r="O3" s="2099"/>
      <c r="P3" s="2099"/>
      <c r="Q3" s="2099"/>
      <c r="R3" s="2099"/>
      <c r="S3" s="2099"/>
    </row>
    <row r="4" spans="1:28" ht="12" customHeight="1" x14ac:dyDescent="0.2">
      <c r="A4" s="37"/>
      <c r="I4" s="2100" t="s">
        <v>524</v>
      </c>
      <c r="J4" s="2099"/>
      <c r="K4" s="2099"/>
      <c r="L4" s="2099"/>
      <c r="M4" s="2099"/>
      <c r="N4" s="2099"/>
      <c r="O4" s="2099"/>
      <c r="P4" s="2099"/>
      <c r="Q4" s="2099"/>
      <c r="R4" s="2099"/>
      <c r="S4" s="2099"/>
    </row>
    <row r="5" spans="1:28" ht="14.1" customHeight="1" x14ac:dyDescent="0.2">
      <c r="B5" s="104" t="s">
        <v>2085</v>
      </c>
      <c r="C5" s="26" t="s">
        <v>910</v>
      </c>
      <c r="D5" s="84"/>
      <c r="E5" s="84"/>
      <c r="H5" s="38"/>
      <c r="I5" s="2108" t="s">
        <v>680</v>
      </c>
      <c r="J5" s="2107"/>
      <c r="K5" s="2107"/>
      <c r="L5" s="2107"/>
      <c r="M5" s="2107"/>
      <c r="N5" s="2107"/>
      <c r="O5" s="2107"/>
      <c r="P5" s="2107"/>
      <c r="Q5" s="2107"/>
      <c r="R5" s="2107"/>
      <c r="S5" s="2107"/>
    </row>
    <row r="6" spans="1:28" ht="14.1" customHeight="1" x14ac:dyDescent="0.2">
      <c r="B6" s="104"/>
      <c r="C6" s="26" t="s">
        <v>911</v>
      </c>
      <c r="D6" s="84"/>
      <c r="E6" s="84"/>
      <c r="I6" s="2106" t="s">
        <v>883</v>
      </c>
      <c r="J6" s="2107"/>
      <c r="K6" s="2107"/>
      <c r="L6" s="2107"/>
      <c r="M6" s="2107"/>
      <c r="N6" s="2107"/>
      <c r="O6" s="2107"/>
      <c r="P6" s="2107"/>
      <c r="Q6" s="2107"/>
      <c r="R6" s="2107"/>
      <c r="S6" s="2107"/>
    </row>
    <row r="7" spans="1:28" ht="12.2" customHeight="1" x14ac:dyDescent="0.2">
      <c r="I7" s="2101">
        <v>43646</v>
      </c>
      <c r="J7" s="2102"/>
      <c r="K7" s="2102"/>
      <c r="L7" s="2102"/>
      <c r="M7" s="2102"/>
      <c r="N7" s="2102"/>
      <c r="O7" s="2102"/>
      <c r="P7" s="2102"/>
      <c r="Q7" s="2102"/>
      <c r="R7" s="2102"/>
      <c r="S7" s="21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03" t="s">
        <v>674</v>
      </c>
      <c r="J9" s="2104"/>
      <c r="K9" s="2104"/>
      <c r="L9" s="2104"/>
      <c r="M9" s="2104"/>
      <c r="N9" s="2104"/>
      <c r="O9" s="2104"/>
      <c r="P9" s="2104"/>
      <c r="Q9" s="2104"/>
      <c r="R9" s="2104"/>
      <c r="S9" s="2105"/>
      <c r="T9" s="2119" t="s">
        <v>533</v>
      </c>
      <c r="U9" s="2120"/>
      <c r="V9" s="2120"/>
      <c r="W9" s="2120"/>
      <c r="X9" s="2120"/>
      <c r="Y9" s="2120"/>
      <c r="Z9" s="2120"/>
      <c r="AA9" s="2121"/>
    </row>
    <row r="10" spans="1:28" ht="13.5" customHeight="1" x14ac:dyDescent="0.2">
      <c r="A10" s="2126" t="s">
        <v>675</v>
      </c>
      <c r="B10" s="2127"/>
      <c r="C10" s="2127"/>
      <c r="D10" s="2127"/>
      <c r="E10" s="2127"/>
      <c r="F10" s="2127"/>
      <c r="G10" s="2127"/>
      <c r="H10" s="2128"/>
      <c r="I10" s="29"/>
      <c r="J10" s="30"/>
      <c r="K10" s="28"/>
      <c r="R10" s="30"/>
      <c r="S10" s="30"/>
      <c r="T10" s="2122"/>
      <c r="U10" s="2107"/>
      <c r="V10" s="2107"/>
      <c r="W10" s="2107"/>
      <c r="X10" s="2107"/>
      <c r="Y10" s="2107"/>
      <c r="Z10" s="2107"/>
      <c r="AA10" s="2113"/>
    </row>
    <row r="11" spans="1:28" ht="14.25" customHeight="1" x14ac:dyDescent="0.2">
      <c r="A11" s="2129" t="s">
        <v>955</v>
      </c>
      <c r="B11" s="2130"/>
      <c r="C11" s="2130"/>
      <c r="D11" s="2130"/>
      <c r="E11" s="2130"/>
      <c r="F11" s="2130"/>
      <c r="G11" s="2130"/>
      <c r="H11" s="2131"/>
      <c r="I11" s="27"/>
      <c r="J11" s="74"/>
      <c r="K11" s="27"/>
      <c r="O11" s="148"/>
      <c r="P11" s="100" t="s">
        <v>201</v>
      </c>
      <c r="Q11" s="30"/>
      <c r="R11" s="28"/>
      <c r="S11" s="27"/>
      <c r="T11" s="2123"/>
      <c r="U11" s="2124"/>
      <c r="V11" s="2124"/>
      <c r="W11" s="2124"/>
      <c r="X11" s="2124"/>
      <c r="Y11" s="2124"/>
      <c r="Z11" s="2124"/>
      <c r="AA11" s="2125"/>
    </row>
    <row r="12" spans="1:28" ht="13.5" customHeight="1" x14ac:dyDescent="0.2">
      <c r="A12" s="85" t="s">
        <v>925</v>
      </c>
      <c r="B12" s="76"/>
      <c r="C12" s="76"/>
      <c r="D12" s="76"/>
      <c r="E12" s="76"/>
      <c r="F12" s="76"/>
      <c r="G12" s="76"/>
      <c r="H12" s="53"/>
      <c r="I12" s="29"/>
      <c r="J12" s="30"/>
      <c r="K12" s="28"/>
      <c r="O12" s="149" t="s">
        <v>2085</v>
      </c>
      <c r="P12" s="100" t="s">
        <v>202</v>
      </c>
      <c r="Q12" s="74"/>
      <c r="R12" s="30"/>
      <c r="S12" s="30"/>
      <c r="T12" s="85" t="s">
        <v>265</v>
      </c>
      <c r="U12" s="51"/>
      <c r="V12" s="51"/>
      <c r="W12" s="51"/>
      <c r="X12" s="51"/>
      <c r="Y12" s="45"/>
      <c r="Z12" s="45"/>
      <c r="AA12" s="46"/>
    </row>
    <row r="13" spans="1:28" ht="13.5" customHeight="1" x14ac:dyDescent="0.2">
      <c r="A13" s="2133">
        <v>50082187026</v>
      </c>
      <c r="B13" s="2134"/>
      <c r="C13" s="2134"/>
      <c r="D13" s="2134"/>
      <c r="E13" s="2134"/>
      <c r="F13" s="2134"/>
      <c r="G13" s="2134"/>
      <c r="H13" s="2135"/>
      <c r="I13" s="31"/>
      <c r="J13" s="30"/>
      <c r="K13" s="28"/>
      <c r="L13" s="30"/>
      <c r="M13" s="30"/>
      <c r="N13" s="30"/>
      <c r="O13" s="30"/>
      <c r="P13" s="30"/>
      <c r="Q13" s="30"/>
      <c r="R13" s="30"/>
      <c r="S13" s="30"/>
      <c r="T13" s="2138" t="s">
        <v>2090</v>
      </c>
      <c r="U13" s="2139"/>
      <c r="V13" s="2139"/>
      <c r="W13" s="2139"/>
      <c r="X13" s="2139"/>
      <c r="Y13" s="2140"/>
      <c r="Z13" s="2140"/>
      <c r="AA13" s="214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132" t="s">
        <v>2086</v>
      </c>
      <c r="B15" s="2136"/>
      <c r="C15" s="2136"/>
      <c r="D15" s="2136"/>
      <c r="E15" s="2136"/>
      <c r="F15" s="2136"/>
      <c r="G15" s="2136"/>
      <c r="H15" s="2137"/>
      <c r="T15" s="2142" t="s">
        <v>2091</v>
      </c>
      <c r="U15" s="2086"/>
      <c r="V15" s="2086"/>
      <c r="W15" s="2086"/>
      <c r="X15" s="2086"/>
      <c r="Y15" s="2143"/>
      <c r="Z15" s="2143"/>
      <c r="AA15" s="214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92" t="s">
        <v>2273</v>
      </c>
      <c r="B17" s="2093"/>
      <c r="C17" s="2093"/>
      <c r="D17" s="2093"/>
      <c r="E17" s="2093"/>
      <c r="F17" s="2093"/>
      <c r="G17" s="2093"/>
      <c r="H17" s="2118"/>
      <c r="T17" s="2149" t="s">
        <v>2092</v>
      </c>
      <c r="U17" s="2150"/>
      <c r="V17" s="2150"/>
      <c r="W17" s="2150"/>
      <c r="X17" s="2150"/>
      <c r="Y17" s="2150"/>
      <c r="Z17" s="2150"/>
      <c r="AA17" s="2151"/>
    </row>
    <row r="18" spans="1:27" ht="13.5" customHeight="1" x14ac:dyDescent="0.2">
      <c r="A18" s="85" t="s">
        <v>530</v>
      </c>
      <c r="B18" s="76"/>
      <c r="C18" s="72"/>
      <c r="D18" s="76"/>
      <c r="E18" s="76"/>
      <c r="F18" s="76"/>
      <c r="G18" s="76"/>
      <c r="H18" s="56"/>
      <c r="I18" s="2117" t="s">
        <v>676</v>
      </c>
      <c r="J18" s="2068"/>
      <c r="K18" s="2068"/>
      <c r="L18" s="2068"/>
      <c r="M18" s="2068"/>
      <c r="N18" s="2068"/>
      <c r="O18" s="2068"/>
      <c r="P18" s="2068"/>
      <c r="Q18" s="2068"/>
      <c r="R18" s="2068"/>
      <c r="S18" s="2069"/>
      <c r="T18" s="85" t="s">
        <v>711</v>
      </c>
      <c r="U18" s="51"/>
      <c r="V18" s="72"/>
      <c r="W18" s="50"/>
      <c r="X18" s="85" t="s">
        <v>266</v>
      </c>
      <c r="Y18" s="81"/>
      <c r="Z18" s="159" t="s">
        <v>677</v>
      </c>
      <c r="AA18" s="46"/>
    </row>
    <row r="19" spans="1:27" ht="13.5" customHeight="1" x14ac:dyDescent="0.2">
      <c r="A19" s="2132" t="s">
        <v>2087</v>
      </c>
      <c r="B19" s="2078"/>
      <c r="C19" s="2078"/>
      <c r="D19" s="2078"/>
      <c r="E19" s="2078"/>
      <c r="F19" s="2078"/>
      <c r="G19" s="2078"/>
      <c r="H19" s="2058"/>
      <c r="I19" s="30"/>
      <c r="J19" s="99"/>
      <c r="K19" s="40"/>
      <c r="L19" s="38"/>
      <c r="M19" s="112" t="s">
        <v>315</v>
      </c>
      <c r="P19" s="27"/>
      <c r="Q19" s="27"/>
      <c r="R19" s="27"/>
      <c r="S19" s="31"/>
      <c r="T19" s="2132" t="s">
        <v>2093</v>
      </c>
      <c r="U19" s="2057"/>
      <c r="V19" s="2057"/>
      <c r="W19" s="2058"/>
      <c r="X19" s="2147" t="s">
        <v>2094</v>
      </c>
      <c r="Y19" s="2148"/>
      <c r="Z19" s="2145">
        <v>62220</v>
      </c>
      <c r="AA19" s="214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56" t="s">
        <v>2088</v>
      </c>
      <c r="B21" s="2057"/>
      <c r="C21" s="2057"/>
      <c r="D21" s="2057"/>
      <c r="E21" s="2057"/>
      <c r="F21" s="2057"/>
      <c r="G21" s="2057"/>
      <c r="H21" s="2058"/>
      <c r="I21" s="2112" t="s">
        <v>678</v>
      </c>
      <c r="J21" s="2107"/>
      <c r="K21" s="2107"/>
      <c r="L21" s="2107"/>
      <c r="M21" s="2107"/>
      <c r="N21" s="2107"/>
      <c r="O21" s="2107"/>
      <c r="P21" s="2107"/>
      <c r="Q21" s="2107"/>
      <c r="R21" s="2107"/>
      <c r="S21" s="2113"/>
      <c r="T21" s="2156" t="s">
        <v>2095</v>
      </c>
      <c r="U21" s="2157"/>
      <c r="V21" s="2157"/>
      <c r="W21" s="2157"/>
      <c r="X21" s="2162" t="s">
        <v>2096</v>
      </c>
      <c r="Y21" s="2163"/>
      <c r="Z21" s="2163"/>
      <c r="AA21" s="2164"/>
    </row>
    <row r="22" spans="1:27" ht="13.5" customHeight="1" x14ac:dyDescent="0.2">
      <c r="A22" s="87" t="s">
        <v>531</v>
      </c>
      <c r="B22" s="59"/>
      <c r="C22" s="59"/>
      <c r="D22" s="59"/>
      <c r="E22" s="59"/>
      <c r="F22" s="59"/>
      <c r="G22" s="59"/>
      <c r="H22" s="60"/>
      <c r="I22" s="2114" t="s">
        <v>1429</v>
      </c>
      <c r="J22" s="2115"/>
      <c r="K22" s="2115"/>
      <c r="L22" s="2115"/>
      <c r="M22" s="2115"/>
      <c r="N22" s="2115"/>
      <c r="O22" s="2115"/>
      <c r="P22" s="2115"/>
      <c r="Q22" s="2115"/>
      <c r="R22" s="2115"/>
      <c r="S22" s="2116"/>
      <c r="T22" s="85" t="s">
        <v>1516</v>
      </c>
      <c r="U22" s="51"/>
      <c r="V22" s="72"/>
      <c r="W22" s="51"/>
      <c r="X22" s="160" t="s">
        <v>1318</v>
      </c>
      <c r="Z22" s="45"/>
      <c r="AA22" s="46"/>
    </row>
    <row r="23" spans="1:27" ht="13.5" customHeight="1" x14ac:dyDescent="0.2">
      <c r="A23" s="2109" t="s">
        <v>2089</v>
      </c>
      <c r="B23" s="2110"/>
      <c r="C23" s="2110"/>
      <c r="D23" s="2110"/>
      <c r="E23" s="2110"/>
      <c r="F23" s="2110"/>
      <c r="G23" s="2110"/>
      <c r="H23" s="2111"/>
      <c r="T23" s="2092" t="s">
        <v>2097</v>
      </c>
      <c r="U23" s="2155"/>
      <c r="V23" s="2155"/>
      <c r="W23" s="2155"/>
      <c r="X23" s="2159">
        <v>44469</v>
      </c>
      <c r="Y23" s="2160"/>
      <c r="Z23" s="2160"/>
      <c r="AA23" s="2161"/>
    </row>
    <row r="24" spans="1:27" ht="14.1" customHeight="1" x14ac:dyDescent="0.2">
      <c r="A24" s="88" t="s">
        <v>677</v>
      </c>
      <c r="B24" s="49"/>
      <c r="C24" s="49"/>
      <c r="D24" s="49"/>
      <c r="E24" s="49"/>
      <c r="F24" s="49"/>
      <c r="G24" s="49"/>
      <c r="H24" s="61"/>
      <c r="J24" s="2079">
        <f>IF(B5="x",IF(AUDITCHECK!D29="AFR form Incomplete.","",IF(AUDITCHECK!D29="Deficit reduction plan is required.","School District must complete a deficit reduction plan in the 2019-2020 Budget",)),"")</f>
        <v>0</v>
      </c>
      <c r="K24" s="2079"/>
      <c r="L24" s="2079"/>
      <c r="M24" s="2079"/>
      <c r="N24" s="2079"/>
      <c r="O24" s="2079"/>
      <c r="P24" s="2079"/>
      <c r="Q24" s="2079"/>
      <c r="R24" s="2079"/>
      <c r="S24" s="2080"/>
      <c r="T24" s="105" t="s">
        <v>531</v>
      </c>
      <c r="U24" s="106"/>
      <c r="V24" s="106"/>
      <c r="W24" s="106"/>
      <c r="X24" s="107"/>
      <c r="Y24" s="107"/>
      <c r="Z24" s="107"/>
      <c r="AA24" s="108"/>
    </row>
    <row r="25" spans="1:27" ht="14.1" customHeight="1" x14ac:dyDescent="0.2">
      <c r="A25" s="2056">
        <v>62206</v>
      </c>
      <c r="B25" s="2057"/>
      <c r="C25" s="2057"/>
      <c r="D25" s="2057"/>
      <c r="E25" s="2057"/>
      <c r="F25" s="2057"/>
      <c r="G25" s="2057"/>
      <c r="H25" s="2058"/>
      <c r="I25" s="113"/>
      <c r="J25" s="2081"/>
      <c r="K25" s="2081"/>
      <c r="L25" s="2081"/>
      <c r="M25" s="2081"/>
      <c r="N25" s="2081"/>
      <c r="O25" s="2081"/>
      <c r="P25" s="2081"/>
      <c r="Q25" s="2081"/>
      <c r="R25" s="2081"/>
      <c r="S25" s="2082"/>
      <c r="T25" s="2152" t="s">
        <v>2098</v>
      </c>
      <c r="U25" s="2153"/>
      <c r="V25" s="2153"/>
      <c r="W25" s="2153"/>
      <c r="X25" s="2153"/>
      <c r="Y25" s="2153"/>
      <c r="Z25" s="2153"/>
      <c r="AA25" s="21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67" t="s">
        <v>1511</v>
      </c>
      <c r="J27" s="2068"/>
      <c r="K27" s="2068"/>
      <c r="L27" s="2068"/>
      <c r="M27" s="2068"/>
      <c r="N27" s="2068"/>
      <c r="O27" s="2068"/>
      <c r="P27" s="2068"/>
      <c r="Q27" s="2068"/>
      <c r="R27" s="2068"/>
      <c r="S27" s="206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2102</v>
      </c>
      <c r="F29" s="141" t="s">
        <v>1316</v>
      </c>
      <c r="G29" s="114"/>
      <c r="I29" s="54"/>
      <c r="J29" s="148" t="s">
        <v>2085</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2085</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2085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78"/>
      <c r="Q35" s="2057"/>
      <c r="R35" s="20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92" t="s">
        <v>2099</v>
      </c>
      <c r="B38" s="2093"/>
      <c r="C38" s="2093"/>
      <c r="D38" s="2093"/>
      <c r="E38" s="2093"/>
      <c r="F38" s="2057"/>
      <c r="G38" s="2057"/>
      <c r="H38" s="2058"/>
      <c r="I38" s="2085"/>
      <c r="J38" s="2086"/>
      <c r="K38" s="2086"/>
      <c r="L38" s="2086"/>
      <c r="M38" s="2086"/>
      <c r="N38" s="2086"/>
      <c r="O38" s="2086"/>
      <c r="P38" s="2087"/>
      <c r="Q38" s="2087"/>
      <c r="R38" s="2087"/>
      <c r="S38" s="2088"/>
      <c r="T38" s="2142"/>
      <c r="U38" s="2086"/>
      <c r="V38" s="2086"/>
      <c r="W38" s="2086"/>
      <c r="X38" s="2087"/>
      <c r="Y38" s="2087"/>
      <c r="Z38" s="2087"/>
      <c r="AA38" s="2088"/>
    </row>
    <row r="39" spans="1:27" ht="12" customHeight="1" x14ac:dyDescent="0.2">
      <c r="A39" s="2062" t="s">
        <v>531</v>
      </c>
      <c r="B39" s="2063"/>
      <c r="C39" s="72"/>
      <c r="D39" s="69"/>
      <c r="E39" s="69"/>
      <c r="F39" s="79"/>
      <c r="G39" s="69"/>
      <c r="H39" s="56"/>
      <c r="I39" s="2062" t="s">
        <v>531</v>
      </c>
      <c r="J39" s="2063"/>
      <c r="K39" s="2063"/>
      <c r="L39" s="2063"/>
      <c r="M39" s="2063"/>
      <c r="N39" s="67"/>
      <c r="O39" s="72"/>
      <c r="P39" s="72"/>
      <c r="Q39" s="78"/>
      <c r="R39" s="72"/>
      <c r="S39" s="56"/>
      <c r="T39" s="72" t="s">
        <v>531</v>
      </c>
      <c r="U39" s="51"/>
      <c r="V39" s="72"/>
      <c r="W39" s="50"/>
      <c r="X39" s="78"/>
      <c r="Y39" s="45"/>
      <c r="Z39" s="45"/>
      <c r="AA39" s="46"/>
    </row>
    <row r="40" spans="1:27" ht="13.5" customHeight="1" x14ac:dyDescent="0.2">
      <c r="A40" s="2070" t="s">
        <v>2089</v>
      </c>
      <c r="B40" s="2071"/>
      <c r="C40" s="2072"/>
      <c r="D40" s="2072"/>
      <c r="E40" s="2072"/>
      <c r="F40" s="2073"/>
      <c r="G40" s="2073"/>
      <c r="H40" s="2074"/>
      <c r="I40" s="2095"/>
      <c r="J40" s="2096"/>
      <c r="K40" s="2096"/>
      <c r="L40" s="2096"/>
      <c r="M40" s="2096"/>
      <c r="N40" s="2096"/>
      <c r="O40" s="2096"/>
      <c r="P40" s="2096"/>
      <c r="Q40" s="2096"/>
      <c r="R40" s="2096"/>
      <c r="S40" s="2097"/>
      <c r="T40" s="2095"/>
      <c r="U40" s="2158"/>
      <c r="V40" s="2096"/>
      <c r="W40" s="2096"/>
      <c r="X40" s="2096"/>
      <c r="Y40" s="2096"/>
      <c r="Z40" s="2096"/>
      <c r="AA40" s="209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84" t="s">
        <v>2100</v>
      </c>
      <c r="B42" s="2076"/>
      <c r="C42" s="2077"/>
      <c r="D42" s="2075" t="s">
        <v>2101</v>
      </c>
      <c r="E42" s="2076"/>
      <c r="F42" s="2076"/>
      <c r="G42" s="2076"/>
      <c r="H42" s="2077"/>
      <c r="I42" s="2059"/>
      <c r="J42" s="2060"/>
      <c r="K42" s="2060"/>
      <c r="L42" s="2060"/>
      <c r="M42" s="2060"/>
      <c r="N42" s="2060"/>
      <c r="O42" s="2061"/>
      <c r="P42" s="2094"/>
      <c r="Q42" s="2060"/>
      <c r="R42" s="2060"/>
      <c r="S42" s="2061"/>
      <c r="T42" s="2059"/>
      <c r="U42" s="2060"/>
      <c r="V42" s="2060"/>
      <c r="W42" s="2061"/>
      <c r="X42" s="2094"/>
      <c r="Y42" s="2060"/>
      <c r="Z42" s="2060"/>
      <c r="AA42" s="206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89"/>
      <c r="B44" s="2090"/>
      <c r="C44" s="2090"/>
      <c r="D44" s="2090"/>
      <c r="E44" s="2090"/>
      <c r="F44" s="2090"/>
      <c r="G44" s="2090"/>
      <c r="H44" s="2091"/>
      <c r="I44" s="2064"/>
      <c r="J44" s="2065"/>
      <c r="K44" s="2065"/>
      <c r="L44" s="2065"/>
      <c r="M44" s="2065"/>
      <c r="N44" s="2065"/>
      <c r="O44" s="2065"/>
      <c r="P44" s="2065"/>
      <c r="Q44" s="2065"/>
      <c r="R44" s="2065"/>
      <c r="S44" s="2066"/>
      <c r="T44" s="2064"/>
      <c r="U44" s="2083"/>
      <c r="V44" s="2083"/>
      <c r="W44" s="2083"/>
      <c r="X44" s="2083"/>
      <c r="Y44" s="2083"/>
      <c r="Z44" s="2065"/>
      <c r="AA44" s="206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5" sqref="B5"/>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298" t="s">
        <v>1799</v>
      </c>
      <c r="B2" s="1526" t="s">
        <v>1946</v>
      </c>
      <c r="C2" s="714" t="s">
        <v>1947</v>
      </c>
      <c r="D2" s="714" t="s">
        <v>1948</v>
      </c>
      <c r="E2" s="714" t="s">
        <v>1949</v>
      </c>
      <c r="F2" s="714" t="s">
        <v>1950</v>
      </c>
    </row>
    <row r="3" spans="1:6" ht="12" customHeight="1" x14ac:dyDescent="0.2">
      <c r="A3" s="2299"/>
      <c r="B3" s="1523"/>
      <c r="C3" s="1524"/>
      <c r="D3" s="1525" t="s">
        <v>256</v>
      </c>
      <c r="E3" s="1524"/>
      <c r="F3" s="1525" t="s">
        <v>257</v>
      </c>
    </row>
    <row r="4" spans="1:6" ht="13.7" customHeight="1" x14ac:dyDescent="0.2">
      <c r="A4" s="715" t="s">
        <v>1155</v>
      </c>
      <c r="B4" s="1747">
        <v>2065686</v>
      </c>
      <c r="C4" s="1522">
        <v>335532</v>
      </c>
      <c r="D4" s="1750">
        <f>B4-C4</f>
        <v>1730154</v>
      </c>
      <c r="E4" s="1522">
        <v>1772104</v>
      </c>
      <c r="F4" s="1750">
        <f>E4-C4</f>
        <v>1436572</v>
      </c>
    </row>
    <row r="5" spans="1:6" ht="13.7" customHeight="1" x14ac:dyDescent="0.2">
      <c r="A5" s="715" t="s">
        <v>870</v>
      </c>
      <c r="B5" s="1748">
        <v>300247</v>
      </c>
      <c r="C5" s="585">
        <v>48770</v>
      </c>
      <c r="D5" s="1751">
        <f t="shared" ref="D5:D18" si="0">B5-C5</f>
        <v>251477</v>
      </c>
      <c r="E5" s="585">
        <v>257573</v>
      </c>
      <c r="F5" s="1751">
        <f>E5-C5</f>
        <v>208803</v>
      </c>
    </row>
    <row r="6" spans="1:6" ht="13.7" customHeight="1" x14ac:dyDescent="0.2">
      <c r="A6" s="715" t="s">
        <v>411</v>
      </c>
      <c r="B6" s="1748">
        <v>2744550</v>
      </c>
      <c r="C6" s="585">
        <v>430901</v>
      </c>
      <c r="D6" s="1751">
        <f t="shared" si="0"/>
        <v>2313649</v>
      </c>
      <c r="E6" s="585">
        <v>2275780</v>
      </c>
      <c r="F6" s="1751">
        <f t="shared" ref="F6:F18" si="1">E6-C6</f>
        <v>1844879</v>
      </c>
    </row>
    <row r="7" spans="1:6" ht="13.7" customHeight="1" x14ac:dyDescent="0.2">
      <c r="A7" s="715" t="s">
        <v>155</v>
      </c>
      <c r="B7" s="1748">
        <v>160126</v>
      </c>
      <c r="C7" s="585">
        <v>26010</v>
      </c>
      <c r="D7" s="1751">
        <f t="shared" si="0"/>
        <v>134116</v>
      </c>
      <c r="E7" s="585">
        <v>137372</v>
      </c>
      <c r="F7" s="1751">
        <f t="shared" si="1"/>
        <v>111362</v>
      </c>
    </row>
    <row r="8" spans="1:6" ht="13.7" customHeight="1" x14ac:dyDescent="0.2">
      <c r="A8" s="715" t="s">
        <v>1179</v>
      </c>
      <c r="B8" s="1748">
        <v>864248</v>
      </c>
      <c r="C8" s="585">
        <v>141340</v>
      </c>
      <c r="D8" s="1751">
        <f t="shared" si="0"/>
        <v>722908</v>
      </c>
      <c r="E8" s="585">
        <v>746482</v>
      </c>
      <c r="F8" s="1751">
        <f t="shared" si="1"/>
        <v>605142</v>
      </c>
    </row>
    <row r="9" spans="1:6" ht="13.7" customHeight="1" x14ac:dyDescent="0.2">
      <c r="A9" s="715" t="s">
        <v>408</v>
      </c>
      <c r="B9" s="1748">
        <v>0</v>
      </c>
      <c r="C9" s="585"/>
      <c r="D9" s="1751">
        <f t="shared" si="0"/>
        <v>0</v>
      </c>
      <c r="E9" s="585"/>
      <c r="F9" s="1751">
        <f t="shared" si="1"/>
        <v>0</v>
      </c>
    </row>
    <row r="10" spans="1:6" ht="13.7" customHeight="1" x14ac:dyDescent="0.2">
      <c r="A10" s="715" t="s">
        <v>407</v>
      </c>
      <c r="B10" s="1748">
        <v>40030</v>
      </c>
      <c r="C10" s="585">
        <v>6503</v>
      </c>
      <c r="D10" s="1751">
        <f t="shared" si="0"/>
        <v>33527</v>
      </c>
      <c r="E10" s="585">
        <v>34343</v>
      </c>
      <c r="F10" s="1751">
        <f t="shared" si="1"/>
        <v>27840</v>
      </c>
    </row>
    <row r="11" spans="1:6" x14ac:dyDescent="0.2">
      <c r="A11" s="715" t="s">
        <v>409</v>
      </c>
      <c r="B11" s="1748">
        <v>3288964</v>
      </c>
      <c r="C11" s="585">
        <v>537882</v>
      </c>
      <c r="D11" s="1751">
        <f t="shared" si="0"/>
        <v>2751082</v>
      </c>
      <c r="E11" s="585">
        <v>2840792</v>
      </c>
      <c r="F11" s="1751">
        <f t="shared" si="1"/>
        <v>2302910</v>
      </c>
    </row>
    <row r="12" spans="1:6" ht="13.7" customHeight="1" x14ac:dyDescent="0.2">
      <c r="A12" s="715" t="s">
        <v>157</v>
      </c>
      <c r="B12" s="1748">
        <v>40030</v>
      </c>
      <c r="C12" s="585">
        <v>6503</v>
      </c>
      <c r="D12" s="1751">
        <f t="shared" si="0"/>
        <v>33527</v>
      </c>
      <c r="E12" s="585">
        <v>34343</v>
      </c>
      <c r="F12" s="1751">
        <f t="shared" si="1"/>
        <v>27840</v>
      </c>
    </row>
    <row r="13" spans="1:6" ht="13.7" customHeight="1" x14ac:dyDescent="0.2">
      <c r="A13" s="715" t="s">
        <v>936</v>
      </c>
      <c r="B13" s="1748">
        <v>40030</v>
      </c>
      <c r="C13" s="585">
        <v>6503</v>
      </c>
      <c r="D13" s="1751">
        <f t="shared" si="0"/>
        <v>33527</v>
      </c>
      <c r="E13" s="585">
        <v>34343</v>
      </c>
      <c r="F13" s="1751">
        <f t="shared" si="1"/>
        <v>27840</v>
      </c>
    </row>
    <row r="14" spans="1:6" ht="13.7" customHeight="1" x14ac:dyDescent="0.2">
      <c r="A14" s="715" t="s">
        <v>410</v>
      </c>
      <c r="B14" s="1748">
        <v>32028</v>
      </c>
      <c r="C14" s="585">
        <v>5201</v>
      </c>
      <c r="D14" s="1751">
        <f t="shared" si="0"/>
        <v>26827</v>
      </c>
      <c r="E14" s="585">
        <v>27474</v>
      </c>
      <c r="F14" s="1751">
        <f t="shared" si="1"/>
        <v>22273</v>
      </c>
    </row>
    <row r="15" spans="1:6" ht="13.7" customHeight="1" x14ac:dyDescent="0.2">
      <c r="A15" s="715" t="s">
        <v>1158</v>
      </c>
      <c r="B15" s="1748">
        <v>0</v>
      </c>
      <c r="C15" s="585"/>
      <c r="D15" s="1751">
        <f t="shared" si="0"/>
        <v>0</v>
      </c>
      <c r="E15" s="585"/>
      <c r="F15" s="1751">
        <f t="shared" si="1"/>
        <v>0</v>
      </c>
    </row>
    <row r="16" spans="1:6" ht="13.7" customHeight="1" x14ac:dyDescent="0.2">
      <c r="A16" s="715" t="s">
        <v>1159</v>
      </c>
      <c r="B16" s="1748">
        <v>629283</v>
      </c>
      <c r="C16" s="585">
        <v>102924</v>
      </c>
      <c r="D16" s="1751">
        <f t="shared" si="0"/>
        <v>526359</v>
      </c>
      <c r="E16" s="585">
        <v>543583</v>
      </c>
      <c r="F16" s="1751">
        <f t="shared" si="1"/>
        <v>440659</v>
      </c>
    </row>
    <row r="17" spans="1:6" ht="13.7" customHeight="1" x14ac:dyDescent="0.2">
      <c r="A17" s="715" t="s">
        <v>1160</v>
      </c>
      <c r="B17" s="1748">
        <v>0</v>
      </c>
      <c r="C17" s="585"/>
      <c r="D17" s="1751">
        <f t="shared" si="0"/>
        <v>0</v>
      </c>
      <c r="E17" s="585"/>
      <c r="F17" s="1751">
        <f t="shared" si="1"/>
        <v>0</v>
      </c>
    </row>
    <row r="18" spans="1:6" ht="13.7" customHeight="1" x14ac:dyDescent="0.2">
      <c r="A18" s="715" t="s">
        <v>762</v>
      </c>
      <c r="B18" s="1748">
        <v>0</v>
      </c>
      <c r="C18" s="585"/>
      <c r="D18" s="1751">
        <f t="shared" si="0"/>
        <v>0</v>
      </c>
      <c r="E18" s="585"/>
      <c r="F18" s="1751">
        <f t="shared" si="1"/>
        <v>0</v>
      </c>
    </row>
    <row r="19" spans="1:6" ht="13.7" customHeight="1" thickBot="1" x14ac:dyDescent="0.25">
      <c r="A19" s="1752" t="s">
        <v>1161</v>
      </c>
      <c r="B19" s="1749">
        <f>SUM(B4:B18)</f>
        <v>10205222</v>
      </c>
      <c r="C19" s="1749">
        <f>SUM(C4:C18)</f>
        <v>1648069</v>
      </c>
      <c r="D19" s="1749">
        <f>SUM(D4:D18)</f>
        <v>8557153</v>
      </c>
      <c r="E19" s="1749">
        <f>SUM(E4:E18)</f>
        <v>8704189</v>
      </c>
      <c r="F19" s="1749">
        <f>SUM(F4:F18)</f>
        <v>7056120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B5" sqref="B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20" t="s">
        <v>629</v>
      </c>
      <c r="B1" s="2318"/>
      <c r="C1" s="721"/>
    </row>
    <row r="2" spans="1:7" ht="33.75" x14ac:dyDescent="0.2">
      <c r="A2" s="2325" t="s">
        <v>1799</v>
      </c>
      <c r="B2" s="2326"/>
      <c r="C2" s="1882" t="s">
        <v>1951</v>
      </c>
      <c r="D2" s="723" t="s">
        <v>1952</v>
      </c>
      <c r="E2" s="723" t="s">
        <v>1953</v>
      </c>
      <c r="F2" s="1882" t="s">
        <v>1954</v>
      </c>
    </row>
    <row r="3" spans="1:7" ht="15.75" customHeight="1" x14ac:dyDescent="0.2">
      <c r="A3" s="2327" t="s">
        <v>1114</v>
      </c>
      <c r="B3" s="2328"/>
      <c r="C3" s="2321"/>
      <c r="D3" s="2322"/>
      <c r="E3" s="2322"/>
      <c r="F3" s="2323"/>
    </row>
    <row r="4" spans="1:7" ht="12.75" customHeight="1" thickBot="1" x14ac:dyDescent="0.25">
      <c r="A4" s="2315" t="s">
        <v>630</v>
      </c>
      <c r="B4" s="2316"/>
      <c r="C4" s="581"/>
      <c r="D4" s="581"/>
      <c r="E4" s="581"/>
      <c r="F4" s="1753">
        <f>SUM(C4+D4)-E4</f>
        <v>0</v>
      </c>
    </row>
    <row r="5" spans="1:7" ht="15.75" customHeight="1" thickTop="1" x14ac:dyDescent="0.2">
      <c r="A5" s="2319" t="s">
        <v>1110</v>
      </c>
      <c r="B5" s="2314"/>
      <c r="C5" s="2308"/>
      <c r="D5" s="2309"/>
      <c r="E5" s="2309"/>
      <c r="F5" s="2310"/>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311" t="s">
        <v>631</v>
      </c>
      <c r="B15" s="2312"/>
      <c r="C15" s="1753">
        <f>SUM(C6:C14)</f>
        <v>0</v>
      </c>
      <c r="D15" s="1753">
        <f>SUM(D6:D14)</f>
        <v>0</v>
      </c>
      <c r="E15" s="1753">
        <f>SUM(E6:E14)</f>
        <v>0</v>
      </c>
      <c r="F15" s="1753">
        <f>SUM(F6:F14)</f>
        <v>0</v>
      </c>
      <c r="G15" s="552"/>
    </row>
    <row r="16" spans="1:7" s="202" customFormat="1" ht="15.75" customHeight="1" thickTop="1" x14ac:dyDescent="0.2">
      <c r="A16" s="2324" t="s">
        <v>1111</v>
      </c>
      <c r="B16" s="2314"/>
      <c r="C16" s="2308"/>
      <c r="D16" s="2309"/>
      <c r="E16" s="2309"/>
      <c r="F16" s="2310"/>
    </row>
    <row r="17" spans="1:11" ht="12.75" customHeight="1" thickBot="1" x14ac:dyDescent="0.25">
      <c r="A17" s="2306" t="s">
        <v>64</v>
      </c>
      <c r="B17" s="2307"/>
      <c r="C17" s="726"/>
      <c r="D17" s="585"/>
      <c r="E17" s="726"/>
      <c r="F17" s="1753">
        <f>SUM(C17+D17)-E17</f>
        <v>0</v>
      </c>
    </row>
    <row r="18" spans="1:11" ht="12.75" customHeight="1" thickTop="1" thickBot="1" x14ac:dyDescent="0.25">
      <c r="A18" s="2306" t="s">
        <v>6</v>
      </c>
      <c r="B18" s="2307"/>
      <c r="C18" s="726"/>
      <c r="D18" s="585"/>
      <c r="E18" s="726"/>
      <c r="F18" s="1753">
        <f>SUM(C18+D18)-E18</f>
        <v>0</v>
      </c>
    </row>
    <row r="19" spans="1:11" ht="12.75" customHeight="1" thickTop="1" thickBot="1" x14ac:dyDescent="0.25">
      <c r="A19" s="2306" t="s">
        <v>388</v>
      </c>
      <c r="B19" s="2307"/>
      <c r="C19" s="726"/>
      <c r="D19" s="585"/>
      <c r="E19" s="726"/>
      <c r="F19" s="1753">
        <f>SUM(C19+D19)-E19</f>
        <v>0</v>
      </c>
    </row>
    <row r="20" spans="1:11" ht="12.75" customHeight="1" thickTop="1" thickBot="1" x14ac:dyDescent="0.25">
      <c r="A20" s="2306" t="s">
        <v>448</v>
      </c>
      <c r="B20" s="2307"/>
      <c r="C20" s="726"/>
      <c r="D20" s="585"/>
      <c r="E20" s="726"/>
      <c r="F20" s="1753">
        <f>SUM(C20+D20)-E20</f>
        <v>0</v>
      </c>
    </row>
    <row r="21" spans="1:11" ht="14.25" thickTop="1" thickBot="1" x14ac:dyDescent="0.25">
      <c r="A21" s="2311" t="s">
        <v>632</v>
      </c>
      <c r="B21" s="2312"/>
      <c r="C21" s="1753">
        <f>SUM(C17:C20)</f>
        <v>0</v>
      </c>
      <c r="D21" s="1753">
        <f>SUM(D17:D20)</f>
        <v>0</v>
      </c>
      <c r="E21" s="1753">
        <f>SUM(E17:E20)</f>
        <v>0</v>
      </c>
      <c r="F21" s="1753">
        <f>SUM(F17:F20)</f>
        <v>0</v>
      </c>
      <c r="G21" s="552"/>
    </row>
    <row r="22" spans="1:11" ht="15.75" customHeight="1" thickTop="1" x14ac:dyDescent="0.2">
      <c r="A22" s="2313" t="s">
        <v>1112</v>
      </c>
      <c r="B22" s="2314"/>
      <c r="C22" s="2308"/>
      <c r="D22" s="2309"/>
      <c r="E22" s="2309"/>
      <c r="F22" s="2310"/>
    </row>
    <row r="23" spans="1:11" ht="13.5" thickBot="1" x14ac:dyDescent="0.25">
      <c r="A23" s="2315" t="s">
        <v>633</v>
      </c>
      <c r="B23" s="2316"/>
      <c r="C23" s="581"/>
      <c r="D23" s="581"/>
      <c r="E23" s="581"/>
      <c r="F23" s="1753">
        <f>SUM(C23+D23)-E23</f>
        <v>0</v>
      </c>
      <c r="G23" s="552"/>
    </row>
    <row r="24" spans="1:11" ht="15.75" customHeight="1" thickTop="1" x14ac:dyDescent="0.2">
      <c r="A24" s="2313" t="s">
        <v>1113</v>
      </c>
      <c r="B24" s="2314"/>
      <c r="C24" s="2308"/>
      <c r="D24" s="2309"/>
      <c r="E24" s="2309"/>
      <c r="F24" s="2310"/>
    </row>
    <row r="25" spans="1:11" ht="13.5" thickBot="1" x14ac:dyDescent="0.25">
      <c r="A25" s="2315" t="s">
        <v>634</v>
      </c>
      <c r="B25" s="2316"/>
      <c r="C25" s="581"/>
      <c r="D25" s="581"/>
      <c r="E25" s="581"/>
      <c r="F25" s="1753">
        <f>SUM(C25+D25)-E25</f>
        <v>0</v>
      </c>
      <c r="G25" s="552"/>
    </row>
    <row r="26" spans="1:11" ht="15.75" customHeight="1" thickTop="1" x14ac:dyDescent="0.2">
      <c r="A26" s="2319" t="s">
        <v>657</v>
      </c>
      <c r="B26" s="2314"/>
      <c r="C26" s="727"/>
      <c r="D26" s="727"/>
      <c r="E26" s="727"/>
      <c r="F26" s="728"/>
    </row>
    <row r="27" spans="1:11" ht="13.5" thickBot="1" x14ac:dyDescent="0.25">
      <c r="A27" s="2311" t="s">
        <v>1070</v>
      </c>
      <c r="B27" s="2312"/>
      <c r="C27" s="585">
        <v>1801492</v>
      </c>
      <c r="D27" s="585">
        <v>408214</v>
      </c>
      <c r="E27" s="585">
        <v>659701</v>
      </c>
      <c r="F27" s="1753">
        <f>SUM(C27+D27)-E27</f>
        <v>1550005</v>
      </c>
      <c r="G27" s="552"/>
    </row>
    <row r="28" spans="1:11" ht="7.5" customHeight="1" thickTop="1" x14ac:dyDescent="0.2">
      <c r="A28" s="593"/>
    </row>
    <row r="29" spans="1:11" ht="23.25" customHeight="1" x14ac:dyDescent="0.2">
      <c r="A29" s="2317" t="s">
        <v>582</v>
      </c>
      <c r="B29" s="2318"/>
      <c r="C29" s="729"/>
      <c r="D29" s="729"/>
      <c r="E29" s="729"/>
      <c r="F29" s="729"/>
      <c r="G29" s="729"/>
      <c r="H29" s="729"/>
      <c r="I29" s="729"/>
      <c r="J29" s="729"/>
    </row>
    <row r="30" spans="1:11" ht="33.75" x14ac:dyDescent="0.2">
      <c r="A30" s="1527" t="s">
        <v>1071</v>
      </c>
      <c r="B30" s="730" t="s">
        <v>1124</v>
      </c>
      <c r="C30" s="1883" t="s">
        <v>583</v>
      </c>
      <c r="D30" s="1883" t="s">
        <v>1673</v>
      </c>
      <c r="E30" s="1883" t="s">
        <v>1955</v>
      </c>
      <c r="F30" s="1883" t="s">
        <v>1956</v>
      </c>
      <c r="G30" s="1883" t="s">
        <v>1907</v>
      </c>
      <c r="H30" s="1883" t="s">
        <v>1957</v>
      </c>
      <c r="I30" s="1883" t="s">
        <v>1958</v>
      </c>
      <c r="J30" s="1884" t="s">
        <v>2</v>
      </c>
      <c r="K30" s="731"/>
    </row>
    <row r="31" spans="1:11" ht="12" customHeight="1" x14ac:dyDescent="0.2">
      <c r="A31" s="1940" t="s">
        <v>2103</v>
      </c>
      <c r="B31" s="1941">
        <v>40665</v>
      </c>
      <c r="C31" s="1942">
        <v>6500000</v>
      </c>
      <c r="D31" s="1943" t="s">
        <v>2104</v>
      </c>
      <c r="E31" s="1942">
        <v>2100000</v>
      </c>
      <c r="F31" s="734"/>
      <c r="G31" s="734"/>
      <c r="H31" s="734">
        <v>2100000</v>
      </c>
      <c r="I31" s="1754">
        <f>((E31+F31)-H31)+G31</f>
        <v>0</v>
      </c>
      <c r="J31" s="734"/>
      <c r="K31" s="736"/>
    </row>
    <row r="32" spans="1:11" ht="12" customHeight="1" x14ac:dyDescent="0.2">
      <c r="A32" s="1944" t="s">
        <v>2105</v>
      </c>
      <c r="B32" s="1945">
        <v>41010</v>
      </c>
      <c r="C32" s="1946">
        <v>1265000</v>
      </c>
      <c r="D32" s="1947">
        <v>4</v>
      </c>
      <c r="E32" s="1946">
        <v>1265000</v>
      </c>
      <c r="F32" s="734"/>
      <c r="G32" s="734"/>
      <c r="H32" s="734"/>
      <c r="I32" s="1754">
        <f>((E32+F32)-H32)+G32</f>
        <v>1265000</v>
      </c>
      <c r="J32" s="734">
        <v>1265000</v>
      </c>
      <c r="K32" s="736"/>
    </row>
    <row r="33" spans="1:11" ht="12" customHeight="1" x14ac:dyDescent="0.2">
      <c r="A33" s="1948" t="s">
        <v>2106</v>
      </c>
      <c r="B33" s="1949">
        <v>41080</v>
      </c>
      <c r="C33" s="1951">
        <v>1615000</v>
      </c>
      <c r="D33" s="1950">
        <v>3</v>
      </c>
      <c r="E33" s="1951">
        <v>1615000</v>
      </c>
      <c r="F33" s="734"/>
      <c r="G33" s="734"/>
      <c r="H33" s="734">
        <v>85000</v>
      </c>
      <c r="I33" s="1754">
        <f t="shared" ref="I33:I48" si="1">((E33+F33)-H33)+G33</f>
        <v>1530000</v>
      </c>
      <c r="J33" s="734">
        <v>1530000</v>
      </c>
      <c r="K33" s="736"/>
    </row>
    <row r="34" spans="1:11" ht="12" customHeight="1" x14ac:dyDescent="0.2">
      <c r="A34" s="1952" t="s">
        <v>2107</v>
      </c>
      <c r="B34" s="1953">
        <v>41487</v>
      </c>
      <c r="C34" s="1954">
        <v>1608427</v>
      </c>
      <c r="D34" s="1955" t="s">
        <v>2104</v>
      </c>
      <c r="E34" s="1954">
        <v>1191130</v>
      </c>
      <c r="F34" s="734"/>
      <c r="G34" s="734"/>
      <c r="H34" s="734"/>
      <c r="I34" s="1754">
        <f t="shared" si="1"/>
        <v>1191130</v>
      </c>
      <c r="J34" s="734">
        <v>1191130</v>
      </c>
      <c r="K34" s="737"/>
    </row>
    <row r="35" spans="1:11" ht="12" customHeight="1" x14ac:dyDescent="0.2">
      <c r="A35" s="1957" t="s">
        <v>2108</v>
      </c>
      <c r="B35" s="1958">
        <v>42180</v>
      </c>
      <c r="C35" s="1956">
        <v>3893862</v>
      </c>
      <c r="D35" s="1959">
        <v>1</v>
      </c>
      <c r="E35" s="1956">
        <v>3334401</v>
      </c>
      <c r="F35" s="738"/>
      <c r="G35" s="738"/>
      <c r="H35" s="738"/>
      <c r="I35" s="1754">
        <f t="shared" si="1"/>
        <v>3334401</v>
      </c>
      <c r="J35" s="738">
        <v>3334401</v>
      </c>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14882289</v>
      </c>
      <c r="D49" s="745"/>
      <c r="E49" s="1754">
        <f t="shared" ref="E49:J49" si="2">SUM(E31:E48)</f>
        <v>9505531</v>
      </c>
      <c r="F49" s="1754">
        <f t="shared" si="2"/>
        <v>0</v>
      </c>
      <c r="G49" s="1754">
        <f t="shared" si="2"/>
        <v>0</v>
      </c>
      <c r="H49" s="1754">
        <f t="shared" si="2"/>
        <v>2185000</v>
      </c>
      <c r="I49" s="1754">
        <f t="shared" si="2"/>
        <v>7320531</v>
      </c>
      <c r="J49" s="1754">
        <f t="shared" si="2"/>
        <v>7320531</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300" t="s">
        <v>584</v>
      </c>
      <c r="C52" s="2301"/>
      <c r="D52" s="2301"/>
      <c r="E52" s="749" t="s">
        <v>845</v>
      </c>
      <c r="F52" s="2302"/>
      <c r="G52" s="2303"/>
      <c r="H52" s="736"/>
      <c r="I52" s="736"/>
      <c r="J52" s="746"/>
    </row>
    <row r="53" spans="1:11" ht="11.25" customHeight="1" x14ac:dyDescent="0.2">
      <c r="A53" s="750" t="s">
        <v>913</v>
      </c>
      <c r="B53" s="751" t="s">
        <v>951</v>
      </c>
      <c r="C53" s="746"/>
      <c r="D53" s="737"/>
      <c r="E53" s="749" t="s">
        <v>497</v>
      </c>
      <c r="F53" s="2304"/>
      <c r="G53" s="2305"/>
      <c r="H53" s="736"/>
      <c r="I53" s="736"/>
      <c r="J53" s="746"/>
    </row>
    <row r="54" spans="1:11" ht="11.25" customHeight="1" x14ac:dyDescent="0.2">
      <c r="A54" s="752" t="s">
        <v>914</v>
      </c>
      <c r="B54" s="747" t="s">
        <v>952</v>
      </c>
      <c r="C54" s="746"/>
      <c r="D54" s="737"/>
      <c r="E54" s="749" t="s">
        <v>498</v>
      </c>
      <c r="F54" s="2304"/>
      <c r="G54" s="230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0" colorId="8" zoomScale="110" zoomScaleNormal="110" workbookViewId="0">
      <selection activeCell="B5" sqref="B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29" t="s">
        <v>856</v>
      </c>
      <c r="B1" s="2330"/>
      <c r="C1" s="2330"/>
      <c r="D1" s="2330"/>
      <c r="E1" s="2330"/>
      <c r="F1" s="2330"/>
      <c r="G1" s="2331"/>
      <c r="H1" s="1528"/>
      <c r="I1" s="760"/>
      <c r="J1" s="433"/>
    </row>
    <row r="2" spans="1:11" ht="26.25" x14ac:dyDescent="0.2">
      <c r="A2" s="2348" t="s">
        <v>1677</v>
      </c>
      <c r="B2" s="2349"/>
      <c r="C2" s="2349"/>
      <c r="D2" s="2349"/>
      <c r="E2" s="2350"/>
      <c r="F2" s="761" t="s">
        <v>904</v>
      </c>
      <c r="G2" s="762" t="s">
        <v>1674</v>
      </c>
      <c r="H2" s="762" t="s">
        <v>410</v>
      </c>
      <c r="I2" s="762" t="s">
        <v>1158</v>
      </c>
      <c r="J2" s="762" t="s">
        <v>1809</v>
      </c>
      <c r="K2" s="762" t="s">
        <v>138</v>
      </c>
    </row>
    <row r="3" spans="1:11" x14ac:dyDescent="0.2">
      <c r="A3" s="2351" t="s">
        <v>1959</v>
      </c>
      <c r="B3" s="2352"/>
      <c r="C3" s="2352"/>
      <c r="D3" s="2352"/>
      <c r="E3" s="2353"/>
      <c r="F3" s="763"/>
      <c r="G3" s="764"/>
      <c r="H3" s="764"/>
      <c r="I3" s="764"/>
      <c r="J3" s="765"/>
      <c r="K3" s="765"/>
    </row>
    <row r="4" spans="1:11" x14ac:dyDescent="0.2">
      <c r="A4" s="2354" t="s">
        <v>369</v>
      </c>
      <c r="B4" s="2355"/>
      <c r="C4" s="2355"/>
      <c r="D4" s="2355"/>
      <c r="E4" s="2301"/>
      <c r="F4" s="766"/>
      <c r="G4" s="767"/>
      <c r="H4" s="768"/>
      <c r="I4" s="767"/>
      <c r="J4" s="769"/>
      <c r="K4" s="769"/>
    </row>
    <row r="5" spans="1:11" x14ac:dyDescent="0.2">
      <c r="A5" s="2332" t="s">
        <v>1069</v>
      </c>
      <c r="B5" s="2333"/>
      <c r="C5" s="2333"/>
      <c r="D5" s="2333"/>
      <c r="E5" s="2334"/>
      <c r="F5" s="770" t="s">
        <v>848</v>
      </c>
      <c r="G5" s="771"/>
      <c r="H5" s="764">
        <v>26827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5190</v>
      </c>
    </row>
    <row r="10" spans="1:11" x14ac:dyDescent="0.2">
      <c r="A10" s="2332" t="s">
        <v>1810</v>
      </c>
      <c r="B10" s="2333"/>
      <c r="C10" s="2333"/>
      <c r="D10" s="2333"/>
      <c r="E10" s="2335"/>
      <c r="F10" s="783" t="s">
        <v>862</v>
      </c>
      <c r="G10" s="782"/>
      <c r="H10" s="784"/>
      <c r="I10" s="764"/>
      <c r="J10" s="765"/>
      <c r="K10" s="765"/>
    </row>
    <row r="11" spans="1:11" x14ac:dyDescent="0.2">
      <c r="A11" s="2332" t="s">
        <v>160</v>
      </c>
      <c r="B11" s="2333"/>
      <c r="C11" s="2333"/>
      <c r="D11" s="2333"/>
      <c r="E11" s="2334"/>
      <c r="F11" s="770" t="s">
        <v>852</v>
      </c>
      <c r="G11" s="771"/>
      <c r="H11" s="764"/>
      <c r="I11" s="764"/>
      <c r="J11" s="765"/>
      <c r="K11" s="773"/>
    </row>
    <row r="12" spans="1:11" ht="13.5" thickBot="1" x14ac:dyDescent="0.25">
      <c r="A12" s="2359" t="s">
        <v>905</v>
      </c>
      <c r="B12" s="2360"/>
      <c r="C12" s="2360"/>
      <c r="D12" s="2360"/>
      <c r="E12" s="2361"/>
      <c r="F12" s="1755"/>
      <c r="G12" s="1756">
        <f>SUM(G5:G11)</f>
        <v>0</v>
      </c>
      <c r="H12" s="1756">
        <f>SUM(H5:H11)</f>
        <v>26827</v>
      </c>
      <c r="I12" s="1756">
        <f>SUM(I5:I11)</f>
        <v>0</v>
      </c>
      <c r="J12" s="1756">
        <f>SUM(J5:J11)</f>
        <v>0</v>
      </c>
      <c r="K12" s="1756">
        <f>SUM(K5:K11)</f>
        <v>5190</v>
      </c>
    </row>
    <row r="13" spans="1:11" ht="13.5" thickTop="1" x14ac:dyDescent="0.2">
      <c r="A13" s="2356" t="s">
        <v>370</v>
      </c>
      <c r="B13" s="2357"/>
      <c r="C13" s="2357"/>
      <c r="D13" s="2357"/>
      <c r="E13" s="2358"/>
      <c r="F13" s="785"/>
      <c r="G13" s="786"/>
      <c r="H13" s="787"/>
      <c r="I13" s="788"/>
      <c r="J13" s="788"/>
      <c r="K13" s="788"/>
    </row>
    <row r="14" spans="1:11" x14ac:dyDescent="0.2">
      <c r="A14" s="2339" t="s">
        <v>456</v>
      </c>
      <c r="B14" s="2339"/>
      <c r="C14" s="2339"/>
      <c r="D14" s="2339"/>
      <c r="E14" s="2340"/>
      <c r="F14" s="789" t="s">
        <v>854</v>
      </c>
      <c r="G14" s="782"/>
      <c r="H14" s="764">
        <v>26827</v>
      </c>
      <c r="I14" s="771"/>
      <c r="J14" s="773"/>
      <c r="K14" s="765">
        <v>5190</v>
      </c>
    </row>
    <row r="15" spans="1:11" x14ac:dyDescent="0.2">
      <c r="A15" s="2333" t="s">
        <v>4</v>
      </c>
      <c r="B15" s="2333"/>
      <c r="C15" s="2333"/>
      <c r="D15" s="2333"/>
      <c r="E15" s="2334"/>
      <c r="F15" s="789" t="s">
        <v>855</v>
      </c>
      <c r="G15" s="771"/>
      <c r="H15" s="764"/>
      <c r="I15" s="764"/>
      <c r="J15" s="765"/>
      <c r="K15" s="765"/>
    </row>
    <row r="16" spans="1:11" x14ac:dyDescent="0.2">
      <c r="A16" s="2333" t="s">
        <v>298</v>
      </c>
      <c r="B16" s="2333"/>
      <c r="C16" s="2333"/>
      <c r="D16" s="2333"/>
      <c r="E16" s="2334"/>
      <c r="F16" s="789" t="s">
        <v>923</v>
      </c>
      <c r="G16" s="772"/>
      <c r="H16" s="767"/>
      <c r="I16" s="767"/>
      <c r="J16" s="769"/>
      <c r="K16" s="769"/>
    </row>
    <row r="17" spans="1:11" x14ac:dyDescent="0.2">
      <c r="A17" s="2364" t="s">
        <v>935</v>
      </c>
      <c r="B17" s="2364"/>
      <c r="C17" s="2364"/>
      <c r="D17" s="2364"/>
      <c r="E17" s="2365"/>
      <c r="F17" s="790"/>
      <c r="G17" s="791"/>
      <c r="H17" s="792"/>
      <c r="I17" s="792"/>
      <c r="J17" s="793"/>
      <c r="K17" s="794"/>
    </row>
    <row r="18" spans="1:11" x14ac:dyDescent="0.2">
      <c r="A18" s="2343" t="s">
        <v>368</v>
      </c>
      <c r="B18" s="2344"/>
      <c r="C18" s="2344"/>
      <c r="D18" s="2344"/>
      <c r="E18" s="2345"/>
      <c r="F18" s="789" t="s">
        <v>932</v>
      </c>
      <c r="G18" s="782"/>
      <c r="H18" s="782"/>
      <c r="I18" s="782"/>
      <c r="J18" s="765"/>
      <c r="K18" s="795"/>
    </row>
    <row r="19" spans="1:11" ht="21.75" customHeight="1" x14ac:dyDescent="0.2">
      <c r="A19" s="2341" t="s">
        <v>1806</v>
      </c>
      <c r="B19" s="2341"/>
      <c r="C19" s="2341"/>
      <c r="D19" s="2341"/>
      <c r="E19" s="2342"/>
      <c r="F19" s="789" t="s">
        <v>933</v>
      </c>
      <c r="G19" s="782"/>
      <c r="H19" s="782"/>
      <c r="I19" s="782"/>
      <c r="J19" s="765"/>
      <c r="K19" s="795"/>
    </row>
    <row r="20" spans="1:11" x14ac:dyDescent="0.2">
      <c r="A20" s="2343" t="s">
        <v>1811</v>
      </c>
      <c r="B20" s="2344"/>
      <c r="C20" s="2344"/>
      <c r="D20" s="2344"/>
      <c r="E20" s="2345"/>
      <c r="F20" s="789" t="s">
        <v>934</v>
      </c>
      <c r="G20" s="782"/>
      <c r="H20" s="782"/>
      <c r="I20" s="782"/>
      <c r="J20" s="765"/>
      <c r="K20" s="795"/>
    </row>
    <row r="21" spans="1:11" ht="13.5" thickBot="1" x14ac:dyDescent="0.25">
      <c r="A21" s="2362" t="s">
        <v>638</v>
      </c>
      <c r="B21" s="2362"/>
      <c r="C21" s="2362"/>
      <c r="D21" s="2362"/>
      <c r="E21" s="2362"/>
      <c r="F21" s="1757"/>
      <c r="G21" s="792"/>
      <c r="H21" s="796"/>
      <c r="I21" s="796"/>
      <c r="J21" s="1758">
        <f>SUM(J18:J20)</f>
        <v>0</v>
      </c>
      <c r="K21" s="793"/>
    </row>
    <row r="22" spans="1:11" ht="13.5" thickTop="1" x14ac:dyDescent="0.2">
      <c r="A22" s="2333" t="s">
        <v>1812</v>
      </c>
      <c r="B22" s="2333"/>
      <c r="C22" s="2333"/>
      <c r="D22" s="2333"/>
      <c r="E22" s="2334"/>
      <c r="F22" s="789" t="s">
        <v>862</v>
      </c>
      <c r="G22" s="782"/>
      <c r="H22" s="764"/>
      <c r="I22" s="764"/>
      <c r="J22" s="797"/>
      <c r="K22" s="765"/>
    </row>
    <row r="23" spans="1:11" ht="13.5" thickBot="1" x14ac:dyDescent="0.25">
      <c r="A23" s="2363" t="s">
        <v>906</v>
      </c>
      <c r="B23" s="2362"/>
      <c r="C23" s="2362"/>
      <c r="D23" s="2362"/>
      <c r="E23" s="2362"/>
      <c r="F23" s="1759"/>
      <c r="G23" s="1756">
        <f>SUM(G14:G16,G21,G22)</f>
        <v>0</v>
      </c>
      <c r="H23" s="1756">
        <f>SUM(H14:H16,H21,H22)</f>
        <v>26827</v>
      </c>
      <c r="I23" s="1756">
        <f>SUM(I14:I16,I21,I22)</f>
        <v>0</v>
      </c>
      <c r="J23" s="1756">
        <f>SUM(J14:J16,J21,J22)</f>
        <v>0</v>
      </c>
      <c r="K23" s="1756">
        <f>SUM(K14:K16,K21,K22)</f>
        <v>5190</v>
      </c>
    </row>
    <row r="24" spans="1:11" ht="14.25" thickTop="1" thickBot="1" x14ac:dyDescent="0.25">
      <c r="A24" s="2363" t="s">
        <v>1960</v>
      </c>
      <c r="B24" s="2362"/>
      <c r="C24" s="2362"/>
      <c r="D24" s="2362"/>
      <c r="E24" s="2362"/>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8" t="s">
        <v>1906</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t="s">
        <v>2102</v>
      </c>
      <c r="E30" s="808" t="s">
        <v>768</v>
      </c>
      <c r="F30" s="202"/>
      <c r="G30" s="805"/>
    </row>
    <row r="31" spans="1:11" x14ac:dyDescent="0.2">
      <c r="A31" s="809"/>
      <c r="D31" s="237"/>
      <c r="E31" s="810" t="s">
        <v>769</v>
      </c>
      <c r="F31" s="811" t="s">
        <v>539</v>
      </c>
      <c r="G31" s="764"/>
      <c r="H31" s="2336"/>
      <c r="I31" s="2337"/>
      <c r="J31" s="2337"/>
      <c r="K31" s="2337"/>
    </row>
    <row r="32" spans="1:11" x14ac:dyDescent="0.2">
      <c r="A32" s="809"/>
      <c r="B32" s="237"/>
      <c r="C32" s="237"/>
      <c r="D32" s="237"/>
      <c r="E32" s="805"/>
      <c r="F32" s="811" t="s">
        <v>540</v>
      </c>
      <c r="G32" s="764"/>
      <c r="H32" s="2338"/>
      <c r="I32" s="2337"/>
      <c r="J32" s="2337"/>
      <c r="K32" s="2337"/>
    </row>
    <row r="33" spans="1:11" ht="1.5" customHeight="1" x14ac:dyDescent="0.2">
      <c r="A33" s="812" t="s">
        <v>1169</v>
      </c>
      <c r="B33" s="364"/>
      <c r="C33" s="364"/>
      <c r="D33" s="364"/>
      <c r="E33" s="364"/>
      <c r="F33" s="364"/>
      <c r="G33" s="813"/>
      <c r="H33" s="2338"/>
      <c r="I33" s="2337"/>
      <c r="J33" s="2337"/>
      <c r="K33" s="2337"/>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333" t="s">
        <v>541</v>
      </c>
      <c r="B41" s="2346"/>
      <c r="C41" s="2346"/>
      <c r="D41" s="2346"/>
      <c r="E41" s="2346"/>
      <c r="F41" s="234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9" t="s">
        <v>1807</v>
      </c>
      <c r="B46" s="408" t="s">
        <v>1675</v>
      </c>
    </row>
    <row r="47" spans="1:11" s="823" customFormat="1" ht="12.75" customHeight="1" x14ac:dyDescent="0.2">
      <c r="A47" s="821"/>
      <c r="B47" s="822" t="s">
        <v>1676</v>
      </c>
      <c r="E47" s="822"/>
      <c r="K47" s="824"/>
    </row>
    <row r="48" spans="1:11" ht="12.75" customHeight="1" x14ac:dyDescent="0.2">
      <c r="A48" s="1530"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B5" sqref="B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68" t="s">
        <v>1905</v>
      </c>
      <c r="B1" s="2369"/>
      <c r="C1" s="2370"/>
      <c r="D1" s="826"/>
      <c r="E1" s="827"/>
      <c r="F1" s="827"/>
      <c r="G1" s="828"/>
      <c r="H1" s="829"/>
      <c r="I1" s="830"/>
      <c r="J1" s="2366"/>
      <c r="K1" s="2367"/>
      <c r="L1" s="2367"/>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7" t="s">
        <v>892</v>
      </c>
      <c r="B3" s="1628">
        <v>210</v>
      </c>
      <c r="C3" s="835"/>
      <c r="D3" s="835"/>
      <c r="E3" s="835"/>
      <c r="F3" s="1758">
        <f>(C3+D3)-E3</f>
        <v>0</v>
      </c>
      <c r="G3" s="836"/>
      <c r="H3" s="835"/>
      <c r="I3" s="835"/>
      <c r="J3" s="835"/>
      <c r="K3" s="1767">
        <f>(H3+I3)-J3</f>
        <v>0</v>
      </c>
      <c r="L3" s="1767">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893</v>
      </c>
      <c r="B5" s="840">
        <v>221</v>
      </c>
      <c r="C5" s="841">
        <v>530288</v>
      </c>
      <c r="D5" s="841"/>
      <c r="E5" s="841"/>
      <c r="F5" s="1758">
        <f>(C5+D5)-E5</f>
        <v>530288</v>
      </c>
      <c r="G5" s="837"/>
      <c r="H5" s="842"/>
      <c r="I5" s="842"/>
      <c r="J5" s="842"/>
      <c r="K5" s="793"/>
      <c r="L5" s="1767">
        <f>F5-K5</f>
        <v>530288</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1118</v>
      </c>
      <c r="B8" s="840">
        <v>231</v>
      </c>
      <c r="C8" s="844">
        <v>30672323</v>
      </c>
      <c r="D8" s="844"/>
      <c r="E8" s="844"/>
      <c r="F8" s="1758">
        <f>(C8+D8)-E8</f>
        <v>30672323</v>
      </c>
      <c r="G8" s="843">
        <v>50</v>
      </c>
      <c r="H8" s="765">
        <v>9269265</v>
      </c>
      <c r="I8" s="765">
        <v>396558</v>
      </c>
      <c r="J8" s="765"/>
      <c r="K8" s="1767">
        <f>(H8+I8)-J8</f>
        <v>9665823</v>
      </c>
      <c r="L8" s="1767">
        <f>F8-K8</f>
        <v>21006500</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8195670</v>
      </c>
      <c r="D10" s="846">
        <v>40059</v>
      </c>
      <c r="E10" s="846"/>
      <c r="F10" s="1762">
        <f>(C10+D10)-E10</f>
        <v>8235729</v>
      </c>
      <c r="G10" s="843">
        <v>20</v>
      </c>
      <c r="H10" s="847">
        <v>2900582</v>
      </c>
      <c r="I10" s="847">
        <v>215400</v>
      </c>
      <c r="J10" s="847"/>
      <c r="K10" s="1767">
        <f>(H10+I10)-J10</f>
        <v>3115982</v>
      </c>
      <c r="L10" s="1767">
        <f>F10-K10</f>
        <v>5119747</v>
      </c>
    </row>
    <row r="11" spans="1:14" ht="13.5" thickTop="1" x14ac:dyDescent="0.2">
      <c r="A11" s="1630" t="s">
        <v>1136</v>
      </c>
      <c r="B11" s="1628">
        <v>250</v>
      </c>
      <c r="C11" s="781"/>
      <c r="D11" s="781"/>
      <c r="E11" s="781"/>
      <c r="F11" s="773"/>
      <c r="G11" s="843"/>
      <c r="H11" s="781"/>
      <c r="I11" s="781"/>
      <c r="J11" s="781"/>
      <c r="K11" s="773"/>
      <c r="L11" s="773"/>
    </row>
    <row r="12" spans="1:14" ht="13.5" thickBot="1" x14ac:dyDescent="0.25">
      <c r="A12" s="848" t="s">
        <v>1121</v>
      </c>
      <c r="B12" s="840">
        <v>251</v>
      </c>
      <c r="C12" s="844">
        <v>1463824</v>
      </c>
      <c r="D12" s="844">
        <v>298821</v>
      </c>
      <c r="E12" s="844">
        <v>328961</v>
      </c>
      <c r="F12" s="1758">
        <f>(C12+D12)-E12</f>
        <v>1433684</v>
      </c>
      <c r="G12" s="843">
        <v>10</v>
      </c>
      <c r="H12" s="765">
        <v>1035670</v>
      </c>
      <c r="I12" s="765">
        <v>53087</v>
      </c>
      <c r="J12" s="765">
        <v>282219</v>
      </c>
      <c r="K12" s="1767">
        <f>(H12+I12)-J12</f>
        <v>806538</v>
      </c>
      <c r="L12" s="1767">
        <f>F12-K12</f>
        <v>627146</v>
      </c>
    </row>
    <row r="13" spans="1:14" ht="14.25" thickTop="1" thickBot="1" x14ac:dyDescent="0.25">
      <c r="A13" s="848" t="s">
        <v>1122</v>
      </c>
      <c r="B13" s="840">
        <v>252</v>
      </c>
      <c r="C13" s="844">
        <v>148905</v>
      </c>
      <c r="D13" s="844"/>
      <c r="E13" s="844"/>
      <c r="F13" s="1758">
        <f>(C13+D13)-E13</f>
        <v>148905</v>
      </c>
      <c r="G13" s="843">
        <v>5</v>
      </c>
      <c r="H13" s="765">
        <v>66929</v>
      </c>
      <c r="I13" s="765">
        <v>22029</v>
      </c>
      <c r="J13" s="765"/>
      <c r="K13" s="1767">
        <f>(H13+I13)-J13</f>
        <v>88958</v>
      </c>
      <c r="L13" s="1767">
        <f>F13-K13</f>
        <v>59947</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29" t="s">
        <v>528</v>
      </c>
      <c r="B15" s="1628">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41011010</v>
      </c>
      <c r="D16" s="1758">
        <f>SUM(D3,D5:D6,D8:D10,D12:D15)</f>
        <v>338880</v>
      </c>
      <c r="E16" s="1758">
        <f>SUM(E3,E5:E6,E8:E10,E12:E15)</f>
        <v>328961</v>
      </c>
      <c r="F16" s="1758">
        <f>SUM(F3,F5:F6,F8:F10,F12:F15)</f>
        <v>41020929</v>
      </c>
      <c r="G16" s="843"/>
      <c r="H16" s="1758">
        <f>SUM(H3,H6,H8:H10,H12:H14,)</f>
        <v>13272446</v>
      </c>
      <c r="I16" s="1758">
        <f>SUM(I3,I6,I8:I10,I12:I14,)</f>
        <v>687074</v>
      </c>
      <c r="J16" s="1758">
        <f>SUM(J3,J6,J8:J10,J12:J14,)</f>
        <v>282219</v>
      </c>
      <c r="K16" s="1758">
        <f>(H16+I16)-J16</f>
        <v>13677301</v>
      </c>
      <c r="L16" s="1758">
        <f>F16-K16</f>
        <v>27343628</v>
      </c>
    </row>
    <row r="17" spans="1:12" ht="15" customHeight="1" thickTop="1" thickBot="1" x14ac:dyDescent="0.25">
      <c r="A17" s="1631" t="s">
        <v>291</v>
      </c>
      <c r="B17" s="1628">
        <v>700</v>
      </c>
      <c r="C17" s="769"/>
      <c r="D17" s="769"/>
      <c r="E17" s="769"/>
      <c r="F17" s="1758">
        <f>SUM('Expenditures 15-22'!I114,'Expenditures 15-22'!I151,'Expenditures 15-22'!I210,'Expenditures 15-22'!I312,'Expenditures 15-22'!I342,'Expenditures 15-22'!I367)</f>
        <v>126393</v>
      </c>
      <c r="G17" s="837">
        <v>10</v>
      </c>
      <c r="H17" s="769"/>
      <c r="I17" s="1767">
        <f>F17/G17</f>
        <v>12639.3</v>
      </c>
      <c r="J17" s="769"/>
      <c r="K17" s="795"/>
      <c r="L17" s="795"/>
    </row>
    <row r="18" spans="1:12" ht="14.25" thickTop="1" thickBot="1" x14ac:dyDescent="0.25">
      <c r="A18" s="1765" t="s">
        <v>685</v>
      </c>
      <c r="B18" s="1766"/>
      <c r="C18" s="771"/>
      <c r="D18" s="771"/>
      <c r="E18" s="771"/>
      <c r="F18" s="850"/>
      <c r="G18" s="851"/>
      <c r="H18" s="773"/>
      <c r="I18" s="1758">
        <f>SUM(I16,I17)</f>
        <v>699713.3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57" activePane="bottomLeft" state="frozen"/>
      <selection activeCell="B5" sqref="B5"/>
      <selection pane="bottomLeft" activeCell="B5" sqref="B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374" t="s">
        <v>1970</v>
      </c>
      <c r="B1" s="2375"/>
      <c r="C1" s="2375"/>
      <c r="D1" s="2375"/>
      <c r="E1" s="2375"/>
      <c r="F1" s="2376"/>
      <c r="G1" s="855"/>
    </row>
    <row r="2" spans="1:7" ht="15" customHeight="1" thickBot="1" x14ac:dyDescent="0.25">
      <c r="A2" s="2377" t="s">
        <v>477</v>
      </c>
      <c r="B2" s="2378"/>
      <c r="C2" s="2378"/>
      <c r="D2" s="2378"/>
      <c r="E2" s="2378"/>
      <c r="F2" s="237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380"/>
      <c r="B5" s="2381"/>
      <c r="C5" s="2381"/>
      <c r="D5" s="2381"/>
      <c r="E5" s="2381"/>
      <c r="F5" s="2381"/>
    </row>
    <row r="6" spans="1:7" ht="13.5" customHeight="1" thickBot="1" x14ac:dyDescent="0.25">
      <c r="A6" s="2371" t="s">
        <v>1104</v>
      </c>
      <c r="B6" s="2372"/>
      <c r="C6" s="2372"/>
      <c r="D6" s="2372"/>
      <c r="E6" s="2372"/>
      <c r="F6" s="2373"/>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40233586</v>
      </c>
      <c r="G8" s="865"/>
    </row>
    <row r="9" spans="1:7" x14ac:dyDescent="0.2">
      <c r="A9" s="869" t="s">
        <v>460</v>
      </c>
      <c r="B9" s="870" t="s">
        <v>1873</v>
      </c>
      <c r="C9" s="871"/>
      <c r="D9" s="869" t="s">
        <v>501</v>
      </c>
      <c r="E9" s="868"/>
      <c r="F9" s="1907">
        <f>'Expenditures 15-22'!K151</f>
        <v>2650293</v>
      </c>
      <c r="G9" s="872"/>
    </row>
    <row r="10" spans="1:7" x14ac:dyDescent="0.2">
      <c r="A10" s="869" t="s">
        <v>499</v>
      </c>
      <c r="B10" s="870" t="s">
        <v>1874</v>
      </c>
      <c r="C10" s="871"/>
      <c r="D10" s="869" t="s">
        <v>501</v>
      </c>
      <c r="E10" s="868"/>
      <c r="F10" s="1907">
        <f>'Expenditures 15-22'!K174</f>
        <v>2385775</v>
      </c>
      <c r="G10" s="872"/>
    </row>
    <row r="11" spans="1:7" x14ac:dyDescent="0.2">
      <c r="A11" s="869" t="s">
        <v>461</v>
      </c>
      <c r="B11" s="870" t="s">
        <v>1875</v>
      </c>
      <c r="C11" s="871"/>
      <c r="D11" s="869" t="s">
        <v>501</v>
      </c>
      <c r="E11" s="868"/>
      <c r="F11" s="1907">
        <f>'Expenditures 15-22'!K210</f>
        <v>2739034</v>
      </c>
      <c r="G11" s="872"/>
    </row>
    <row r="12" spans="1:7" x14ac:dyDescent="0.2">
      <c r="A12" s="869" t="s">
        <v>462</v>
      </c>
      <c r="B12" s="870" t="s">
        <v>1876</v>
      </c>
      <c r="C12" s="871"/>
      <c r="D12" s="869" t="s">
        <v>501</v>
      </c>
      <c r="E12" s="868"/>
      <c r="F12" s="1907">
        <f>'Expenditures 15-22'!K295</f>
        <v>1958344</v>
      </c>
      <c r="G12" s="872"/>
    </row>
    <row r="13" spans="1:7" x14ac:dyDescent="0.2">
      <c r="A13" s="869" t="s">
        <v>106</v>
      </c>
      <c r="B13" s="870" t="s">
        <v>1877</v>
      </c>
      <c r="C13" s="871"/>
      <c r="D13" s="869" t="s">
        <v>501</v>
      </c>
      <c r="E13" s="868"/>
      <c r="F13" s="1907">
        <f>'Expenditures 15-22'!K342</f>
        <v>2087100</v>
      </c>
      <c r="G13" s="873"/>
    </row>
    <row r="14" spans="1:7" ht="12" customHeight="1" thickBot="1" x14ac:dyDescent="0.25">
      <c r="A14" s="1768"/>
      <c r="B14" s="1769"/>
      <c r="C14" s="1770"/>
      <c r="D14" s="1771" t="s">
        <v>501</v>
      </c>
      <c r="E14" s="1772" t="s">
        <v>958</v>
      </c>
      <c r="F14" s="1773">
        <f>SUM(F8:F13)</f>
        <v>52054132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2">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1997</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410132</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6153</v>
      </c>
      <c r="G38" s="865"/>
    </row>
    <row r="39" spans="1:7" x14ac:dyDescent="0.2">
      <c r="A39" s="869" t="s">
        <v>459</v>
      </c>
      <c r="B39" s="869" t="s">
        <v>117</v>
      </c>
      <c r="C39" s="886" t="str">
        <f>'Expenditures 15-22'!B20</f>
        <v>1910</v>
      </c>
      <c r="D39" s="888" t="str">
        <f>'Expenditures 15-22'!A20</f>
        <v>Pre-K Programs - Private Tuition</v>
      </c>
      <c r="E39" s="868"/>
      <c r="F39" s="1911">
        <f>'Expenditures 15-22'!K20</f>
        <v>9500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32010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1615728</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124467</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399281</v>
      </c>
      <c r="G52" s="865"/>
    </row>
    <row r="53" spans="1:7" x14ac:dyDescent="0.2">
      <c r="A53" s="869" t="s">
        <v>459</v>
      </c>
      <c r="B53" s="869" t="s">
        <v>1475</v>
      </c>
      <c r="C53" s="889">
        <f>'Expenditures 15-22'!B102</f>
        <v>4000</v>
      </c>
      <c r="D53" s="888" t="str">
        <f>'Expenditures 15-22'!A102</f>
        <v>Total Payments to Other Govt Units</v>
      </c>
      <c r="E53" s="868"/>
      <c r="F53" s="1911">
        <f>'Expenditures 15-22'!K102</f>
        <v>75876</v>
      </c>
      <c r="G53" s="865"/>
    </row>
    <row r="54" spans="1:7" x14ac:dyDescent="0.2">
      <c r="A54" s="869" t="s">
        <v>459</v>
      </c>
      <c r="B54" s="869" t="s">
        <v>1476</v>
      </c>
      <c r="C54" s="889" t="s">
        <v>982</v>
      </c>
      <c r="D54" s="885" t="s">
        <v>1095</v>
      </c>
      <c r="E54" s="868"/>
      <c r="F54" s="1911">
        <f>'Expenditures 15-22'!G114</f>
        <v>44561</v>
      </c>
      <c r="G54" s="865"/>
    </row>
    <row r="55" spans="1:7" x14ac:dyDescent="0.2">
      <c r="A55" s="869" t="s">
        <v>459</v>
      </c>
      <c r="B55" s="869" t="s">
        <v>1477</v>
      </c>
      <c r="C55" s="889" t="s">
        <v>982</v>
      </c>
      <c r="D55" s="885" t="s">
        <v>291</v>
      </c>
      <c r="E55" s="868"/>
      <c r="F55" s="1911">
        <f>'Expenditures 15-22'!I114</f>
        <v>126393</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1">
        <f>'Expenditures 15-22'!K139</f>
        <v>0</v>
      </c>
      <c r="G57" s="865"/>
    </row>
    <row r="58" spans="1:7" x14ac:dyDescent="0.2">
      <c r="A58" s="869" t="s">
        <v>460</v>
      </c>
      <c r="B58" s="869" t="s">
        <v>1879</v>
      </c>
      <c r="C58" s="886" t="s">
        <v>982</v>
      </c>
      <c r="D58" s="885" t="s">
        <v>1095</v>
      </c>
      <c r="E58" s="868"/>
      <c r="F58" s="1913">
        <f>'Expenditures 15-22'!G151</f>
        <v>0</v>
      </c>
      <c r="G58" s="865"/>
    </row>
    <row r="59" spans="1:7" x14ac:dyDescent="0.2">
      <c r="A59" s="893" t="s">
        <v>460</v>
      </c>
      <c r="B59" s="856" t="s">
        <v>1880</v>
      </c>
      <c r="C59" s="894" t="s">
        <v>982</v>
      </c>
      <c r="D59" s="856" t="s">
        <v>291</v>
      </c>
      <c r="F59" s="1914">
        <f>'Expenditures 15-22'!I151</f>
        <v>0</v>
      </c>
      <c r="G59" s="865"/>
    </row>
    <row r="60" spans="1:7" x14ac:dyDescent="0.2">
      <c r="A60" s="893" t="s">
        <v>499</v>
      </c>
      <c r="B60" s="856" t="s">
        <v>1881</v>
      </c>
      <c r="C60" s="894">
        <v>4000</v>
      </c>
      <c r="D60" s="856" t="s">
        <v>312</v>
      </c>
      <c r="F60" s="1912">
        <f>'Expenditures 15-22'!K160</f>
        <v>0</v>
      </c>
      <c r="G60" s="865"/>
    </row>
    <row r="61" spans="1:7" x14ac:dyDescent="0.2">
      <c r="A61" s="895" t="s">
        <v>499</v>
      </c>
      <c r="B61" s="895" t="s">
        <v>1882</v>
      </c>
      <c r="C61" s="896" t="str">
        <f>'Expenditures 15-22'!B170</f>
        <v>5300</v>
      </c>
      <c r="D61" s="897" t="s">
        <v>311</v>
      </c>
      <c r="E61" s="879"/>
      <c r="F61" s="1911">
        <f>'Expenditures 15-22'!K170</f>
        <v>2185000</v>
      </c>
      <c r="G61" s="865"/>
    </row>
    <row r="62" spans="1:7" x14ac:dyDescent="0.2">
      <c r="A62" s="869" t="s">
        <v>461</v>
      </c>
      <c r="B62" s="869" t="s">
        <v>1883</v>
      </c>
      <c r="C62" s="886">
        <f>'Expenditures 15-22'!B185</f>
        <v>3000</v>
      </c>
      <c r="D62" s="876" t="s">
        <v>449</v>
      </c>
      <c r="E62" s="868"/>
      <c r="F62" s="1911">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1885</v>
      </c>
      <c r="C64" s="896" t="str">
        <f>'Expenditures 15-22'!B206</f>
        <v>5300</v>
      </c>
      <c r="D64" s="892" t="s">
        <v>311</v>
      </c>
      <c r="E64" s="868"/>
      <c r="F64" s="1911">
        <f>'Expenditures 15-22'!K206</f>
        <v>0</v>
      </c>
      <c r="G64" s="865"/>
    </row>
    <row r="65" spans="1:8" x14ac:dyDescent="0.2">
      <c r="A65" s="869" t="s">
        <v>461</v>
      </c>
      <c r="B65" s="869" t="s">
        <v>1886</v>
      </c>
      <c r="C65" s="886" t="s">
        <v>982</v>
      </c>
      <c r="D65" s="885" t="s">
        <v>1095</v>
      </c>
      <c r="E65" s="868"/>
      <c r="F65" s="1911">
        <f>'Expenditures 15-22'!G210</f>
        <v>0</v>
      </c>
      <c r="G65" s="865"/>
    </row>
    <row r="66" spans="1:8" x14ac:dyDescent="0.2">
      <c r="A66" s="869" t="s">
        <v>461</v>
      </c>
      <c r="B66" s="869" t="s">
        <v>1887</v>
      </c>
      <c r="C66" s="886" t="s">
        <v>982</v>
      </c>
      <c r="D66" s="885" t="s">
        <v>291</v>
      </c>
      <c r="E66" s="868"/>
      <c r="F66" s="1911">
        <f>'Expenditures 15-22'!I210</f>
        <v>0</v>
      </c>
      <c r="G66" s="865"/>
    </row>
    <row r="67" spans="1:8" x14ac:dyDescent="0.2">
      <c r="A67" s="869" t="s">
        <v>462</v>
      </c>
      <c r="B67" s="869" t="s">
        <v>1888</v>
      </c>
      <c r="C67" s="886" t="str">
        <f>'Expenditures 15-22'!B216</f>
        <v>1125</v>
      </c>
      <c r="D67" s="892" t="str">
        <f>'Expenditures 15-22'!A216</f>
        <v>Pre-K Programs</v>
      </c>
      <c r="E67" s="868"/>
      <c r="F67" s="1911">
        <f>'Expenditures 15-22'!K216</f>
        <v>0</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1890</v>
      </c>
      <c r="C70" s="886">
        <f>'Expenditures 15-22'!B221</f>
        <v>1300</v>
      </c>
      <c r="D70" s="887" t="str">
        <f>'Expenditures 15-22'!A221</f>
        <v>Adult/Continuing Education Programs</v>
      </c>
      <c r="E70" s="868"/>
      <c r="F70" s="1911">
        <f>'Expenditures 15-22'!K221</f>
        <v>0</v>
      </c>
      <c r="G70" s="865"/>
    </row>
    <row r="71" spans="1:8" x14ac:dyDescent="0.2">
      <c r="A71" s="869" t="s">
        <v>462</v>
      </c>
      <c r="B71" s="869" t="s">
        <v>1891</v>
      </c>
      <c r="C71" s="886">
        <f>'Expenditures 15-22'!B224</f>
        <v>1600</v>
      </c>
      <c r="D71" s="887" t="str">
        <f>'Expenditures 15-22'!A224</f>
        <v>Summer School Programs</v>
      </c>
      <c r="E71" s="868"/>
      <c r="F71" s="1911">
        <f>'Expenditures 15-22'!K224</f>
        <v>79</v>
      </c>
      <c r="G71" s="865"/>
    </row>
    <row r="72" spans="1:8" x14ac:dyDescent="0.2">
      <c r="A72" s="869" t="s">
        <v>462</v>
      </c>
      <c r="B72" s="869" t="s">
        <v>1892</v>
      </c>
      <c r="C72" s="886">
        <f>'Expenditures 15-22'!B280</f>
        <v>3000</v>
      </c>
      <c r="D72" s="876" t="s">
        <v>449</v>
      </c>
      <c r="E72" s="868"/>
      <c r="F72" s="1911">
        <f>'Expenditures 15-22'!K280</f>
        <v>40830</v>
      </c>
      <c r="G72" s="865"/>
    </row>
    <row r="73" spans="1:8" x14ac:dyDescent="0.2">
      <c r="A73" s="869" t="s">
        <v>462</v>
      </c>
      <c r="B73" s="869" t="s">
        <v>1893</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1894</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1895</v>
      </c>
      <c r="E76" s="1772" t="s">
        <v>958</v>
      </c>
      <c r="F76" s="1776">
        <f>SUM(F18:F74)</f>
        <v>5070010</v>
      </c>
      <c r="G76" s="865"/>
    </row>
    <row r="77" spans="1:8" s="893" customFormat="1" ht="12" customHeight="1" thickTop="1" thickBot="1" x14ac:dyDescent="0.25">
      <c r="A77" s="1777"/>
      <c r="B77" s="1774"/>
      <c r="C77" s="1770"/>
      <c r="D77" s="1775" t="s">
        <v>1896</v>
      </c>
      <c r="E77" s="1772"/>
      <c r="F77" s="1778">
        <f>(F14-F76)</f>
        <v>46984122</v>
      </c>
      <c r="G77" s="869"/>
    </row>
    <row r="78" spans="1:8" s="893" customFormat="1" ht="12" customHeight="1" thickTop="1" x14ac:dyDescent="0.2">
      <c r="A78" s="1779"/>
      <c r="B78" s="1774"/>
      <c r="C78" s="1770"/>
      <c r="D78" s="1775" t="s">
        <v>2057</v>
      </c>
      <c r="E78" s="1772"/>
      <c r="F78" s="898">
        <v>2928.8</v>
      </c>
      <c r="G78" s="899"/>
      <c r="H78" s="869"/>
    </row>
    <row r="79" spans="1:8" s="893" customFormat="1" ht="12" customHeight="1" thickBot="1" x14ac:dyDescent="0.25">
      <c r="A79" s="1780"/>
      <c r="B79" s="1774"/>
      <c r="C79" s="1770"/>
      <c r="D79" s="1775" t="s">
        <v>1897</v>
      </c>
      <c r="E79" s="1772" t="s">
        <v>958</v>
      </c>
      <c r="F79" s="1781">
        <f>IF(F78&gt;0,F77/F78," Complete Line 78")</f>
        <v>16042.106664845669</v>
      </c>
      <c r="G79" s="869"/>
    </row>
    <row r="80" spans="1:8" s="893" customFormat="1" ht="8.25" customHeight="1" thickTop="1" x14ac:dyDescent="0.2">
      <c r="A80" s="900"/>
      <c r="B80" s="869"/>
      <c r="C80" s="871"/>
      <c r="D80" s="901"/>
      <c r="E80" s="868"/>
      <c r="F80" s="902"/>
      <c r="G80" s="869"/>
    </row>
    <row r="81" spans="1:7" s="893" customFormat="1" ht="12" thickBot="1" x14ac:dyDescent="0.25">
      <c r="A81" s="2371" t="s">
        <v>1105</v>
      </c>
      <c r="B81" s="2372"/>
      <c r="C81" s="2372"/>
      <c r="D81" s="2372"/>
      <c r="E81" s="2372"/>
      <c r="F81" s="237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48572</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5167</v>
      </c>
      <c r="G94" s="912"/>
    </row>
    <row r="95" spans="1:7" x14ac:dyDescent="0.2">
      <c r="A95" s="908" t="s">
        <v>140</v>
      </c>
      <c r="B95" s="908" t="s">
        <v>175</v>
      </c>
      <c r="C95" s="910">
        <v>1700</v>
      </c>
      <c r="D95" s="918" t="str">
        <f>'Revenues 9-14'!A82</f>
        <v>Total District/School Activity Income</v>
      </c>
      <c r="E95" s="906"/>
      <c r="F95" s="1787">
        <f>SUM('Revenues 9-14'!C82,'Revenues 9-14'!D82)</f>
        <v>8036</v>
      </c>
      <c r="G95" s="912"/>
    </row>
    <row r="96" spans="1:7" x14ac:dyDescent="0.2">
      <c r="A96" s="908" t="s">
        <v>459</v>
      </c>
      <c r="B96" s="908" t="s">
        <v>176</v>
      </c>
      <c r="C96" s="910">
        <f>'Revenues 9-14'!B84</f>
        <v>1811</v>
      </c>
      <c r="D96" s="911" t="str">
        <f>'Revenues 9-14'!A84</f>
        <v>Rentals - Regular Textbooks</v>
      </c>
      <c r="E96" s="906"/>
      <c r="F96" s="1787">
        <f>'Revenues 9-14'!C84</f>
        <v>0</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1998</v>
      </c>
      <c r="C105" s="913">
        <v>3100</v>
      </c>
      <c r="D105" s="919" t="str">
        <f>'Revenues 9-14'!A132</f>
        <v>Total Special Education</v>
      </c>
      <c r="E105" s="906"/>
      <c r="F105" s="1787">
        <f>SUM('Revenues 9-14'!C132:D132,'Revenues 9-14'!F132)</f>
        <v>895139</v>
      </c>
      <c r="G105" s="912"/>
    </row>
    <row r="106" spans="1:7" x14ac:dyDescent="0.2">
      <c r="A106" s="908" t="s">
        <v>673</v>
      </c>
      <c r="B106" s="908" t="s">
        <v>1999</v>
      </c>
      <c r="C106" s="920">
        <v>3200</v>
      </c>
      <c r="D106" s="911" t="str">
        <f>'Revenues 9-14'!A141</f>
        <v>Total Career and Technical Education</v>
      </c>
      <c r="E106" s="906"/>
      <c r="F106" s="1787">
        <f>SUM('Revenues 9-14'!C141,'Revenues 9-14'!D141,'Revenues 9-14'!G141)</f>
        <v>22939</v>
      </c>
      <c r="G106" s="912"/>
    </row>
    <row r="107" spans="1:7" x14ac:dyDescent="0.2">
      <c r="A107" s="921" t="s">
        <v>664</v>
      </c>
      <c r="B107" s="908" t="s">
        <v>2000</v>
      </c>
      <c r="C107" s="920">
        <v>3300</v>
      </c>
      <c r="D107" s="911" t="str">
        <f>'Revenues 9-14'!A145</f>
        <v>Total Bilingual Ed</v>
      </c>
      <c r="E107" s="906"/>
      <c r="F107" s="1787">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7">
        <f>'Revenues 9-14'!C146</f>
        <v>41564</v>
      </c>
      <c r="G108" s="912"/>
    </row>
    <row r="109" spans="1:7" x14ac:dyDescent="0.2">
      <c r="A109" s="908" t="s">
        <v>673</v>
      </c>
      <c r="B109" s="908" t="s">
        <v>2002</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7">
        <f>SUM('Revenues 9-14'!C148,'Revenues 9-14'!D148)</f>
        <v>22705</v>
      </c>
      <c r="G110" s="912"/>
    </row>
    <row r="111" spans="1:7" x14ac:dyDescent="0.2">
      <c r="A111" s="908" t="s">
        <v>668</v>
      </c>
      <c r="B111" s="908" t="s">
        <v>2004</v>
      </c>
      <c r="C111" s="922">
        <v>3500</v>
      </c>
      <c r="D111" s="911" t="str">
        <f>'Revenues 9-14'!A155</f>
        <v>Total Transportation</v>
      </c>
      <c r="E111" s="906"/>
      <c r="F111" s="1787">
        <f>SUM('Revenues 9-14'!C155,'Revenues 9-14'!D155,'Revenues 9-14'!F155,'Revenues 9-14'!G155)</f>
        <v>2476641</v>
      </c>
      <c r="G111" s="912"/>
    </row>
    <row r="112" spans="1:7" x14ac:dyDescent="0.2">
      <c r="A112" s="908" t="s">
        <v>459</v>
      </c>
      <c r="B112" s="908" t="s">
        <v>2005</v>
      </c>
      <c r="C112" s="920">
        <f>'Revenues 9-14'!B156</f>
        <v>3610</v>
      </c>
      <c r="D112" s="911" t="str">
        <f>'Revenues 9-14'!A156</f>
        <v>Learning Improvement - Change Grants</v>
      </c>
      <c r="E112" s="906"/>
      <c r="F112" s="1787">
        <f>'Revenues 9-14'!C156</f>
        <v>0</v>
      </c>
      <c r="G112" s="912"/>
    </row>
    <row r="113" spans="1:7" x14ac:dyDescent="0.2">
      <c r="A113" s="908" t="s">
        <v>668</v>
      </c>
      <c r="B113" s="908" t="s">
        <v>2006</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7">
        <f>SUM('Revenues 9-14'!C158,'Revenues 9-14'!F158,'Revenues 9-14'!G158)</f>
        <v>65201</v>
      </c>
      <c r="G114" s="912"/>
    </row>
    <row r="115" spans="1:7" x14ac:dyDescent="0.2">
      <c r="A115" s="908" t="s">
        <v>668</v>
      </c>
      <c r="B115" s="908" t="s">
        <v>2008</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5">
        <f>SUM('Revenues 9-14'!C163:G163)</f>
        <v>0</v>
      </c>
      <c r="G118" s="912"/>
    </row>
    <row r="119" spans="1:7" x14ac:dyDescent="0.2">
      <c r="A119" s="923" t="s">
        <v>504</v>
      </c>
      <c r="B119" s="923" t="s">
        <v>2012</v>
      </c>
      <c r="C119" s="924">
        <f>'Revenues 9-14'!B164</f>
        <v>3815</v>
      </c>
      <c r="D119" s="925" t="str">
        <f>'Revenues 9-14'!A164</f>
        <v>State Charter Schools</v>
      </c>
      <c r="E119" s="906"/>
      <c r="F119" s="1905">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7">
        <f>'Revenues 9-14'!D167</f>
        <v>0</v>
      </c>
      <c r="G120" s="930"/>
    </row>
    <row r="121" spans="1:7" x14ac:dyDescent="0.2">
      <c r="A121" s="927" t="s">
        <v>500</v>
      </c>
      <c r="B121" s="927" t="s">
        <v>2014</v>
      </c>
      <c r="C121" s="928">
        <f>'Revenues 9-14'!B168</f>
        <v>3999</v>
      </c>
      <c r="D121" s="929" t="s">
        <v>543</v>
      </c>
      <c r="E121" s="931"/>
      <c r="F121" s="1787">
        <f>SUM('Revenues 9-14'!C168:G168,'Revenues 9-14'!J168)</f>
        <v>91913</v>
      </c>
      <c r="G121" s="930"/>
    </row>
    <row r="122" spans="1:7" x14ac:dyDescent="0.2">
      <c r="A122" s="927" t="s">
        <v>459</v>
      </c>
      <c r="B122" s="927" t="s">
        <v>2015</v>
      </c>
      <c r="C122" s="932">
        <f>'Revenues 9-14'!B177</f>
        <v>4045</v>
      </c>
      <c r="D122" s="929" t="str">
        <f>'Revenues 9-14'!A177 &amp; " (Subtract)"</f>
        <v>Head Start (Subtract)</v>
      </c>
      <c r="E122" s="906"/>
      <c r="F122" s="1787">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2017</v>
      </c>
      <c r="C124" s="932">
        <v>4100</v>
      </c>
      <c r="D124" s="933" t="str">
        <f>'Revenues 9-14'!A188</f>
        <v>Total Title V</v>
      </c>
      <c r="E124" s="906"/>
      <c r="F124" s="1787">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7">
        <f>SUM('Revenues 9-14'!C198,'Revenues 9-14'!G198)</f>
        <v>2461705</v>
      </c>
      <c r="G125" s="930"/>
    </row>
    <row r="126" spans="1:7" x14ac:dyDescent="0.2">
      <c r="A126" s="927" t="s">
        <v>668</v>
      </c>
      <c r="B126" s="927" t="s">
        <v>2019</v>
      </c>
      <c r="C126" s="932">
        <v>4300</v>
      </c>
      <c r="D126" s="933" t="str">
        <f>'Revenues 9-14'!A204</f>
        <v>Total Title I</v>
      </c>
      <c r="E126" s="906"/>
      <c r="F126" s="1787">
        <f>SUM('Revenues 9-14'!C204,'Revenues 9-14'!D204,'Revenues 9-14'!F204,'Revenues 9-14'!G204)</f>
        <v>3613097</v>
      </c>
      <c r="G126" s="930"/>
    </row>
    <row r="127" spans="1:7" x14ac:dyDescent="0.2">
      <c r="A127" s="927" t="s">
        <v>668</v>
      </c>
      <c r="B127" s="927" t="s">
        <v>2020</v>
      </c>
      <c r="C127" s="932">
        <v>4400</v>
      </c>
      <c r="D127" s="933" t="str">
        <f>'Revenues 9-14'!A209</f>
        <v>Total Title IV</v>
      </c>
      <c r="E127" s="906"/>
      <c r="F127" s="1787">
        <f>SUM('Revenues 9-14'!C209,'Revenues 9-14'!D209,'Revenues 9-14'!F209,'Revenues 9-14'!G209)</f>
        <v>1103535</v>
      </c>
      <c r="G127" s="930"/>
    </row>
    <row r="128" spans="1:7" x14ac:dyDescent="0.2">
      <c r="A128" s="927" t="s">
        <v>668</v>
      </c>
      <c r="B128" s="927" t="s">
        <v>2021</v>
      </c>
      <c r="C128" s="932">
        <f>'Revenues 9-14'!B213</f>
        <v>4620</v>
      </c>
      <c r="D128" s="933" t="str">
        <f>'Revenues 9-14'!A213</f>
        <v>Fed - Spec Education - IDEA - Flow Through</v>
      </c>
      <c r="E128" s="906"/>
      <c r="F128" s="1787">
        <f>SUM('Revenues 9-14'!C213:D213,'Revenues 9-14'!F213:G213)</f>
        <v>947884</v>
      </c>
      <c r="G128" s="930"/>
    </row>
    <row r="129" spans="1:7" x14ac:dyDescent="0.2">
      <c r="A129" s="927" t="s">
        <v>668</v>
      </c>
      <c r="B129" s="927" t="s">
        <v>2022</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2024</v>
      </c>
      <c r="C132" s="932">
        <v>4700</v>
      </c>
      <c r="D132" s="929" t="str">
        <f>'Revenues 9-14'!A221</f>
        <v>Total CTE - Perkins</v>
      </c>
      <c r="E132" s="906"/>
      <c r="F132" s="1787">
        <f>SUM('Revenues 9-14'!C221,'Revenues 9-14'!D221,'Revenues 9-14'!G221)</f>
        <v>120437</v>
      </c>
      <c r="G132" s="930">
        <v>6303</v>
      </c>
    </row>
    <row r="133" spans="1:7" s="867" customFormat="1" hidden="1" x14ac:dyDescent="0.2">
      <c r="A133" s="934" t="s">
        <v>206</v>
      </c>
      <c r="B133" s="934" t="s">
        <v>2025</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7">
        <v>0</v>
      </c>
      <c r="G138" s="905"/>
    </row>
    <row r="139" spans="1:7" s="867" customFormat="1" hidden="1" x14ac:dyDescent="0.2">
      <c r="A139" s="934" t="s">
        <v>206</v>
      </c>
      <c r="B139" s="934" t="s">
        <v>2031</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2039</v>
      </c>
      <c r="C157" s="940" t="s">
        <v>841</v>
      </c>
      <c r="D157" s="941" t="s">
        <v>777</v>
      </c>
      <c r="E157" s="942"/>
      <c r="F157" s="1787">
        <f>SUM(F133:F156)</f>
        <v>0</v>
      </c>
      <c r="G157" s="905"/>
    </row>
    <row r="158" spans="1:7" s="867" customFormat="1" x14ac:dyDescent="0.2">
      <c r="A158" s="938" t="s">
        <v>459</v>
      </c>
      <c r="B158" s="939" t="s">
        <v>2040</v>
      </c>
      <c r="C158" s="940" t="s">
        <v>1427</v>
      </c>
      <c r="D158" s="941" t="s">
        <v>1428</v>
      </c>
      <c r="E158" s="942"/>
      <c r="F158" s="1787">
        <f>SUM('Revenues 9-14'!C253)</f>
        <v>0</v>
      </c>
      <c r="G158" s="905"/>
    </row>
    <row r="159" spans="1:7" s="867" customFormat="1" x14ac:dyDescent="0.2">
      <c r="A159" s="938" t="s">
        <v>500</v>
      </c>
      <c r="B159" s="939" t="s">
        <v>2041</v>
      </c>
      <c r="C159" s="940" t="s">
        <v>1466</v>
      </c>
      <c r="D159" s="941" t="s">
        <v>1467</v>
      </c>
      <c r="E159" s="942"/>
      <c r="F159" s="1787">
        <f>SUM('Revenues 9-14'!C254:H254,'Revenues 9-14'!J254:K254)</f>
        <v>725944</v>
      </c>
      <c r="G159" s="905"/>
    </row>
    <row r="160" spans="1:7" x14ac:dyDescent="0.2">
      <c r="A160" s="927" t="s">
        <v>5</v>
      </c>
      <c r="B160" s="927" t="s">
        <v>2042</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5">
        <f>SUM('Revenues 9-14'!C259,'Revenues 9-14'!D259,'Revenues 9-14'!F259,'Revenues 9-14'!G259)</f>
        <v>292424</v>
      </c>
      <c r="G164" s="930"/>
    </row>
    <row r="165" spans="1:7" x14ac:dyDescent="0.2">
      <c r="A165" s="927" t="s">
        <v>668</v>
      </c>
      <c r="B165" s="927" t="s">
        <v>2047</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7">
        <f>SUM('Revenues 9-14'!C263:D263,'Revenues 9-14'!F263:G263)</f>
        <v>137785</v>
      </c>
      <c r="G168" s="947">
        <v>6320</v>
      </c>
    </row>
    <row r="169" spans="1:7" x14ac:dyDescent="0.2">
      <c r="A169" s="927" t="s">
        <v>668</v>
      </c>
      <c r="B169" s="927" t="s">
        <v>2049</v>
      </c>
      <c r="C169" s="932">
        <f>'Revenues 9-14'!B264</f>
        <v>4992</v>
      </c>
      <c r="D169" s="933" t="str">
        <f>'Revenues 9-14'!A264</f>
        <v>Medicaid Matching Funds - Fee-for-Service Program</v>
      </c>
      <c r="E169" s="906"/>
      <c r="F169" s="1787">
        <f>SUM('Revenues 9-14'!C264:D264,'Revenues 9-14'!F264:G264)</f>
        <v>235438</v>
      </c>
      <c r="G169" s="947"/>
    </row>
    <row r="170" spans="1:7" x14ac:dyDescent="0.2">
      <c r="A170" s="948" t="s">
        <v>668</v>
      </c>
      <c r="B170" s="944" t="s">
        <v>2050</v>
      </c>
      <c r="C170" s="945">
        <f>'Revenues 9-14'!B265</f>
        <v>4999</v>
      </c>
      <c r="D170" s="946" t="str">
        <f>'Revenues 9-14'!A265</f>
        <v>Other Restricted Revenue from Federal Sources (Describe &amp; Itemize)</v>
      </c>
      <c r="E170" s="906"/>
      <c r="F170" s="1787">
        <f>SUM('Revenues 9-14'!C265:D265,'Revenues 9-14'!F265:G265)</f>
        <v>177391</v>
      </c>
      <c r="G170" s="927"/>
    </row>
    <row r="171" spans="1:7" x14ac:dyDescent="0.2">
      <c r="A171" s="1916" t="s">
        <v>5</v>
      </c>
      <c r="B171" s="1917" t="s">
        <v>1916</v>
      </c>
      <c r="C171" s="1918">
        <v>3100</v>
      </c>
      <c r="D171" s="1919" t="s">
        <v>1918</v>
      </c>
      <c r="E171" s="906"/>
      <c r="F171" s="1904">
        <v>1566775</v>
      </c>
      <c r="G171" s="927"/>
    </row>
    <row r="172" spans="1:7" x14ac:dyDescent="0.2">
      <c r="A172" s="1916" t="s">
        <v>664</v>
      </c>
      <c r="B172" s="1917" t="s">
        <v>1916</v>
      </c>
      <c r="C172" s="1918">
        <v>3300</v>
      </c>
      <c r="D172" s="1919" t="s">
        <v>1919</v>
      </c>
      <c r="E172" s="906"/>
      <c r="F172" s="1904">
        <v>1038</v>
      </c>
      <c r="G172" s="927"/>
    </row>
    <row r="173" spans="1:7" ht="6" customHeight="1" x14ac:dyDescent="0.2">
      <c r="A173" s="927"/>
      <c r="B173" s="927"/>
      <c r="C173" s="949"/>
      <c r="D173" s="927"/>
      <c r="E173" s="906"/>
      <c r="F173" s="950"/>
      <c r="G173" s="947"/>
    </row>
    <row r="174" spans="1:7" x14ac:dyDescent="0.2">
      <c r="A174" s="1768"/>
      <c r="B174" s="1782"/>
      <c r="C174" s="1783"/>
      <c r="D174" s="1784" t="s">
        <v>2051</v>
      </c>
      <c r="E174" s="1785" t="s">
        <v>958</v>
      </c>
      <c r="F174" s="1786">
        <f>SUM(F84:F132,F157:F172)</f>
        <v>15061330</v>
      </c>
    </row>
    <row r="175" spans="1:7" ht="12" customHeight="1" x14ac:dyDescent="0.2">
      <c r="A175" s="1768"/>
      <c r="B175" s="1782"/>
      <c r="C175" s="1783"/>
      <c r="D175" s="1784" t="s">
        <v>2052</v>
      </c>
      <c r="E175" s="1785"/>
      <c r="F175" s="1787">
        <f>'PCTC-OEPP 27-28'!F77-F174</f>
        <v>31922792</v>
      </c>
    </row>
    <row r="176" spans="1:7" ht="12" customHeight="1" x14ac:dyDescent="0.2">
      <c r="A176" s="1768"/>
      <c r="B176" s="1782"/>
      <c r="C176" s="1783"/>
      <c r="D176" s="1784" t="s">
        <v>1814</v>
      </c>
      <c r="E176" s="1785"/>
      <c r="F176" s="1787">
        <f>'Cap Outlay Deprec 26'!I18</f>
        <v>699713.3</v>
      </c>
    </row>
    <row r="177" spans="1:7" ht="12" customHeight="1" x14ac:dyDescent="0.2">
      <c r="A177" s="1768"/>
      <c r="B177" s="1782"/>
      <c r="C177" s="1783"/>
      <c r="D177" s="1784" t="s">
        <v>2053</v>
      </c>
      <c r="E177" s="1785"/>
      <c r="F177" s="1787">
        <f>F175+F176</f>
        <v>32622505.300000001</v>
      </c>
    </row>
    <row r="178" spans="1:7" ht="12" customHeight="1" x14ac:dyDescent="0.2">
      <c r="A178" s="1768"/>
      <c r="B178" s="1788"/>
      <c r="C178" s="1783"/>
      <c r="D178" s="1784" t="str">
        <f>D78</f>
        <v>9 Month ADA from District Average Daily Attendance/Prior General State Aid Inquiry 2018-2019</v>
      </c>
      <c r="E178" s="1785"/>
      <c r="F178" s="1789">
        <f>'PCTC-OEPP 27-28'!F78</f>
        <v>2928.8</v>
      </c>
      <c r="G178" s="930"/>
    </row>
    <row r="179" spans="1:7" ht="12" customHeight="1" thickBot="1" x14ac:dyDescent="0.25">
      <c r="A179" s="1768"/>
      <c r="B179" s="1788"/>
      <c r="C179" s="1783"/>
      <c r="D179" s="1784" t="s">
        <v>2054</v>
      </c>
      <c r="E179" s="1785" t="s">
        <v>1545</v>
      </c>
      <c r="F179" s="1790">
        <f>F177/F178</f>
        <v>11138.522705544932</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0" customFormat="1" ht="12.2" customHeight="1" x14ac:dyDescent="0.2">
      <c r="A182" s="1920" t="s">
        <v>1989</v>
      </c>
      <c r="B182" s="1921"/>
      <c r="C182" s="1922"/>
      <c r="D182" s="1921"/>
      <c r="E182" s="1922"/>
      <c r="F182" s="1921"/>
      <c r="G182" s="1921"/>
    </row>
    <row r="183" spans="1:7" s="1920" customFormat="1" ht="12.2" customHeight="1" x14ac:dyDescent="0.2">
      <c r="A183" s="1923" t="s">
        <v>1991</v>
      </c>
      <c r="C183" s="1922"/>
      <c r="D183" s="1921"/>
      <c r="E183" s="1922"/>
      <c r="F183" s="1921"/>
      <c r="G183" s="1921"/>
    </row>
    <row r="184" spans="1:7" ht="12" customHeight="1" x14ac:dyDescent="0.2">
      <c r="C184" s="949"/>
      <c r="D184" s="930"/>
      <c r="E184" s="949"/>
      <c r="F184" s="930"/>
      <c r="G184" s="930"/>
    </row>
    <row r="185" spans="1:7" x14ac:dyDescent="0.2">
      <c r="A185" s="1924" t="s">
        <v>1921</v>
      </c>
      <c r="B185" s="1925"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13" zoomScaleNormal="100" workbookViewId="0">
      <selection activeCell="A4" sqref="A4:G5"/>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1"/>
  </cols>
  <sheetData>
    <row r="1" spans="1:7" ht="15" customHeight="1" x14ac:dyDescent="0.25">
      <c r="A1" s="1657" t="s">
        <v>1829</v>
      </c>
      <c r="B1" s="1658"/>
      <c r="C1" s="1658"/>
      <c r="D1" s="1658"/>
      <c r="E1" s="1658"/>
      <c r="F1" s="1658"/>
      <c r="G1" s="1658"/>
    </row>
    <row r="2" spans="1:7" x14ac:dyDescent="0.25">
      <c r="A2" s="1655"/>
      <c r="B2" s="1655"/>
      <c r="C2" s="1656" t="s">
        <v>979</v>
      </c>
      <c r="D2" s="1655"/>
      <c r="E2" s="1655"/>
      <c r="F2" s="1655"/>
      <c r="G2" s="1655"/>
    </row>
    <row r="3" spans="1:7" ht="5.25" customHeight="1" x14ac:dyDescent="0.25">
      <c r="A3" s="1543"/>
      <c r="B3" s="1543"/>
      <c r="C3" s="1543"/>
      <c r="D3" s="1543"/>
      <c r="E3" s="1543"/>
      <c r="F3" s="1543"/>
      <c r="G3" s="1543"/>
    </row>
    <row r="4" spans="1:7" ht="18.75" customHeight="1" x14ac:dyDescent="0.25">
      <c r="A4" s="2385" t="s">
        <v>1815</v>
      </c>
      <c r="B4" s="2386"/>
      <c r="C4" s="2386"/>
      <c r="D4" s="2386"/>
      <c r="E4" s="2386"/>
      <c r="F4" s="2386"/>
      <c r="G4" s="2387"/>
    </row>
    <row r="5" spans="1:7" x14ac:dyDescent="0.25">
      <c r="A5" s="2388"/>
      <c r="B5" s="2389"/>
      <c r="C5" s="2389"/>
      <c r="D5" s="2389"/>
      <c r="E5" s="2389"/>
      <c r="F5" s="2389"/>
      <c r="G5" s="2390"/>
    </row>
    <row r="6" spans="1:7" ht="18.75" x14ac:dyDescent="0.25">
      <c r="A6" s="1936" t="s">
        <v>2061</v>
      </c>
      <c r="B6" s="1937"/>
      <c r="C6" s="1937"/>
      <c r="D6" s="1937"/>
      <c r="E6" s="1937"/>
      <c r="F6" s="1937"/>
      <c r="G6" s="1938"/>
    </row>
    <row r="7" spans="1:7" ht="18.75" x14ac:dyDescent="0.25">
      <c r="A7" s="1532" t="s">
        <v>1816</v>
      </c>
      <c r="B7" s="1533"/>
      <c r="C7" s="1533"/>
      <c r="D7" s="1533"/>
      <c r="E7" s="1533"/>
      <c r="F7" s="1533"/>
      <c r="G7" s="1534"/>
    </row>
    <row r="8" spans="1:7" ht="30.75" customHeight="1" x14ac:dyDescent="0.25">
      <c r="A8" s="2391" t="s">
        <v>1928</v>
      </c>
      <c r="B8" s="2392"/>
      <c r="C8" s="2392"/>
      <c r="D8" s="2392"/>
      <c r="E8" s="2392"/>
      <c r="F8" s="2392"/>
      <c r="G8" s="2393"/>
    </row>
    <row r="9" spans="1:7" ht="15.75" customHeight="1" x14ac:dyDescent="0.25">
      <c r="A9" s="2394" t="s">
        <v>1903</v>
      </c>
      <c r="B9" s="2395"/>
      <c r="C9" s="2395"/>
      <c r="D9" s="2395"/>
      <c r="E9" s="2395"/>
      <c r="F9" s="2395"/>
      <c r="G9" s="2396"/>
    </row>
    <row r="10" spans="1:7" ht="35.25" customHeight="1" x14ac:dyDescent="0.25">
      <c r="A10" s="2391" t="s">
        <v>2060</v>
      </c>
      <c r="B10" s="2392"/>
      <c r="C10" s="2392"/>
      <c r="D10" s="2392"/>
      <c r="E10" s="2392"/>
      <c r="F10" s="2392"/>
      <c r="G10" s="2393"/>
    </row>
    <row r="11" spans="1:7" ht="15" customHeight="1" x14ac:dyDescent="0.25">
      <c r="A11" s="1535" t="s">
        <v>1817</v>
      </c>
      <c r="B11" s="1536"/>
      <c r="C11" s="1536"/>
      <c r="D11" s="1536"/>
      <c r="E11" s="1536"/>
      <c r="F11" s="1536"/>
      <c r="G11" s="1537"/>
    </row>
    <row r="12" spans="1:7" ht="17.25" customHeight="1" x14ac:dyDescent="0.25">
      <c r="A12" s="2391" t="s">
        <v>1930</v>
      </c>
      <c r="B12" s="2392"/>
      <c r="C12" s="2392"/>
      <c r="D12" s="2392"/>
      <c r="E12" s="2392"/>
      <c r="F12" s="2392"/>
      <c r="G12" s="2393"/>
    </row>
    <row r="13" spans="1:7" ht="15" customHeight="1" x14ac:dyDescent="0.25">
      <c r="A13" s="1535" t="s">
        <v>1822</v>
      </c>
      <c r="B13" s="1536"/>
      <c r="C13" s="1536"/>
      <c r="D13" s="1536"/>
      <c r="E13" s="1536"/>
      <c r="F13" s="1536"/>
      <c r="G13" s="1537"/>
    </row>
    <row r="14" spans="1:7" ht="32.25" customHeight="1" x14ac:dyDescent="0.25">
      <c r="A14" s="2382" t="s">
        <v>1971</v>
      </c>
      <c r="B14" s="2383"/>
      <c r="C14" s="2383"/>
      <c r="D14" s="2383"/>
      <c r="E14" s="2383"/>
      <c r="F14" s="2383"/>
      <c r="G14" s="2384"/>
    </row>
    <row r="15" spans="1:7" x14ac:dyDescent="0.25">
      <c r="A15" s="1659" t="s">
        <v>1830</v>
      </c>
      <c r="B15" s="1660"/>
      <c r="C15" s="1660"/>
      <c r="D15" s="1660"/>
      <c r="E15" s="1660"/>
      <c r="F15" s="1660"/>
      <c r="G15" s="1661"/>
    </row>
    <row r="16" spans="1:7" ht="61.5" customHeight="1" x14ac:dyDescent="0.25">
      <c r="A16" s="1544" t="s">
        <v>1823</v>
      </c>
      <c r="B16" s="1544" t="s">
        <v>1824</v>
      </c>
      <c r="C16" s="1544" t="s">
        <v>1825</v>
      </c>
      <c r="D16" s="1545" t="s">
        <v>1826</v>
      </c>
      <c r="E16" s="1545" t="s">
        <v>1818</v>
      </c>
      <c r="F16" s="1545" t="s">
        <v>1827</v>
      </c>
      <c r="G16" s="1545" t="s">
        <v>1828</v>
      </c>
    </row>
    <row r="17" spans="1:8" x14ac:dyDescent="0.25">
      <c r="A17" s="1646" t="s">
        <v>1831</v>
      </c>
      <c r="B17" s="1647" t="s">
        <v>1821</v>
      </c>
      <c r="C17" s="1648" t="s">
        <v>1819</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2055" t="s">
        <v>2244</v>
      </c>
      <c r="B18" s="1934" t="s">
        <v>2242</v>
      </c>
      <c r="C18" s="2054" t="s">
        <v>2109</v>
      </c>
      <c r="D18" s="1842">
        <v>1852788</v>
      </c>
      <c r="E18" s="1538">
        <f t="shared" ref="E18:E142" si="0">IF(D18&lt;=25000,D18,IF(D18&gt;25000,25000,0))</f>
        <v>25000</v>
      </c>
      <c r="F18" s="1935">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1">
        <f>IF(F18=0,0,D18-F18)</f>
        <v>1827788</v>
      </c>
      <c r="H18" s="1645"/>
    </row>
    <row r="19" spans="1:8" ht="30" x14ac:dyDescent="0.25">
      <c r="A19" s="2055" t="s">
        <v>2245</v>
      </c>
      <c r="B19" s="1934" t="s">
        <v>2243</v>
      </c>
      <c r="C19" s="2054" t="s">
        <v>2110</v>
      </c>
      <c r="D19" s="1842">
        <v>1725145</v>
      </c>
      <c r="E19" s="1538">
        <f t="shared" ref="E19:E141" si="2">IF(D19&lt;=25000,D19,IF(D19&gt;25000,25000,0))</f>
        <v>25000</v>
      </c>
      <c r="F19" s="1935">
        <f t="shared" si="1"/>
        <v>25000</v>
      </c>
      <c r="G19" s="1791">
        <f t="shared" ref="G19:G141" si="3">IF(F19=0,0,D19-F19)</f>
        <v>1700145</v>
      </c>
    </row>
    <row r="20" spans="1:8" x14ac:dyDescent="0.25">
      <c r="A20" s="2055" t="s">
        <v>2246</v>
      </c>
      <c r="B20" s="1934" t="s">
        <v>2250</v>
      </c>
      <c r="C20" s="2054" t="s">
        <v>2241</v>
      </c>
      <c r="D20" s="1842">
        <v>53000</v>
      </c>
      <c r="E20" s="1538">
        <f t="shared" si="2"/>
        <v>25000</v>
      </c>
      <c r="F20" s="1935">
        <f t="shared" si="1"/>
        <v>25000</v>
      </c>
      <c r="G20" s="1791">
        <f t="shared" si="3"/>
        <v>28000</v>
      </c>
    </row>
    <row r="21" spans="1:8" x14ac:dyDescent="0.25">
      <c r="A21" s="2055" t="s">
        <v>2252</v>
      </c>
      <c r="B21" s="1934" t="s">
        <v>2251</v>
      </c>
      <c r="C21" s="2054" t="s">
        <v>2248</v>
      </c>
      <c r="D21" s="1842">
        <v>114255</v>
      </c>
      <c r="E21" s="1538">
        <f t="shared" si="2"/>
        <v>25000</v>
      </c>
      <c r="F21" s="1935">
        <f t="shared" si="1"/>
        <v>25000</v>
      </c>
      <c r="G21" s="1791">
        <f t="shared" si="3"/>
        <v>89255</v>
      </c>
    </row>
    <row r="22" spans="1:8" x14ac:dyDescent="0.25">
      <c r="A22" s="2055" t="s">
        <v>2252</v>
      </c>
      <c r="B22" s="1934" t="s">
        <v>2251</v>
      </c>
      <c r="C22" s="2054" t="s">
        <v>2249</v>
      </c>
      <c r="D22" s="1842">
        <v>47020</v>
      </c>
      <c r="E22" s="1538">
        <f t="shared" si="2"/>
        <v>25000</v>
      </c>
      <c r="F22" s="1935">
        <f t="shared" si="1"/>
        <v>25000</v>
      </c>
      <c r="G22" s="1791">
        <f t="shared" si="3"/>
        <v>22020</v>
      </c>
    </row>
    <row r="23" spans="1:8" x14ac:dyDescent="0.25">
      <c r="A23" s="2055" t="s">
        <v>2255</v>
      </c>
      <c r="B23" s="1934" t="s">
        <v>2254</v>
      </c>
      <c r="C23" s="2054" t="s">
        <v>2253</v>
      </c>
      <c r="D23" s="1842">
        <v>499340</v>
      </c>
      <c r="E23" s="1538">
        <f t="shared" si="2"/>
        <v>25000</v>
      </c>
      <c r="F23" s="1935">
        <f t="shared" si="1"/>
        <v>25000</v>
      </c>
      <c r="G23" s="1791">
        <f t="shared" si="3"/>
        <v>474340</v>
      </c>
    </row>
    <row r="24" spans="1:8" x14ac:dyDescent="0.25">
      <c r="A24" s="1651"/>
      <c r="B24" s="1931"/>
      <c r="C24" s="1654"/>
      <c r="D24" s="1842"/>
      <c r="E24" s="1538">
        <f t="shared" si="2"/>
        <v>0</v>
      </c>
      <c r="F24" s="1935">
        <f t="shared" si="1"/>
        <v>0</v>
      </c>
      <c r="G24" s="1791">
        <f t="shared" si="3"/>
        <v>0</v>
      </c>
    </row>
    <row r="25" spans="1:8" x14ac:dyDescent="0.25">
      <c r="A25" s="1651"/>
      <c r="B25" s="1931"/>
      <c r="C25" s="1654"/>
      <c r="D25" s="1842"/>
      <c r="E25" s="1538">
        <f t="shared" si="2"/>
        <v>0</v>
      </c>
      <c r="F25" s="1935">
        <f t="shared" si="1"/>
        <v>0</v>
      </c>
      <c r="G25" s="1791">
        <f t="shared" si="3"/>
        <v>0</v>
      </c>
    </row>
    <row r="26" spans="1:8" x14ac:dyDescent="0.25">
      <c r="A26" s="1651"/>
      <c r="B26" s="1931"/>
      <c r="C26" s="1654"/>
      <c r="D26" s="1842"/>
      <c r="E26" s="1538">
        <f t="shared" si="2"/>
        <v>0</v>
      </c>
      <c r="F26" s="1935">
        <f t="shared" si="1"/>
        <v>0</v>
      </c>
      <c r="G26" s="1791">
        <f t="shared" si="3"/>
        <v>0</v>
      </c>
    </row>
    <row r="27" spans="1:8" x14ac:dyDescent="0.25">
      <c r="A27" s="1651"/>
      <c r="B27" s="1931"/>
      <c r="C27" s="1652"/>
      <c r="D27" s="1842"/>
      <c r="E27" s="1538">
        <f t="shared" si="2"/>
        <v>0</v>
      </c>
      <c r="F27" s="1935">
        <f t="shared" si="1"/>
        <v>0</v>
      </c>
      <c r="G27" s="1791">
        <f t="shared" si="3"/>
        <v>0</v>
      </c>
    </row>
    <row r="28" spans="1:8" x14ac:dyDescent="0.25">
      <c r="A28" s="1651"/>
      <c r="B28" s="1931"/>
      <c r="C28" s="1652"/>
      <c r="D28" s="1842"/>
      <c r="E28" s="1538">
        <f t="shared" si="2"/>
        <v>0</v>
      </c>
      <c r="F28" s="1935">
        <f t="shared" si="1"/>
        <v>0</v>
      </c>
      <c r="G28" s="1791">
        <f t="shared" si="3"/>
        <v>0</v>
      </c>
    </row>
    <row r="29" spans="1:8" x14ac:dyDescent="0.25">
      <c r="A29" s="1651"/>
      <c r="B29" s="1931"/>
      <c r="C29" s="1652"/>
      <c r="D29" s="1842"/>
      <c r="E29" s="1538">
        <f t="shared" si="2"/>
        <v>0</v>
      </c>
      <c r="F29" s="1935">
        <f t="shared" si="1"/>
        <v>0</v>
      </c>
      <c r="G29" s="1791">
        <f t="shared" si="3"/>
        <v>0</v>
      </c>
    </row>
    <row r="30" spans="1:8" x14ac:dyDescent="0.25">
      <c r="A30" s="1651"/>
      <c r="B30" s="1931"/>
      <c r="C30" s="1652"/>
      <c r="D30" s="1842"/>
      <c r="E30" s="1538">
        <f t="shared" si="2"/>
        <v>0</v>
      </c>
      <c r="F30" s="1935">
        <f t="shared" si="1"/>
        <v>0</v>
      </c>
      <c r="G30" s="1791">
        <f t="shared" si="3"/>
        <v>0</v>
      </c>
    </row>
    <row r="31" spans="1:8" x14ac:dyDescent="0.25">
      <c r="A31" s="1651"/>
      <c r="B31" s="1931"/>
      <c r="C31" s="1652"/>
      <c r="D31" s="1842"/>
      <c r="E31" s="1538">
        <f t="shared" si="2"/>
        <v>0</v>
      </c>
      <c r="F31" s="1935">
        <f t="shared" si="1"/>
        <v>0</v>
      </c>
      <c r="G31" s="1791">
        <f t="shared" si="3"/>
        <v>0</v>
      </c>
    </row>
    <row r="32" spans="1:8" x14ac:dyDescent="0.25">
      <c r="A32" s="1651"/>
      <c r="B32" s="1931"/>
      <c r="C32" s="1652"/>
      <c r="D32" s="1842"/>
      <c r="E32" s="1538">
        <f t="shared" si="2"/>
        <v>0</v>
      </c>
      <c r="F32" s="1935">
        <f t="shared" si="1"/>
        <v>0</v>
      </c>
      <c r="G32" s="1791">
        <f t="shared" si="3"/>
        <v>0</v>
      </c>
    </row>
    <row r="33" spans="1:7" x14ac:dyDescent="0.25">
      <c r="A33" s="1651"/>
      <c r="B33" s="1931"/>
      <c r="C33" s="1652"/>
      <c r="D33" s="1842"/>
      <c r="E33" s="1538">
        <f t="shared" si="2"/>
        <v>0</v>
      </c>
      <c r="F33" s="1935">
        <f t="shared" si="1"/>
        <v>0</v>
      </c>
      <c r="G33" s="1791">
        <f t="shared" si="3"/>
        <v>0</v>
      </c>
    </row>
    <row r="34" spans="1:7" x14ac:dyDescent="0.25">
      <c r="A34" s="1651"/>
      <c r="B34" s="1931"/>
      <c r="C34" s="1652"/>
      <c r="D34" s="1842"/>
      <c r="E34" s="1538">
        <f t="shared" si="2"/>
        <v>0</v>
      </c>
      <c r="F34" s="1935">
        <f t="shared" si="1"/>
        <v>0</v>
      </c>
      <c r="G34" s="1791">
        <f t="shared" si="3"/>
        <v>0</v>
      </c>
    </row>
    <row r="35" spans="1:7" x14ac:dyDescent="0.25">
      <c r="A35" s="1651"/>
      <c r="B35" s="1931"/>
      <c r="C35" s="1652"/>
      <c r="D35" s="1842"/>
      <c r="E35" s="1538">
        <f t="shared" si="2"/>
        <v>0</v>
      </c>
      <c r="F35" s="1935">
        <f t="shared" si="1"/>
        <v>0</v>
      </c>
      <c r="G35" s="1791">
        <f t="shared" si="3"/>
        <v>0</v>
      </c>
    </row>
    <row r="36" spans="1:7" x14ac:dyDescent="0.25">
      <c r="A36" s="1651"/>
      <c r="B36" s="1931"/>
      <c r="C36" s="1652"/>
      <c r="D36" s="1842"/>
      <c r="E36" s="1538">
        <f t="shared" si="2"/>
        <v>0</v>
      </c>
      <c r="F36" s="1935">
        <f t="shared" si="1"/>
        <v>0</v>
      </c>
      <c r="G36" s="1791">
        <f t="shared" si="3"/>
        <v>0</v>
      </c>
    </row>
    <row r="37" spans="1:7" x14ac:dyDescent="0.25">
      <c r="A37" s="1651"/>
      <c r="B37" s="1931"/>
      <c r="C37" s="1652"/>
      <c r="D37" s="1842"/>
      <c r="E37" s="1538">
        <f t="shared" si="2"/>
        <v>0</v>
      </c>
      <c r="F37" s="1935">
        <f t="shared" si="1"/>
        <v>0</v>
      </c>
      <c r="G37" s="1791">
        <f t="shared" si="3"/>
        <v>0</v>
      </c>
    </row>
    <row r="38" spans="1:7" x14ac:dyDescent="0.25">
      <c r="A38" s="1651"/>
      <c r="B38" s="1931"/>
      <c r="C38" s="1652"/>
      <c r="D38" s="1842"/>
      <c r="E38" s="1538">
        <f t="shared" si="2"/>
        <v>0</v>
      </c>
      <c r="F38" s="1935">
        <f t="shared" si="1"/>
        <v>0</v>
      </c>
      <c r="G38" s="1791">
        <f t="shared" si="3"/>
        <v>0</v>
      </c>
    </row>
    <row r="39" spans="1:7" x14ac:dyDescent="0.25">
      <c r="A39" s="1651"/>
      <c r="B39" s="1932"/>
      <c r="C39" s="1652"/>
      <c r="D39" s="1842"/>
      <c r="E39" s="1538">
        <f t="shared" si="2"/>
        <v>0</v>
      </c>
      <c r="F39" s="1935">
        <f t="shared" si="1"/>
        <v>0</v>
      </c>
      <c r="G39" s="1791">
        <f t="shared" si="3"/>
        <v>0</v>
      </c>
    </row>
    <row r="40" spans="1:7" x14ac:dyDescent="0.25">
      <c r="A40" s="1651"/>
      <c r="B40" s="1932"/>
      <c r="C40" s="1652"/>
      <c r="D40" s="1842"/>
      <c r="E40" s="1538">
        <f t="shared" si="2"/>
        <v>0</v>
      </c>
      <c r="F40" s="1935">
        <f t="shared" si="1"/>
        <v>0</v>
      </c>
      <c r="G40" s="1791">
        <f t="shared" si="3"/>
        <v>0</v>
      </c>
    </row>
    <row r="41" spans="1:7" x14ac:dyDescent="0.25">
      <c r="A41" s="1651"/>
      <c r="B41" s="1932"/>
      <c r="C41" s="1652"/>
      <c r="D41" s="1842"/>
      <c r="E41" s="1538">
        <f t="shared" si="2"/>
        <v>0</v>
      </c>
      <c r="F41" s="1935">
        <f t="shared" si="1"/>
        <v>0</v>
      </c>
      <c r="G41" s="1791">
        <f t="shared" si="3"/>
        <v>0</v>
      </c>
    </row>
    <row r="42" spans="1:7" x14ac:dyDescent="0.25">
      <c r="A42" s="1651"/>
      <c r="B42" s="1932"/>
      <c r="C42" s="1652"/>
      <c r="D42" s="1842"/>
      <c r="E42" s="1538">
        <f t="shared" si="2"/>
        <v>0</v>
      </c>
      <c r="F42" s="1935">
        <f t="shared" si="1"/>
        <v>0</v>
      </c>
      <c r="G42" s="1791">
        <f t="shared" si="3"/>
        <v>0</v>
      </c>
    </row>
    <row r="43" spans="1:7" x14ac:dyDescent="0.25">
      <c r="A43" s="1651"/>
      <c r="B43" s="1932"/>
      <c r="C43" s="1652"/>
      <c r="D43" s="1842"/>
      <c r="E43" s="1538">
        <f t="shared" si="2"/>
        <v>0</v>
      </c>
      <c r="F43" s="1935">
        <f t="shared" si="1"/>
        <v>0</v>
      </c>
      <c r="G43" s="1791">
        <f t="shared" si="3"/>
        <v>0</v>
      </c>
    </row>
    <row r="44" spans="1:7" x14ac:dyDescent="0.25">
      <c r="A44" s="1651"/>
      <c r="B44" s="1932"/>
      <c r="C44" s="1652"/>
      <c r="D44" s="1842"/>
      <c r="E44" s="1538">
        <f t="shared" si="2"/>
        <v>0</v>
      </c>
      <c r="F44" s="1935">
        <f t="shared" si="1"/>
        <v>0</v>
      </c>
      <c r="G44" s="1791">
        <f t="shared" si="3"/>
        <v>0</v>
      </c>
    </row>
    <row r="45" spans="1:7" x14ac:dyDescent="0.25">
      <c r="A45" s="1651"/>
      <c r="B45" s="1932"/>
      <c r="C45" s="1652"/>
      <c r="D45" s="1842"/>
      <c r="E45" s="1538">
        <f t="shared" si="2"/>
        <v>0</v>
      </c>
      <c r="F45" s="1935">
        <f t="shared" si="1"/>
        <v>0</v>
      </c>
      <c r="G45" s="1791">
        <f t="shared" si="3"/>
        <v>0</v>
      </c>
    </row>
    <row r="46" spans="1:7" x14ac:dyDescent="0.25">
      <c r="A46" s="1651"/>
      <c r="B46" s="1932"/>
      <c r="C46" s="1652"/>
      <c r="D46" s="1842"/>
      <c r="E46" s="1538">
        <f t="shared" si="2"/>
        <v>0</v>
      </c>
      <c r="F46" s="1935">
        <f t="shared" si="1"/>
        <v>0</v>
      </c>
      <c r="G46" s="1791">
        <f t="shared" si="3"/>
        <v>0</v>
      </c>
    </row>
    <row r="47" spans="1:7" x14ac:dyDescent="0.25">
      <c r="A47" s="1651"/>
      <c r="B47" s="1665"/>
      <c r="C47" s="1652"/>
      <c r="D47" s="1842"/>
      <c r="E47" s="1538">
        <f t="shared" si="2"/>
        <v>0</v>
      </c>
      <c r="F47" s="1935">
        <f t="shared" si="1"/>
        <v>0</v>
      </c>
      <c r="G47" s="1791">
        <f t="shared" si="3"/>
        <v>0</v>
      </c>
    </row>
    <row r="48" spans="1:7" x14ac:dyDescent="0.25">
      <c r="A48" s="1651"/>
      <c r="B48" s="1665"/>
      <c r="C48" s="1652"/>
      <c r="D48" s="1842"/>
      <c r="E48" s="1538">
        <f t="shared" si="2"/>
        <v>0</v>
      </c>
      <c r="F48" s="1935">
        <f t="shared" si="1"/>
        <v>0</v>
      </c>
      <c r="G48" s="1791">
        <f t="shared" si="3"/>
        <v>0</v>
      </c>
    </row>
    <row r="49" spans="1:7" x14ac:dyDescent="0.25">
      <c r="A49" s="1651"/>
      <c r="B49" s="1665"/>
      <c r="C49" s="1652"/>
      <c r="D49" s="1842"/>
      <c r="E49" s="1538">
        <f t="shared" si="2"/>
        <v>0</v>
      </c>
      <c r="F49" s="1935">
        <f t="shared" si="1"/>
        <v>0</v>
      </c>
      <c r="G49" s="1791">
        <f t="shared" si="3"/>
        <v>0</v>
      </c>
    </row>
    <row r="50" spans="1:7" x14ac:dyDescent="0.25">
      <c r="A50" s="1651"/>
      <c r="B50" s="1665"/>
      <c r="C50" s="1652"/>
      <c r="D50" s="1842"/>
      <c r="E50" s="1538">
        <f t="shared" si="2"/>
        <v>0</v>
      </c>
      <c r="F50" s="1935">
        <f t="shared" si="1"/>
        <v>0</v>
      </c>
      <c r="G50" s="1791">
        <f t="shared" si="3"/>
        <v>0</v>
      </c>
    </row>
    <row r="51" spans="1:7" x14ac:dyDescent="0.25">
      <c r="A51" s="1651"/>
      <c r="B51" s="1665"/>
      <c r="C51" s="1652"/>
      <c r="D51" s="1842"/>
      <c r="E51" s="1538">
        <f t="shared" si="2"/>
        <v>0</v>
      </c>
      <c r="F51" s="1935">
        <f t="shared" si="1"/>
        <v>0</v>
      </c>
      <c r="G51" s="1791">
        <f t="shared" si="3"/>
        <v>0</v>
      </c>
    </row>
    <row r="52" spans="1:7" x14ac:dyDescent="0.25">
      <c r="A52" s="1651"/>
      <c r="B52" s="1665"/>
      <c r="C52" s="1652"/>
      <c r="D52" s="1842"/>
      <c r="E52" s="1538">
        <f t="shared" si="2"/>
        <v>0</v>
      </c>
      <c r="F52" s="1935">
        <f t="shared" si="1"/>
        <v>0</v>
      </c>
      <c r="G52" s="1791">
        <f t="shared" si="3"/>
        <v>0</v>
      </c>
    </row>
    <row r="53" spans="1:7" x14ac:dyDescent="0.25">
      <c r="A53" s="1651"/>
      <c r="B53" s="1665"/>
      <c r="C53" s="1652"/>
      <c r="D53" s="1842"/>
      <c r="E53" s="1538">
        <f t="shared" si="2"/>
        <v>0</v>
      </c>
      <c r="F53" s="1935">
        <f t="shared" si="1"/>
        <v>0</v>
      </c>
      <c r="G53" s="1791">
        <f t="shared" si="3"/>
        <v>0</v>
      </c>
    </row>
    <row r="54" spans="1:7" x14ac:dyDescent="0.25">
      <c r="A54" s="1651"/>
      <c r="B54" s="1665"/>
      <c r="C54" s="1652"/>
      <c r="D54" s="1842"/>
      <c r="E54" s="1538">
        <f t="shared" si="2"/>
        <v>0</v>
      </c>
      <c r="F54" s="1935">
        <f t="shared" si="1"/>
        <v>0</v>
      </c>
      <c r="G54" s="1791">
        <f t="shared" si="3"/>
        <v>0</v>
      </c>
    </row>
    <row r="55" spans="1:7" x14ac:dyDescent="0.25">
      <c r="A55" s="1651"/>
      <c r="B55" s="1665"/>
      <c r="C55" s="1652"/>
      <c r="D55" s="1842"/>
      <c r="E55" s="1538">
        <f t="shared" si="2"/>
        <v>0</v>
      </c>
      <c r="F55" s="1935">
        <f t="shared" si="1"/>
        <v>0</v>
      </c>
      <c r="G55" s="1791">
        <f t="shared" si="3"/>
        <v>0</v>
      </c>
    </row>
    <row r="56" spans="1:7" x14ac:dyDescent="0.25">
      <c r="A56" s="1651"/>
      <c r="B56" s="1665"/>
      <c r="C56" s="1652"/>
      <c r="D56" s="1842"/>
      <c r="E56" s="1538">
        <f t="shared" si="2"/>
        <v>0</v>
      </c>
      <c r="F56" s="1935">
        <f t="shared" si="1"/>
        <v>0</v>
      </c>
      <c r="G56" s="1791">
        <f t="shared" si="3"/>
        <v>0</v>
      </c>
    </row>
    <row r="57" spans="1:7" x14ac:dyDescent="0.25">
      <c r="A57" s="1651"/>
      <c r="B57" s="1665"/>
      <c r="C57" s="1652"/>
      <c r="D57" s="1842"/>
      <c r="E57" s="1538">
        <f t="shared" si="2"/>
        <v>0</v>
      </c>
      <c r="F57" s="1935">
        <f t="shared" si="1"/>
        <v>0</v>
      </c>
      <c r="G57" s="1791">
        <f t="shared" si="3"/>
        <v>0</v>
      </c>
    </row>
    <row r="58" spans="1:7" x14ac:dyDescent="0.25">
      <c r="A58" s="1651"/>
      <c r="B58" s="1665"/>
      <c r="C58" s="1652"/>
      <c r="D58" s="1842"/>
      <c r="E58" s="1538">
        <f t="shared" si="2"/>
        <v>0</v>
      </c>
      <c r="F58" s="1935">
        <f t="shared" si="1"/>
        <v>0</v>
      </c>
      <c r="G58" s="1791">
        <f t="shared" si="3"/>
        <v>0</v>
      </c>
    </row>
    <row r="59" spans="1:7" x14ac:dyDescent="0.25">
      <c r="A59" s="1651"/>
      <c r="B59" s="1665"/>
      <c r="C59" s="1652"/>
      <c r="D59" s="1842"/>
      <c r="E59" s="1538">
        <f t="shared" si="2"/>
        <v>0</v>
      </c>
      <c r="F59" s="1935">
        <f t="shared" si="1"/>
        <v>0</v>
      </c>
      <c r="G59" s="1791">
        <f t="shared" si="3"/>
        <v>0</v>
      </c>
    </row>
    <row r="60" spans="1:7" x14ac:dyDescent="0.25">
      <c r="A60" s="1651"/>
      <c r="B60" s="1665"/>
      <c r="C60" s="1652"/>
      <c r="D60" s="1842"/>
      <c r="E60" s="1538">
        <f t="shared" si="2"/>
        <v>0</v>
      </c>
      <c r="F60" s="1935">
        <f t="shared" si="1"/>
        <v>0</v>
      </c>
      <c r="G60" s="1791">
        <f t="shared" si="3"/>
        <v>0</v>
      </c>
    </row>
    <row r="61" spans="1:7" x14ac:dyDescent="0.25">
      <c r="A61" s="1651"/>
      <c r="B61" s="1665"/>
      <c r="C61" s="1652"/>
      <c r="D61" s="1842"/>
      <c r="E61" s="1538">
        <f t="shared" si="2"/>
        <v>0</v>
      </c>
      <c r="F61" s="1935">
        <f t="shared" si="1"/>
        <v>0</v>
      </c>
      <c r="G61" s="1791">
        <f t="shared" si="3"/>
        <v>0</v>
      </c>
    </row>
    <row r="62" spans="1:7" x14ac:dyDescent="0.25">
      <c r="A62" s="1651"/>
      <c r="B62" s="1665"/>
      <c r="C62" s="1652"/>
      <c r="D62" s="1842"/>
      <c r="E62" s="1538">
        <f t="shared" si="2"/>
        <v>0</v>
      </c>
      <c r="F62" s="1935">
        <f t="shared" si="1"/>
        <v>0</v>
      </c>
      <c r="G62" s="1791">
        <f t="shared" si="3"/>
        <v>0</v>
      </c>
    </row>
    <row r="63" spans="1:7" x14ac:dyDescent="0.25">
      <c r="A63" s="1651"/>
      <c r="B63" s="1665"/>
      <c r="C63" s="1652"/>
      <c r="D63" s="1842"/>
      <c r="E63" s="1538">
        <f t="shared" si="2"/>
        <v>0</v>
      </c>
      <c r="F63" s="1935">
        <f t="shared" si="1"/>
        <v>0</v>
      </c>
      <c r="G63" s="1791">
        <f t="shared" si="3"/>
        <v>0</v>
      </c>
    </row>
    <row r="64" spans="1:7" x14ac:dyDescent="0.25">
      <c r="A64" s="1651"/>
      <c r="B64" s="1665"/>
      <c r="C64" s="1652"/>
      <c r="D64" s="1842"/>
      <c r="E64" s="1538">
        <f t="shared" si="2"/>
        <v>0</v>
      </c>
      <c r="F64" s="1935">
        <f t="shared" si="1"/>
        <v>0</v>
      </c>
      <c r="G64" s="1791">
        <f t="shared" si="3"/>
        <v>0</v>
      </c>
    </row>
    <row r="65" spans="1:7" x14ac:dyDescent="0.25">
      <c r="A65" s="1653"/>
      <c r="B65" s="1665"/>
      <c r="C65" s="1654"/>
      <c r="D65" s="1842"/>
      <c r="E65" s="1538">
        <f t="shared" si="2"/>
        <v>0</v>
      </c>
      <c r="F65" s="1935">
        <f t="shared" si="1"/>
        <v>0</v>
      </c>
      <c r="G65" s="1791">
        <f t="shared" si="3"/>
        <v>0</v>
      </c>
    </row>
    <row r="66" spans="1:7" x14ac:dyDescent="0.25">
      <c r="A66" s="1651"/>
      <c r="B66" s="1665"/>
      <c r="C66" s="1652"/>
      <c r="D66" s="1842"/>
      <c r="E66" s="1538">
        <f t="shared" si="2"/>
        <v>0</v>
      </c>
      <c r="F66" s="1935">
        <f t="shared" si="1"/>
        <v>0</v>
      </c>
      <c r="G66" s="1791">
        <f t="shared" si="3"/>
        <v>0</v>
      </c>
    </row>
    <row r="67" spans="1:7" x14ac:dyDescent="0.25">
      <c r="A67" s="1651"/>
      <c r="B67" s="1665"/>
      <c r="C67" s="1652"/>
      <c r="D67" s="1842"/>
      <c r="E67" s="1538">
        <f t="shared" si="2"/>
        <v>0</v>
      </c>
      <c r="F67" s="1935">
        <f t="shared" si="1"/>
        <v>0</v>
      </c>
      <c r="G67" s="1791">
        <f t="shared" si="3"/>
        <v>0</v>
      </c>
    </row>
    <row r="68" spans="1:7" x14ac:dyDescent="0.25">
      <c r="A68" s="1651"/>
      <c r="B68" s="1665"/>
      <c r="C68" s="1652"/>
      <c r="D68" s="1842"/>
      <c r="E68" s="1538">
        <f t="shared" si="2"/>
        <v>0</v>
      </c>
      <c r="F68" s="1935">
        <f t="shared" si="1"/>
        <v>0</v>
      </c>
      <c r="G68" s="1791">
        <f t="shared" si="3"/>
        <v>0</v>
      </c>
    </row>
    <row r="69" spans="1:7" x14ac:dyDescent="0.25">
      <c r="A69" s="1651"/>
      <c r="B69" s="1665"/>
      <c r="C69" s="1652"/>
      <c r="D69" s="1842"/>
      <c r="E69" s="1538">
        <f t="shared" si="2"/>
        <v>0</v>
      </c>
      <c r="F69" s="1935">
        <f t="shared" si="1"/>
        <v>0</v>
      </c>
      <c r="G69" s="1791">
        <f t="shared" si="3"/>
        <v>0</v>
      </c>
    </row>
    <row r="70" spans="1:7" x14ac:dyDescent="0.25">
      <c r="A70" s="1651"/>
      <c r="B70" s="1665"/>
      <c r="C70" s="1652"/>
      <c r="D70" s="1842"/>
      <c r="E70" s="1538">
        <f t="shared" si="2"/>
        <v>0</v>
      </c>
      <c r="F70" s="1935">
        <f t="shared" si="1"/>
        <v>0</v>
      </c>
      <c r="G70" s="1791">
        <f t="shared" si="3"/>
        <v>0</v>
      </c>
    </row>
    <row r="71" spans="1:7" x14ac:dyDescent="0.25">
      <c r="A71" s="1651"/>
      <c r="B71" s="1665"/>
      <c r="C71" s="1652"/>
      <c r="D71" s="1842"/>
      <c r="E71" s="1538">
        <f t="shared" si="2"/>
        <v>0</v>
      </c>
      <c r="F71" s="1935">
        <f t="shared" si="1"/>
        <v>0</v>
      </c>
      <c r="G71" s="1791">
        <f t="shared" si="3"/>
        <v>0</v>
      </c>
    </row>
    <row r="72" spans="1:7" x14ac:dyDescent="0.25">
      <c r="A72" s="1651"/>
      <c r="B72" s="1665"/>
      <c r="C72" s="1652"/>
      <c r="D72" s="1842"/>
      <c r="E72" s="1538">
        <f t="shared" si="2"/>
        <v>0</v>
      </c>
      <c r="F72" s="1935">
        <f t="shared" si="1"/>
        <v>0</v>
      </c>
      <c r="G72" s="1791">
        <f t="shared" si="3"/>
        <v>0</v>
      </c>
    </row>
    <row r="73" spans="1:7" x14ac:dyDescent="0.25">
      <c r="A73" s="1651"/>
      <c r="B73" s="1665"/>
      <c r="C73" s="1652"/>
      <c r="D73" s="1842"/>
      <c r="E73" s="1538">
        <f t="shared" si="2"/>
        <v>0</v>
      </c>
      <c r="F73" s="1935">
        <f t="shared" si="1"/>
        <v>0</v>
      </c>
      <c r="G73" s="1791">
        <f t="shared" si="3"/>
        <v>0</v>
      </c>
    </row>
    <row r="74" spans="1:7" x14ac:dyDescent="0.25">
      <c r="A74" s="1651"/>
      <c r="B74" s="1665"/>
      <c r="C74" s="1652"/>
      <c r="D74" s="1842"/>
      <c r="E74" s="1538">
        <f t="shared" ref="E74:E85" si="4">IF(D74&lt;=25000,D74,IF(D74&gt;25000,25000,0))</f>
        <v>0</v>
      </c>
      <c r="F74" s="1935">
        <f t="shared" si="1"/>
        <v>0</v>
      </c>
      <c r="G74" s="1791">
        <f t="shared" ref="G74:G85" si="5">IF(F74=0,0,D74-F74)</f>
        <v>0</v>
      </c>
    </row>
    <row r="75" spans="1:7" x14ac:dyDescent="0.25">
      <c r="A75" s="1651"/>
      <c r="B75" s="1665"/>
      <c r="C75" s="1652"/>
      <c r="D75" s="1842"/>
      <c r="E75" s="1538">
        <f t="shared" si="4"/>
        <v>0</v>
      </c>
      <c r="F75" s="1935">
        <f t="shared" si="1"/>
        <v>0</v>
      </c>
      <c r="G75" s="1791">
        <f t="shared" si="5"/>
        <v>0</v>
      </c>
    </row>
    <row r="76" spans="1:7" x14ac:dyDescent="0.25">
      <c r="A76" s="1651"/>
      <c r="B76" s="1665"/>
      <c r="C76" s="1652"/>
      <c r="D76" s="1842"/>
      <c r="E76" s="1538">
        <f t="shared" si="4"/>
        <v>0</v>
      </c>
      <c r="F76" s="1935">
        <f t="shared" si="1"/>
        <v>0</v>
      </c>
      <c r="G76" s="1791">
        <f t="shared" si="5"/>
        <v>0</v>
      </c>
    </row>
    <row r="77" spans="1:7" x14ac:dyDescent="0.25">
      <c r="A77" s="1651"/>
      <c r="B77" s="1665"/>
      <c r="C77" s="1652"/>
      <c r="D77" s="1842"/>
      <c r="E77" s="1538">
        <f t="shared" si="4"/>
        <v>0</v>
      </c>
      <c r="F77" s="1935">
        <f t="shared" si="1"/>
        <v>0</v>
      </c>
      <c r="G77" s="1791">
        <f t="shared" si="5"/>
        <v>0</v>
      </c>
    </row>
    <row r="78" spans="1:7" x14ac:dyDescent="0.25">
      <c r="A78" s="1651"/>
      <c r="B78" s="1665"/>
      <c r="C78" s="1652"/>
      <c r="D78" s="1842"/>
      <c r="E78" s="1538">
        <f t="shared" si="4"/>
        <v>0</v>
      </c>
      <c r="F78" s="1935">
        <f t="shared" si="1"/>
        <v>0</v>
      </c>
      <c r="G78" s="1791">
        <f t="shared" si="5"/>
        <v>0</v>
      </c>
    </row>
    <row r="79" spans="1:7" x14ac:dyDescent="0.25">
      <c r="A79" s="1651"/>
      <c r="B79" s="1665"/>
      <c r="C79" s="1652"/>
      <c r="D79" s="1842"/>
      <c r="E79" s="1538">
        <f t="shared" si="4"/>
        <v>0</v>
      </c>
      <c r="F79" s="1935">
        <f t="shared" si="1"/>
        <v>0</v>
      </c>
      <c r="G79" s="1791">
        <f t="shared" si="5"/>
        <v>0</v>
      </c>
    </row>
    <row r="80" spans="1:7" x14ac:dyDescent="0.25">
      <c r="A80" s="1651"/>
      <c r="B80" s="1665"/>
      <c r="C80" s="1652"/>
      <c r="D80" s="1842"/>
      <c r="E80" s="1538">
        <f t="shared" si="4"/>
        <v>0</v>
      </c>
      <c r="F80" s="1935">
        <f t="shared" si="1"/>
        <v>0</v>
      </c>
      <c r="G80" s="1791">
        <f t="shared" si="5"/>
        <v>0</v>
      </c>
    </row>
    <row r="81" spans="1:7" x14ac:dyDescent="0.25">
      <c r="A81" s="1651"/>
      <c r="B81" s="1665"/>
      <c r="C81" s="1652"/>
      <c r="D81" s="1842"/>
      <c r="E81" s="1538">
        <f t="shared" si="4"/>
        <v>0</v>
      </c>
      <c r="F81" s="1935">
        <f t="shared" si="1"/>
        <v>0</v>
      </c>
      <c r="G81" s="1791">
        <f t="shared" si="5"/>
        <v>0</v>
      </c>
    </row>
    <row r="82" spans="1:7" x14ac:dyDescent="0.25">
      <c r="A82" s="1651"/>
      <c r="B82" s="1665"/>
      <c r="C82" s="1652"/>
      <c r="D82" s="1842"/>
      <c r="E82" s="1538">
        <f t="shared" si="4"/>
        <v>0</v>
      </c>
      <c r="F82" s="1935">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1">
        <f t="shared" si="5"/>
        <v>0</v>
      </c>
    </row>
    <row r="83" spans="1:7" x14ac:dyDescent="0.25">
      <c r="A83" s="1651"/>
      <c r="B83" s="1665"/>
      <c r="C83" s="1652"/>
      <c r="D83" s="1842"/>
      <c r="E83" s="1538">
        <f t="shared" si="4"/>
        <v>0</v>
      </c>
      <c r="F83" s="1935">
        <f t="shared" si="6"/>
        <v>0</v>
      </c>
      <c r="G83" s="1791">
        <f t="shared" si="5"/>
        <v>0</v>
      </c>
    </row>
    <row r="84" spans="1:7" x14ac:dyDescent="0.25">
      <c r="A84" s="1651"/>
      <c r="B84" s="1665"/>
      <c r="C84" s="1652"/>
      <c r="D84" s="1842"/>
      <c r="E84" s="1538">
        <f t="shared" si="4"/>
        <v>0</v>
      </c>
      <c r="F84" s="1935">
        <f t="shared" si="6"/>
        <v>0</v>
      </c>
      <c r="G84" s="1791">
        <f t="shared" si="5"/>
        <v>0</v>
      </c>
    </row>
    <row r="85" spans="1:7" x14ac:dyDescent="0.25">
      <c r="A85" s="1651"/>
      <c r="B85" s="1665"/>
      <c r="C85" s="1652"/>
      <c r="D85" s="1842"/>
      <c r="E85" s="1538">
        <f t="shared" si="4"/>
        <v>0</v>
      </c>
      <c r="F85" s="1935">
        <f t="shared" si="6"/>
        <v>0</v>
      </c>
      <c r="G85" s="1791">
        <f t="shared" si="5"/>
        <v>0</v>
      </c>
    </row>
    <row r="86" spans="1:7" x14ac:dyDescent="0.25">
      <c r="A86" s="1651"/>
      <c r="B86" s="1665"/>
      <c r="C86" s="1652"/>
      <c r="D86" s="1842"/>
      <c r="E86" s="1538">
        <f t="shared" si="2"/>
        <v>0</v>
      </c>
      <c r="F86" s="1935">
        <f t="shared" si="6"/>
        <v>0</v>
      </c>
      <c r="G86" s="1791">
        <f t="shared" si="3"/>
        <v>0</v>
      </c>
    </row>
    <row r="87" spans="1:7" x14ac:dyDescent="0.25">
      <c r="A87" s="1651"/>
      <c r="B87" s="1665"/>
      <c r="C87" s="1652"/>
      <c r="D87" s="1842"/>
      <c r="E87" s="1538">
        <f t="shared" si="2"/>
        <v>0</v>
      </c>
      <c r="F87" s="1935">
        <f t="shared" si="6"/>
        <v>0</v>
      </c>
      <c r="G87" s="1791">
        <f t="shared" si="3"/>
        <v>0</v>
      </c>
    </row>
    <row r="88" spans="1:7" x14ac:dyDescent="0.25">
      <c r="A88" s="1651"/>
      <c r="B88" s="1665"/>
      <c r="C88" s="1652"/>
      <c r="D88" s="1842"/>
      <c r="E88" s="1538">
        <f t="shared" si="2"/>
        <v>0</v>
      </c>
      <c r="F88" s="1935">
        <f t="shared" si="6"/>
        <v>0</v>
      </c>
      <c r="G88" s="1791">
        <f t="shared" si="3"/>
        <v>0</v>
      </c>
    </row>
    <row r="89" spans="1:7" x14ac:dyDescent="0.25">
      <c r="A89" s="1651"/>
      <c r="B89" s="1665"/>
      <c r="C89" s="1652"/>
      <c r="D89" s="1842"/>
      <c r="E89" s="1538">
        <f t="shared" si="2"/>
        <v>0</v>
      </c>
      <c r="F89" s="1935">
        <f t="shared" si="6"/>
        <v>0</v>
      </c>
      <c r="G89" s="1791">
        <f t="shared" si="3"/>
        <v>0</v>
      </c>
    </row>
    <row r="90" spans="1:7" x14ac:dyDescent="0.25">
      <c r="A90" s="1651"/>
      <c r="B90" s="1665"/>
      <c r="C90" s="1652"/>
      <c r="D90" s="1842"/>
      <c r="E90" s="1538">
        <f t="shared" si="2"/>
        <v>0</v>
      </c>
      <c r="F90" s="1935">
        <f t="shared" si="6"/>
        <v>0</v>
      </c>
      <c r="G90" s="1791">
        <f t="shared" si="3"/>
        <v>0</v>
      </c>
    </row>
    <row r="91" spans="1:7" x14ac:dyDescent="0.25">
      <c r="A91" s="1651"/>
      <c r="B91" s="1665"/>
      <c r="C91" s="1652"/>
      <c r="D91" s="1842"/>
      <c r="E91" s="1538">
        <f t="shared" si="2"/>
        <v>0</v>
      </c>
      <c r="F91" s="1935">
        <f t="shared" si="6"/>
        <v>0</v>
      </c>
      <c r="G91" s="1791">
        <f t="shared" si="3"/>
        <v>0</v>
      </c>
    </row>
    <row r="92" spans="1:7" x14ac:dyDescent="0.25">
      <c r="A92" s="1651"/>
      <c r="B92" s="1665"/>
      <c r="C92" s="1652"/>
      <c r="D92" s="1842"/>
      <c r="E92" s="1538">
        <f t="shared" si="2"/>
        <v>0</v>
      </c>
      <c r="F92" s="1935">
        <f t="shared" si="6"/>
        <v>0</v>
      </c>
      <c r="G92" s="1791">
        <f t="shared" si="3"/>
        <v>0</v>
      </c>
    </row>
    <row r="93" spans="1:7" x14ac:dyDescent="0.25">
      <c r="A93" s="1651"/>
      <c r="B93" s="1665"/>
      <c r="C93" s="1652"/>
      <c r="D93" s="1842"/>
      <c r="E93" s="1538">
        <f t="shared" si="2"/>
        <v>0</v>
      </c>
      <c r="F93" s="1935">
        <f t="shared" si="6"/>
        <v>0</v>
      </c>
      <c r="G93" s="1791">
        <f t="shared" si="3"/>
        <v>0</v>
      </c>
    </row>
    <row r="94" spans="1:7" x14ac:dyDescent="0.25">
      <c r="A94" s="1651"/>
      <c r="B94" s="1665"/>
      <c r="C94" s="1652"/>
      <c r="D94" s="1842"/>
      <c r="E94" s="1538">
        <f t="shared" ref="E94" si="7">IF(D94&lt;=25000,D94,IF(D94&gt;25000,25000,0))</f>
        <v>0</v>
      </c>
      <c r="F94" s="1935">
        <f t="shared" si="6"/>
        <v>0</v>
      </c>
      <c r="G94" s="1791">
        <f t="shared" ref="G94" si="8">IF(F94=0,0,D94-F94)</f>
        <v>0</v>
      </c>
    </row>
    <row r="95" spans="1:7" x14ac:dyDescent="0.25">
      <c r="A95" s="1651"/>
      <c r="B95" s="1665"/>
      <c r="C95" s="1652"/>
      <c r="D95" s="1842"/>
      <c r="E95" s="1538">
        <f t="shared" si="2"/>
        <v>0</v>
      </c>
      <c r="F95" s="1935">
        <f t="shared" si="6"/>
        <v>0</v>
      </c>
      <c r="G95" s="1791">
        <f t="shared" si="3"/>
        <v>0</v>
      </c>
    </row>
    <row r="96" spans="1:7" x14ac:dyDescent="0.25">
      <c r="A96" s="1651"/>
      <c r="B96" s="1665"/>
      <c r="C96" s="1652"/>
      <c r="D96" s="1842"/>
      <c r="E96" s="1538">
        <f t="shared" ref="E96:E99" si="9">IF(D96&lt;=25000,D96,IF(D96&gt;25000,25000,0))</f>
        <v>0</v>
      </c>
      <c r="F96" s="1935">
        <f t="shared" si="6"/>
        <v>0</v>
      </c>
      <c r="G96" s="1791">
        <f t="shared" ref="G96:G99" si="10">IF(F96=0,0,D96-F96)</f>
        <v>0</v>
      </c>
    </row>
    <row r="97" spans="1:7" x14ac:dyDescent="0.25">
      <c r="A97" s="1651"/>
      <c r="B97" s="1665"/>
      <c r="C97" s="1652"/>
      <c r="D97" s="1842"/>
      <c r="E97" s="1538">
        <f t="shared" si="9"/>
        <v>0</v>
      </c>
      <c r="F97" s="1935">
        <f t="shared" si="6"/>
        <v>0</v>
      </c>
      <c r="G97" s="1791">
        <f t="shared" si="10"/>
        <v>0</v>
      </c>
    </row>
    <row r="98" spans="1:7" x14ac:dyDescent="0.25">
      <c r="A98" s="1651"/>
      <c r="B98" s="1665"/>
      <c r="C98" s="1652"/>
      <c r="D98" s="1842"/>
      <c r="E98" s="1538">
        <f t="shared" si="9"/>
        <v>0</v>
      </c>
      <c r="F98" s="1935">
        <f t="shared" si="6"/>
        <v>0</v>
      </c>
      <c r="G98" s="1791">
        <f t="shared" si="10"/>
        <v>0</v>
      </c>
    </row>
    <row r="99" spans="1:7" x14ac:dyDescent="0.25">
      <c r="A99" s="1651"/>
      <c r="B99" s="1665"/>
      <c r="C99" s="1652"/>
      <c r="D99" s="1842"/>
      <c r="E99" s="1538">
        <f t="shared" si="9"/>
        <v>0</v>
      </c>
      <c r="F99" s="1935">
        <f t="shared" si="6"/>
        <v>0</v>
      </c>
      <c r="G99" s="1791">
        <f t="shared" si="10"/>
        <v>0</v>
      </c>
    </row>
    <row r="100" spans="1:7" x14ac:dyDescent="0.25">
      <c r="A100" s="1651"/>
      <c r="B100" s="1665"/>
      <c r="C100" s="1652"/>
      <c r="D100" s="1842"/>
      <c r="E100" s="1538">
        <f t="shared" ref="E100" si="11">IF(D100&lt;=25000,D100,IF(D100&gt;25000,25000,0))</f>
        <v>0</v>
      </c>
      <c r="F100" s="1935">
        <f t="shared" si="6"/>
        <v>0</v>
      </c>
      <c r="G100" s="1791">
        <f t="shared" ref="G100" si="12">IF(F100=0,0,D100-F100)</f>
        <v>0</v>
      </c>
    </row>
    <row r="101" spans="1:7" x14ac:dyDescent="0.25">
      <c r="A101" s="1651"/>
      <c r="B101" s="1665"/>
      <c r="C101" s="1652"/>
      <c r="D101" s="1842"/>
      <c r="E101" s="1538">
        <f t="shared" ref="E101:E113" si="13">IF(D101&lt;=25000,D101,IF(D101&gt;25000,25000,0))</f>
        <v>0</v>
      </c>
      <c r="F101" s="1935">
        <f t="shared" si="6"/>
        <v>0</v>
      </c>
      <c r="G101" s="1791">
        <f t="shared" ref="G101:G113" si="14">IF(F101=0,0,D101-F101)</f>
        <v>0</v>
      </c>
    </row>
    <row r="102" spans="1:7" x14ac:dyDescent="0.25">
      <c r="A102" s="1651"/>
      <c r="B102" s="1665"/>
      <c r="C102" s="1652"/>
      <c r="D102" s="1842"/>
      <c r="E102" s="1538">
        <f t="shared" si="13"/>
        <v>0</v>
      </c>
      <c r="F102" s="1935">
        <f t="shared" si="6"/>
        <v>0</v>
      </c>
      <c r="G102" s="1791">
        <f t="shared" si="14"/>
        <v>0</v>
      </c>
    </row>
    <row r="103" spans="1:7" x14ac:dyDescent="0.25">
      <c r="A103" s="1651"/>
      <c r="B103" s="1665"/>
      <c r="C103" s="1652"/>
      <c r="D103" s="1842"/>
      <c r="E103" s="1538">
        <f t="shared" si="13"/>
        <v>0</v>
      </c>
      <c r="F103" s="1935">
        <f t="shared" si="6"/>
        <v>0</v>
      </c>
      <c r="G103" s="1791">
        <f t="shared" si="14"/>
        <v>0</v>
      </c>
    </row>
    <row r="104" spans="1:7" x14ac:dyDescent="0.25">
      <c r="A104" s="1651"/>
      <c r="B104" s="1665"/>
      <c r="C104" s="1652"/>
      <c r="D104" s="1842"/>
      <c r="E104" s="1538">
        <f t="shared" si="13"/>
        <v>0</v>
      </c>
      <c r="F104" s="1935">
        <f t="shared" si="6"/>
        <v>0</v>
      </c>
      <c r="G104" s="1791">
        <f t="shared" si="14"/>
        <v>0</v>
      </c>
    </row>
    <row r="105" spans="1:7" x14ac:dyDescent="0.25">
      <c r="A105" s="1651"/>
      <c r="B105" s="1665"/>
      <c r="C105" s="1652"/>
      <c r="D105" s="1842"/>
      <c r="E105" s="1538">
        <f t="shared" si="13"/>
        <v>0</v>
      </c>
      <c r="F105" s="1935">
        <f t="shared" si="6"/>
        <v>0</v>
      </c>
      <c r="G105" s="1791">
        <f t="shared" si="14"/>
        <v>0</v>
      </c>
    </row>
    <row r="106" spans="1:7" x14ac:dyDescent="0.25">
      <c r="A106" s="1651"/>
      <c r="B106" s="1665"/>
      <c r="C106" s="1652"/>
      <c r="D106" s="1842"/>
      <c r="E106" s="1538">
        <f t="shared" si="13"/>
        <v>0</v>
      </c>
      <c r="F106" s="1935">
        <f t="shared" si="6"/>
        <v>0</v>
      </c>
      <c r="G106" s="1791">
        <f t="shared" si="14"/>
        <v>0</v>
      </c>
    </row>
    <row r="107" spans="1:7" x14ac:dyDescent="0.25">
      <c r="A107" s="1651"/>
      <c r="B107" s="1665"/>
      <c r="C107" s="1652"/>
      <c r="D107" s="1842"/>
      <c r="E107" s="1538">
        <f t="shared" si="13"/>
        <v>0</v>
      </c>
      <c r="F107" s="1935">
        <f t="shared" si="6"/>
        <v>0</v>
      </c>
      <c r="G107" s="1791">
        <f t="shared" si="14"/>
        <v>0</v>
      </c>
    </row>
    <row r="108" spans="1:7" x14ac:dyDescent="0.25">
      <c r="A108" s="1651"/>
      <c r="B108" s="1665"/>
      <c r="C108" s="1652"/>
      <c r="D108" s="1842"/>
      <c r="E108" s="1538">
        <f t="shared" si="13"/>
        <v>0</v>
      </c>
      <c r="F108" s="1935">
        <f t="shared" si="6"/>
        <v>0</v>
      </c>
      <c r="G108" s="1791">
        <f t="shared" si="14"/>
        <v>0</v>
      </c>
    </row>
    <row r="109" spans="1:7" x14ac:dyDescent="0.25">
      <c r="A109" s="1651"/>
      <c r="B109" s="1665"/>
      <c r="C109" s="1652"/>
      <c r="D109" s="1842"/>
      <c r="E109" s="1538">
        <f t="shared" si="13"/>
        <v>0</v>
      </c>
      <c r="F109" s="1935">
        <f t="shared" si="6"/>
        <v>0</v>
      </c>
      <c r="G109" s="1791">
        <f t="shared" si="14"/>
        <v>0</v>
      </c>
    </row>
    <row r="110" spans="1:7" x14ac:dyDescent="0.25">
      <c r="A110" s="1651"/>
      <c r="B110" s="1665"/>
      <c r="C110" s="1652"/>
      <c r="D110" s="1842"/>
      <c r="E110" s="1538">
        <f t="shared" si="13"/>
        <v>0</v>
      </c>
      <c r="F110" s="1935">
        <f t="shared" si="6"/>
        <v>0</v>
      </c>
      <c r="G110" s="1791">
        <f t="shared" si="14"/>
        <v>0</v>
      </c>
    </row>
    <row r="111" spans="1:7" x14ac:dyDescent="0.25">
      <c r="A111" s="1651"/>
      <c r="B111" s="1665"/>
      <c r="C111" s="1652"/>
      <c r="D111" s="1842"/>
      <c r="E111" s="1538">
        <f t="shared" si="13"/>
        <v>0</v>
      </c>
      <c r="F111" s="1935">
        <f t="shared" si="6"/>
        <v>0</v>
      </c>
      <c r="G111" s="1791">
        <f t="shared" si="14"/>
        <v>0</v>
      </c>
    </row>
    <row r="112" spans="1:7" x14ac:dyDescent="0.25">
      <c r="A112" s="1651"/>
      <c r="B112" s="1665"/>
      <c r="C112" s="1652"/>
      <c r="D112" s="1842"/>
      <c r="E112" s="1538">
        <f t="shared" si="13"/>
        <v>0</v>
      </c>
      <c r="F112" s="1935">
        <f t="shared" si="6"/>
        <v>0</v>
      </c>
      <c r="G112" s="1791">
        <f t="shared" si="14"/>
        <v>0</v>
      </c>
    </row>
    <row r="113" spans="1:7" x14ac:dyDescent="0.25">
      <c r="A113" s="1651"/>
      <c r="B113" s="1665"/>
      <c r="C113" s="1652"/>
      <c r="D113" s="1842"/>
      <c r="E113" s="1538">
        <f t="shared" si="13"/>
        <v>0</v>
      </c>
      <c r="F113" s="1935">
        <f t="shared" si="6"/>
        <v>0</v>
      </c>
      <c r="G113" s="1791">
        <f t="shared" si="14"/>
        <v>0</v>
      </c>
    </row>
    <row r="114" spans="1:7" x14ac:dyDescent="0.25">
      <c r="A114" s="1651"/>
      <c r="B114" s="1665"/>
      <c r="C114" s="1652"/>
      <c r="D114" s="1842"/>
      <c r="E114" s="1538">
        <f t="shared" ref="E114:E126" si="15">IF(D114&lt;=25000,D114,IF(D114&gt;25000,25000,0))</f>
        <v>0</v>
      </c>
      <c r="F114" s="1935">
        <f t="shared" si="6"/>
        <v>0</v>
      </c>
      <c r="G114" s="1791">
        <f t="shared" ref="G114:G126" si="16">IF(F114=0,0,D114-F114)</f>
        <v>0</v>
      </c>
    </row>
    <row r="115" spans="1:7" x14ac:dyDescent="0.25">
      <c r="A115" s="1651"/>
      <c r="B115" s="1665"/>
      <c r="C115" s="1652"/>
      <c r="D115" s="1842"/>
      <c r="E115" s="1538">
        <f t="shared" si="15"/>
        <v>0</v>
      </c>
      <c r="F115" s="1935">
        <f t="shared" si="6"/>
        <v>0</v>
      </c>
      <c r="G115" s="1791">
        <f t="shared" si="16"/>
        <v>0</v>
      </c>
    </row>
    <row r="116" spans="1:7" x14ac:dyDescent="0.25">
      <c r="A116" s="1651"/>
      <c r="B116" s="1665"/>
      <c r="C116" s="1652"/>
      <c r="D116" s="1842"/>
      <c r="E116" s="1538">
        <f t="shared" si="15"/>
        <v>0</v>
      </c>
      <c r="F116" s="1935">
        <f t="shared" si="6"/>
        <v>0</v>
      </c>
      <c r="G116" s="1791">
        <f t="shared" si="16"/>
        <v>0</v>
      </c>
    </row>
    <row r="117" spans="1:7" x14ac:dyDescent="0.25">
      <c r="A117" s="1651"/>
      <c r="B117" s="1665"/>
      <c r="C117" s="1652"/>
      <c r="D117" s="1842"/>
      <c r="E117" s="1538">
        <f t="shared" si="15"/>
        <v>0</v>
      </c>
      <c r="F117" s="1935">
        <f t="shared" si="6"/>
        <v>0</v>
      </c>
      <c r="G117" s="1791">
        <f t="shared" si="16"/>
        <v>0</v>
      </c>
    </row>
    <row r="118" spans="1:7" x14ac:dyDescent="0.25">
      <c r="A118" s="1651"/>
      <c r="B118" s="1665"/>
      <c r="C118" s="1652"/>
      <c r="D118" s="1842"/>
      <c r="E118" s="1538">
        <f t="shared" si="15"/>
        <v>0</v>
      </c>
      <c r="F118" s="1935">
        <f t="shared" si="6"/>
        <v>0</v>
      </c>
      <c r="G118" s="1791">
        <f t="shared" si="16"/>
        <v>0</v>
      </c>
    </row>
    <row r="119" spans="1:7" x14ac:dyDescent="0.25">
      <c r="A119" s="1651"/>
      <c r="B119" s="1665"/>
      <c r="C119" s="1652"/>
      <c r="D119" s="1842"/>
      <c r="E119" s="1538">
        <f t="shared" si="15"/>
        <v>0</v>
      </c>
      <c r="F119" s="1935">
        <f t="shared" si="6"/>
        <v>0</v>
      </c>
      <c r="G119" s="1791">
        <f t="shared" si="16"/>
        <v>0</v>
      </c>
    </row>
    <row r="120" spans="1:7" x14ac:dyDescent="0.25">
      <c r="A120" s="1651"/>
      <c r="B120" s="1665"/>
      <c r="C120" s="1652"/>
      <c r="D120" s="1842"/>
      <c r="E120" s="1538">
        <f t="shared" si="15"/>
        <v>0</v>
      </c>
      <c r="F120" s="1935">
        <f t="shared" si="6"/>
        <v>0</v>
      </c>
      <c r="G120" s="1791">
        <f t="shared" si="16"/>
        <v>0</v>
      </c>
    </row>
    <row r="121" spans="1:7" x14ac:dyDescent="0.25">
      <c r="A121" s="1651"/>
      <c r="B121" s="1665"/>
      <c r="C121" s="1652"/>
      <c r="D121" s="1842"/>
      <c r="E121" s="1538">
        <f t="shared" si="15"/>
        <v>0</v>
      </c>
      <c r="F121" s="1935">
        <f t="shared" si="6"/>
        <v>0</v>
      </c>
      <c r="G121" s="1791">
        <f t="shared" si="16"/>
        <v>0</v>
      </c>
    </row>
    <row r="122" spans="1:7" x14ac:dyDescent="0.25">
      <c r="A122" s="1651"/>
      <c r="B122" s="1665"/>
      <c r="C122" s="1652"/>
      <c r="D122" s="1842"/>
      <c r="E122" s="1538">
        <f t="shared" si="15"/>
        <v>0</v>
      </c>
      <c r="F122" s="1935">
        <f t="shared" si="6"/>
        <v>0</v>
      </c>
      <c r="G122" s="1791">
        <f t="shared" si="16"/>
        <v>0</v>
      </c>
    </row>
    <row r="123" spans="1:7" x14ac:dyDescent="0.25">
      <c r="A123" s="1651"/>
      <c r="B123" s="1665"/>
      <c r="C123" s="1652"/>
      <c r="D123" s="1842"/>
      <c r="E123" s="1538">
        <f t="shared" si="15"/>
        <v>0</v>
      </c>
      <c r="F123" s="1935">
        <f t="shared" si="6"/>
        <v>0</v>
      </c>
      <c r="G123" s="1791">
        <f t="shared" si="16"/>
        <v>0</v>
      </c>
    </row>
    <row r="124" spans="1:7" x14ac:dyDescent="0.25">
      <c r="A124" s="1651"/>
      <c r="B124" s="1665"/>
      <c r="C124" s="1652"/>
      <c r="D124" s="1842"/>
      <c r="E124" s="1538">
        <f t="shared" si="15"/>
        <v>0</v>
      </c>
      <c r="F124" s="1935">
        <f t="shared" si="6"/>
        <v>0</v>
      </c>
      <c r="G124" s="1791">
        <f t="shared" si="16"/>
        <v>0</v>
      </c>
    </row>
    <row r="125" spans="1:7" x14ac:dyDescent="0.25">
      <c r="A125" s="1651"/>
      <c r="B125" s="1665"/>
      <c r="C125" s="1652"/>
      <c r="D125" s="1842"/>
      <c r="E125" s="1538">
        <f t="shared" si="15"/>
        <v>0</v>
      </c>
      <c r="F125" s="1935">
        <f t="shared" si="6"/>
        <v>0</v>
      </c>
      <c r="G125" s="1791">
        <f t="shared" si="16"/>
        <v>0</v>
      </c>
    </row>
    <row r="126" spans="1:7" x14ac:dyDescent="0.25">
      <c r="A126" s="1651"/>
      <c r="B126" s="1665"/>
      <c r="C126" s="1652"/>
      <c r="D126" s="1842"/>
      <c r="E126" s="1538">
        <f t="shared" si="15"/>
        <v>0</v>
      </c>
      <c r="F126" s="1935">
        <f t="shared" si="6"/>
        <v>0</v>
      </c>
      <c r="G126" s="1791">
        <f t="shared" si="16"/>
        <v>0</v>
      </c>
    </row>
    <row r="127" spans="1:7" x14ac:dyDescent="0.25">
      <c r="A127" s="1651"/>
      <c r="B127" s="1665"/>
      <c r="C127" s="1652"/>
      <c r="D127" s="1842"/>
      <c r="E127" s="1538">
        <f t="shared" ref="E127:E135" si="17">IF(D127&lt;=25000,D127,IF(D127&gt;25000,25000,0))</f>
        <v>0</v>
      </c>
      <c r="F127" s="1935">
        <f t="shared" si="6"/>
        <v>0</v>
      </c>
      <c r="G127" s="1791">
        <f t="shared" ref="G127:G135" si="18">IF(F127=0,0,D127-F127)</f>
        <v>0</v>
      </c>
    </row>
    <row r="128" spans="1:7" x14ac:dyDescent="0.25">
      <c r="A128" s="1651"/>
      <c r="B128" s="1665"/>
      <c r="C128" s="1652"/>
      <c r="D128" s="1842"/>
      <c r="E128" s="1538">
        <f t="shared" si="17"/>
        <v>0</v>
      </c>
      <c r="F128" s="1935">
        <f t="shared" si="6"/>
        <v>0</v>
      </c>
      <c r="G128" s="1791">
        <f t="shared" si="18"/>
        <v>0</v>
      </c>
    </row>
    <row r="129" spans="1:7" x14ac:dyDescent="0.25">
      <c r="A129" s="1651"/>
      <c r="B129" s="1665"/>
      <c r="C129" s="1652"/>
      <c r="D129" s="1842"/>
      <c r="E129" s="1538">
        <f t="shared" si="17"/>
        <v>0</v>
      </c>
      <c r="F129" s="1935">
        <f t="shared" si="6"/>
        <v>0</v>
      </c>
      <c r="G129" s="1791">
        <f t="shared" si="18"/>
        <v>0</v>
      </c>
    </row>
    <row r="130" spans="1:7" x14ac:dyDescent="0.25">
      <c r="A130" s="1651"/>
      <c r="B130" s="1665"/>
      <c r="C130" s="1652"/>
      <c r="D130" s="1842"/>
      <c r="E130" s="1538">
        <f t="shared" si="17"/>
        <v>0</v>
      </c>
      <c r="F130" s="1935">
        <f t="shared" si="6"/>
        <v>0</v>
      </c>
      <c r="G130" s="1791">
        <f t="shared" si="18"/>
        <v>0</v>
      </c>
    </row>
    <row r="131" spans="1:7" x14ac:dyDescent="0.25">
      <c r="A131" s="1651"/>
      <c r="B131" s="1665"/>
      <c r="C131" s="1652"/>
      <c r="D131" s="1842"/>
      <c r="E131" s="1538">
        <f t="shared" si="17"/>
        <v>0</v>
      </c>
      <c r="F131" s="1935">
        <f t="shared" si="6"/>
        <v>0</v>
      </c>
      <c r="G131" s="1791">
        <f t="shared" si="18"/>
        <v>0</v>
      </c>
    </row>
    <row r="132" spans="1:7" x14ac:dyDescent="0.25">
      <c r="A132" s="1651"/>
      <c r="B132" s="1835"/>
      <c r="C132" s="1652"/>
      <c r="D132" s="1842"/>
      <c r="E132" s="1538">
        <f t="shared" si="17"/>
        <v>0</v>
      </c>
      <c r="F132" s="1935">
        <f t="shared" si="6"/>
        <v>0</v>
      </c>
      <c r="G132" s="1791">
        <f t="shared" si="18"/>
        <v>0</v>
      </c>
    </row>
    <row r="133" spans="1:7" x14ac:dyDescent="0.25">
      <c r="A133" s="1651"/>
      <c r="B133" s="1835"/>
      <c r="C133" s="1652"/>
      <c r="D133" s="1842"/>
      <c r="E133" s="1538">
        <f t="shared" si="17"/>
        <v>0</v>
      </c>
      <c r="F133" s="1935">
        <f t="shared" si="6"/>
        <v>0</v>
      </c>
      <c r="G133" s="1791">
        <f t="shared" si="18"/>
        <v>0</v>
      </c>
    </row>
    <row r="134" spans="1:7" x14ac:dyDescent="0.25">
      <c r="A134" s="1651"/>
      <c r="B134" s="1665"/>
      <c r="C134" s="1652"/>
      <c r="D134" s="1842"/>
      <c r="E134" s="1538">
        <f t="shared" si="17"/>
        <v>0</v>
      </c>
      <c r="F134" s="1935">
        <f t="shared" si="6"/>
        <v>0</v>
      </c>
      <c r="G134" s="1791">
        <f t="shared" si="18"/>
        <v>0</v>
      </c>
    </row>
    <row r="135" spans="1:7" x14ac:dyDescent="0.25">
      <c r="A135" s="1651"/>
      <c r="B135" s="1665"/>
      <c r="C135" s="1652"/>
      <c r="D135" s="1842"/>
      <c r="E135" s="1538">
        <f t="shared" si="17"/>
        <v>0</v>
      </c>
      <c r="F135" s="1935">
        <f t="shared" si="6"/>
        <v>0</v>
      </c>
      <c r="G135" s="1791">
        <f t="shared" si="18"/>
        <v>0</v>
      </c>
    </row>
    <row r="136" spans="1:7" x14ac:dyDescent="0.25">
      <c r="A136" s="1651"/>
      <c r="B136" s="1665"/>
      <c r="C136" s="1652"/>
      <c r="D136" s="1842"/>
      <c r="E136" s="1538">
        <f t="shared" ref="E136:E140" si="19">IF(D136&lt;=25000,D136,IF(D136&gt;25000,25000,0))</f>
        <v>0</v>
      </c>
      <c r="F136" s="1935">
        <f t="shared" si="6"/>
        <v>0</v>
      </c>
      <c r="G136" s="1791">
        <f t="shared" ref="G136:G140" si="20">IF(F136=0,0,D136-F136)</f>
        <v>0</v>
      </c>
    </row>
    <row r="137" spans="1:7" x14ac:dyDescent="0.25">
      <c r="A137" s="1651"/>
      <c r="B137" s="1665"/>
      <c r="C137" s="1652"/>
      <c r="D137" s="1842"/>
      <c r="E137" s="1538">
        <f t="shared" si="19"/>
        <v>0</v>
      </c>
      <c r="F137" s="1935">
        <f t="shared" si="6"/>
        <v>0</v>
      </c>
      <c r="G137" s="1791">
        <f t="shared" si="20"/>
        <v>0</v>
      </c>
    </row>
    <row r="138" spans="1:7" x14ac:dyDescent="0.25">
      <c r="A138" s="1651"/>
      <c r="B138" s="1665"/>
      <c r="C138" s="1652"/>
      <c r="D138" s="1842"/>
      <c r="E138" s="1538">
        <f t="shared" si="19"/>
        <v>0</v>
      </c>
      <c r="F138" s="1935">
        <f t="shared" si="6"/>
        <v>0</v>
      </c>
      <c r="G138" s="1791">
        <f t="shared" si="20"/>
        <v>0</v>
      </c>
    </row>
    <row r="139" spans="1:7" x14ac:dyDescent="0.25">
      <c r="A139" s="1651"/>
      <c r="B139" s="1665"/>
      <c r="C139" s="1652"/>
      <c r="D139" s="1842"/>
      <c r="E139" s="1538">
        <f t="shared" si="19"/>
        <v>0</v>
      </c>
      <c r="F139" s="1935">
        <f t="shared" si="6"/>
        <v>0</v>
      </c>
      <c r="G139" s="1791">
        <f t="shared" si="20"/>
        <v>0</v>
      </c>
    </row>
    <row r="140" spans="1:7" x14ac:dyDescent="0.25">
      <c r="A140" s="1651"/>
      <c r="B140" s="1665"/>
      <c r="C140" s="1652"/>
      <c r="D140" s="1842"/>
      <c r="E140" s="1538">
        <f t="shared" si="19"/>
        <v>0</v>
      </c>
      <c r="F140" s="1935">
        <f t="shared" si="6"/>
        <v>0</v>
      </c>
      <c r="G140" s="1791">
        <f t="shared" si="20"/>
        <v>0</v>
      </c>
    </row>
    <row r="141" spans="1:7" x14ac:dyDescent="0.25">
      <c r="A141" s="1651"/>
      <c r="B141" s="1664"/>
      <c r="C141" s="1652"/>
      <c r="D141" s="1842"/>
      <c r="E141" s="1538">
        <f t="shared" si="2"/>
        <v>0</v>
      </c>
      <c r="F141" s="1935">
        <f t="shared" si="6"/>
        <v>0</v>
      </c>
      <c r="G141" s="1791">
        <f t="shared" si="3"/>
        <v>0</v>
      </c>
    </row>
    <row r="142" spans="1:7" x14ac:dyDescent="0.25">
      <c r="A142" s="1794" t="s">
        <v>156</v>
      </c>
      <c r="B142" s="1795"/>
      <c r="C142" s="1796"/>
      <c r="D142" s="1792">
        <f>SUM(D18:D141)</f>
        <v>4291548</v>
      </c>
      <c r="E142" s="1539">
        <f t="shared" si="0"/>
        <v>25000</v>
      </c>
      <c r="F142" s="1930">
        <f>SUM(F18:F141)</f>
        <v>150000</v>
      </c>
      <c r="G142" s="1793">
        <f>SUM(G18:G141)</f>
        <v>4141548</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B5" sqref="B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97" t="s">
        <v>1679</v>
      </c>
      <c r="B5" s="2398"/>
      <c r="C5" s="2398"/>
      <c r="D5" s="2398"/>
      <c r="E5" s="2398"/>
      <c r="F5" s="2398"/>
      <c r="G5" s="2399"/>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1838318</v>
      </c>
      <c r="F10" s="974"/>
      <c r="G10" s="975"/>
      <c r="H10" s="162"/>
      <c r="I10" s="162"/>
    </row>
    <row r="11" spans="1:9" s="668" customFormat="1" ht="22.5" customHeight="1" x14ac:dyDescent="0.2">
      <c r="A11" s="2402" t="s">
        <v>1972</v>
      </c>
      <c r="B11" s="2403"/>
      <c r="C11" s="2403"/>
      <c r="D11" s="2404"/>
      <c r="E11" s="977">
        <v>144377</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6" t="s">
        <v>532</v>
      </c>
      <c r="E17" s="1637"/>
      <c r="F17" s="1636" t="s">
        <v>433</v>
      </c>
      <c r="G17" s="1638"/>
      <c r="H17" s="162"/>
      <c r="I17" s="162"/>
    </row>
    <row r="18" spans="1:9" s="259" customFormat="1" ht="11.25" x14ac:dyDescent="0.2">
      <c r="A18" s="988"/>
      <c r="C18" s="989" t="s">
        <v>434</v>
      </c>
      <c r="D18" s="1639" t="s">
        <v>435</v>
      </c>
      <c r="E18" s="1639" t="s">
        <v>53</v>
      </c>
      <c r="F18" s="1639" t="s">
        <v>435</v>
      </c>
      <c r="G18" s="1639"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23679772</v>
      </c>
      <c r="F19" s="1797"/>
      <c r="G19" s="1799">
        <f>'Expenditures 15-22'!K33-SUM('Expenditures 15-22'!G33,'Expenditures 15-22'!I33)+'Expenditures 15-22'!D229</f>
        <v>23679772</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3020084</v>
      </c>
      <c r="F21" s="1800"/>
      <c r="G21" s="1803">
        <f>'Expenditures 15-22'!K42-SUM('Expenditures 15-22'!G42,'Expenditures 15-22'!I42)+'Expenditures 15-22'!K120-SUM('Expenditures 15-22'!G120,'Expenditures 15-22'!I120)+'Expenditures 15-22'!K180-SUM('Expenditures 15-22'!G180,'Expenditures 15-22'!I180)+'Expenditures 15-22'!D238</f>
        <v>3020084</v>
      </c>
      <c r="H21" s="987"/>
      <c r="I21" s="162"/>
    </row>
    <row r="22" spans="1:9" s="668" customFormat="1" ht="12" customHeight="1" x14ac:dyDescent="0.2">
      <c r="A22" s="994" t="s">
        <v>564</v>
      </c>
      <c r="B22" s="995"/>
      <c r="C22" s="993">
        <v>2200</v>
      </c>
      <c r="D22" s="1800"/>
      <c r="E22" s="1802">
        <f>'Expenditures 15-22'!K47-SUM('Expenditures 15-22'!G47,'Expenditures 15-22'!I47)+'Expenditures 15-22'!D243</f>
        <v>1623475</v>
      </c>
      <c r="F22" s="1800"/>
      <c r="G22" s="1803">
        <f>'Expenditures 15-22'!K47-SUM('Expenditures 15-22'!G47,'Expenditures 15-22'!I47)+'Expenditures 15-22'!D243</f>
        <v>1623475</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3577012</v>
      </c>
      <c r="F23" s="1800"/>
      <c r="G23" s="1802">
        <f>'Expenditures 15-22'!K53-SUM('Expenditures 15-22'!G53,'Expenditures 15-22'!I53)+'Expenditures 15-22'!D257+'Expenditures 15-22'!K330-SUM('Expenditures 15-22'!G330,'Expenditures 15-22'!I330)</f>
        <v>3577012</v>
      </c>
      <c r="H23" s="987"/>
      <c r="I23" s="162"/>
    </row>
    <row r="24" spans="1:9" s="668" customFormat="1" ht="12" customHeight="1" x14ac:dyDescent="0.2">
      <c r="A24" s="994" t="s">
        <v>566</v>
      </c>
      <c r="B24" s="995"/>
      <c r="C24" s="993">
        <v>2400</v>
      </c>
      <c r="D24" s="1800"/>
      <c r="E24" s="1802">
        <f>'Expenditures 15-22'!K57-SUM('Expenditures 15-22'!G57,'Expenditures 15-22'!I57)+'Expenditures 15-22'!D261</f>
        <v>3361922</v>
      </c>
      <c r="F24" s="1800"/>
      <c r="G24" s="1803">
        <f>'Expenditures 15-22'!K57-SUM('Expenditures 15-22'!G57,'Expenditures 15-22'!I57)+'Expenditures 15-22'!D261</f>
        <v>3361922</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290670</v>
      </c>
      <c r="E26" s="1802">
        <f>'Expenditures 15-22'!K122-SUM('Expenditures 15-22'!G122,'Expenditures 15-22'!I122)+E7</f>
        <v>0</v>
      </c>
      <c r="F26" s="1802">
        <f>'Expenditures 15-22'!K59-SUM('Expenditures 15-22'!G59,'Expenditures 15-22'!I59)+'Expenditures 15-22'!D263-E7</f>
        <v>290670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536055</v>
      </c>
      <c r="E27" s="1802">
        <f>E8</f>
        <v>0</v>
      </c>
      <c r="F27" s="1802">
        <f>'Expenditures 15-22'!K60-SUM('Expenditures 15-22'!G60,'Expenditures 15-22'!I60)+'Expenditures 15-22'!D264-E8</f>
        <v>536055</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4757039</v>
      </c>
      <c r="F28" s="1804">
        <f>'Expenditures 15-22'!K61-SUM('Expenditures 15-22'!G61,'Expenditures 15-22'!I61)+'Expenditures 15-22'!K124-SUM('Expenditures 15-22'!G124,'Expenditures 15-22'!I124)+'Expenditures 15-22'!D266-E9</f>
        <v>4757039</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2989714</v>
      </c>
      <c r="F29" s="1800"/>
      <c r="G29" s="1803">
        <f>'Expenditures 15-22'!K62-SUM('Expenditures 15-22'!G62,'Expenditures 15-22'!I62)+'Expenditures 15-22'!K125-SUM('Expenditures 15-22'!G125,'Expenditures 15-22'!I125)+'Expenditures 15-22'!K182-SUM('Expenditures 15-22'!G182,'Expenditures 15-22'!I182)+'Expenditures 15-22'!D267</f>
        <v>2989714</v>
      </c>
      <c r="H29" s="985"/>
    </row>
    <row r="30" spans="1:9" ht="12" customHeight="1" x14ac:dyDescent="0.2">
      <c r="A30" s="994" t="s">
        <v>100</v>
      </c>
      <c r="B30" s="997"/>
      <c r="C30" s="993">
        <v>2560</v>
      </c>
      <c r="D30" s="1800"/>
      <c r="E30" s="1802">
        <f>'Expenditures 15-22'!K63-SUM('Expenditures 15-22'!G63,'Expenditures 15-22'!I63)+'Expenditures 15-22'!D268-E10</f>
        <v>795016</v>
      </c>
      <c r="F30" s="1800"/>
      <c r="G30" s="1802">
        <f>'Expenditures 15-22'!K63-SUM('Expenditures 15-22'!G63,'Expenditures 15-22'!I63)+'Expenditures 15-22'!D268-E10</f>
        <v>795016</v>
      </c>
    </row>
    <row r="31" spans="1:9" ht="12" customHeight="1" x14ac:dyDescent="0.2">
      <c r="A31" s="994" t="s">
        <v>101</v>
      </c>
      <c r="B31" s="997"/>
      <c r="C31" s="993">
        <v>2570</v>
      </c>
      <c r="D31" s="1802">
        <f>'Expenditures 15-22'!K64-SUM('Expenditures 15-22'!G64,'Expenditures 15-22'!I64)+'Expenditures 15-22'!D269-E12</f>
        <v>204470</v>
      </c>
      <c r="E31" s="1802">
        <f>E12</f>
        <v>0</v>
      </c>
      <c r="F31" s="1802">
        <f>'Expenditures 15-22'!K64-SUM('Expenditures 15-22'!G64,'Expenditures 15-22'!I64)+'Expenditures 15-22'!D269-E12</f>
        <v>204470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151399</v>
      </c>
      <c r="F34" s="1800"/>
      <c r="G34" s="1802">
        <f>'Expenditures 15-22'!K68-SUM('Expenditures 15-22'!G68,'Expenditures 15-22'!I68)+'Expenditures 15-22'!D273</f>
        <v>151399</v>
      </c>
    </row>
    <row r="35" spans="1:7" ht="12" customHeight="1" x14ac:dyDescent="0.2">
      <c r="A35" s="994" t="s">
        <v>1061</v>
      </c>
      <c r="B35" s="997"/>
      <c r="C35" s="993">
        <v>2630</v>
      </c>
      <c r="D35" s="1800"/>
      <c r="E35" s="1802">
        <f>'Expenditures 15-22'!K69-SUM('Expenditures 15-22'!G69,'Expenditures 15-22'!I69)+'Expenditures 15-22'!D274</f>
        <v>1078407</v>
      </c>
      <c r="F35" s="1800"/>
      <c r="G35" s="1802">
        <f>'Expenditures 15-22'!K69-SUM('Expenditures 15-22'!G69,'Expenditures 15-22'!I69)+'Expenditures 15-22'!D274</f>
        <v>1078407</v>
      </c>
    </row>
    <row r="36" spans="1:7" ht="12" customHeight="1" x14ac:dyDescent="0.2">
      <c r="A36" s="994" t="s">
        <v>403</v>
      </c>
      <c r="B36" s="997"/>
      <c r="C36" s="993">
        <v>2640</v>
      </c>
      <c r="D36" s="1802">
        <f>'Expenditures 15-22'!K70-SUM('Expenditures 15-22'!G70,'Expenditures 15-22'!I70)+'Expenditures 15-22'!D275-E13</f>
        <v>355304</v>
      </c>
      <c r="E36" s="1802">
        <f>E13</f>
        <v>0</v>
      </c>
      <c r="F36" s="1802">
        <f>'Expenditures 15-22'!K70-SUM('Expenditures 15-22'!G70,'Expenditures 15-22'!I70)+'Expenditures 15-22'!D275-E13</f>
        <v>355304</v>
      </c>
      <c r="G36" s="1802">
        <f>E13</f>
        <v>0</v>
      </c>
    </row>
    <row r="37" spans="1:7" ht="12" customHeight="1" x14ac:dyDescent="0.2">
      <c r="A37" s="994" t="s">
        <v>404</v>
      </c>
      <c r="B37" s="997"/>
      <c r="C37" s="993">
        <v>2660</v>
      </c>
      <c r="D37" s="1802">
        <f>'Expenditures 15-22'!K71-SUM('Expenditures 15-22'!G71,'Expenditures 15-22'!I71)+'Expenditures 15-22'!D276-E14</f>
        <v>56797</v>
      </c>
      <c r="E37" s="1802">
        <f>E14</f>
        <v>0</v>
      </c>
      <c r="F37" s="1802">
        <f>'Expenditures 15-22'!K71-SUM('Expenditures 15-22'!G71,'Expenditures 15-22'!I71)+'Expenditures 15-22'!D276-E14</f>
        <v>56797</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665962</v>
      </c>
      <c r="F38" s="1800"/>
      <c r="G38" s="1802">
        <f>'Expenditures 15-22'!K73-SUM('Expenditures 15-22'!G73,'Expenditures 15-22'!I73)+'Expenditures 15-22'!K128-SUM('Expenditures 15-22'!G128,'Expenditures 15-22'!I128)+'Expenditures 15-22'!K183-SUM('Expenditures 15-22'!G183,'Expenditures 15-22'!I183)+'Expenditures 15-22'!D278</f>
        <v>665962</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440111</v>
      </c>
      <c r="F39" s="1800"/>
      <c r="G39" s="1802">
        <f>'Expenditures 15-22'!K75-SUM('Expenditures 15-22'!G75,'Expenditures 15-22'!I75)+'Expenditures 15-22'!K130-SUM('Expenditures 15-22'!G130,'Expenditures 15-22'!I130)+'Expenditures 15-22'!K185-SUM('Expenditures 15-22'!G185,'Expenditures 15-22'!I185)+'Expenditures 15-22'!D280</f>
        <v>440111</v>
      </c>
    </row>
    <row r="40" spans="1:7" ht="12" customHeight="1" x14ac:dyDescent="0.2">
      <c r="A40" s="990" t="s">
        <v>1820</v>
      </c>
      <c r="B40" s="991"/>
      <c r="C40" s="993"/>
      <c r="D40" s="1800"/>
      <c r="E40" s="1804">
        <f>-'Contracts Paid in CY 29'!G142</f>
        <v>-4141548</v>
      </c>
      <c r="F40" s="1800"/>
      <c r="G40" s="1804">
        <f>-'Contracts Paid in CY 29'!G142</f>
        <v>-4141548</v>
      </c>
    </row>
    <row r="41" spans="1:7" ht="12" customHeight="1" x14ac:dyDescent="0.2">
      <c r="A41" s="998" t="s">
        <v>156</v>
      </c>
      <c r="B41" s="999"/>
      <c r="C41" s="1000"/>
      <c r="D41" s="1804">
        <f>SUM(D19:D39)</f>
        <v>1443296</v>
      </c>
      <c r="E41" s="1804">
        <f>SUM(E19:E40)</f>
        <v>41998365</v>
      </c>
      <c r="F41" s="1804">
        <f>SUM(F19:F39)</f>
        <v>6200335</v>
      </c>
      <c r="G41" s="1804">
        <f>SUM(G19:G40)</f>
        <v>37241326</v>
      </c>
    </row>
    <row r="42" spans="1:7" x14ac:dyDescent="0.2">
      <c r="A42" s="987"/>
      <c r="B42" s="162"/>
      <c r="C42" s="1001"/>
      <c r="D42" s="2400" t="s">
        <v>522</v>
      </c>
      <c r="E42" s="2401"/>
      <c r="F42" s="1002" t="s">
        <v>523</v>
      </c>
      <c r="G42" s="1003"/>
    </row>
    <row r="43" spans="1:7" ht="12" customHeight="1" x14ac:dyDescent="0.2">
      <c r="A43" s="987"/>
      <c r="B43" s="162"/>
      <c r="C43" s="1001"/>
      <c r="D43" s="1805" t="s">
        <v>473</v>
      </c>
      <c r="E43" s="1806">
        <f>D41</f>
        <v>1443296</v>
      </c>
      <c r="F43" s="1805" t="s">
        <v>473</v>
      </c>
      <c r="G43" s="1806">
        <f>F41</f>
        <v>6200335</v>
      </c>
    </row>
    <row r="44" spans="1:7" ht="12" customHeight="1" x14ac:dyDescent="0.2">
      <c r="A44" s="987"/>
      <c r="B44" s="162"/>
      <c r="C44" s="1001"/>
      <c r="D44" s="1805" t="s">
        <v>474</v>
      </c>
      <c r="E44" s="1806">
        <f>E41</f>
        <v>41998365</v>
      </c>
      <c r="F44" s="1805" t="s">
        <v>474</v>
      </c>
      <c r="G44" s="1806">
        <f>G41</f>
        <v>37241326</v>
      </c>
    </row>
    <row r="45" spans="1:7" ht="12" customHeight="1" x14ac:dyDescent="0.2">
      <c r="A45" s="987"/>
      <c r="B45" s="162"/>
      <c r="C45" s="162"/>
      <c r="D45" s="1807" t="s">
        <v>1006</v>
      </c>
      <c r="E45" s="1808">
        <f>(E43/E44)</f>
        <v>3.4365528277112693E-2</v>
      </c>
      <c r="F45" s="1807" t="s">
        <v>1006</v>
      </c>
      <c r="G45" s="1808">
        <f>(G43/G44)</f>
        <v>0.16649071518022748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B5" sqref="B5"/>
      <selection pane="bottomLeft" activeCell="A5" sqref="A5:F5"/>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419" t="s">
        <v>1379</v>
      </c>
      <c r="B1" s="2419"/>
      <c r="C1" s="2419"/>
      <c r="D1" s="2419"/>
      <c r="E1" s="2419"/>
      <c r="F1" s="2419"/>
    </row>
    <row r="2" spans="1:10" x14ac:dyDescent="0.2">
      <c r="A2" s="1885" t="s">
        <v>1908</v>
      </c>
      <c r="B2" s="1846"/>
      <c r="C2" s="1885"/>
      <c r="D2" s="1846"/>
      <c r="E2" s="1846"/>
      <c r="F2" s="1847"/>
    </row>
    <row r="3" spans="1:10" x14ac:dyDescent="0.2">
      <c r="A3" s="1885" t="s">
        <v>1973</v>
      </c>
      <c r="B3" s="1846"/>
      <c r="C3" s="1885"/>
      <c r="D3" s="1846"/>
      <c r="E3" s="1846"/>
      <c r="F3" s="1847"/>
    </row>
    <row r="4" spans="1:10" ht="3.75" customHeight="1" x14ac:dyDescent="0.2">
      <c r="A4" s="1846"/>
      <c r="B4" s="1846"/>
      <c r="C4" s="1846"/>
      <c r="D4" s="1846"/>
      <c r="E4" s="1846"/>
      <c r="F4" s="1847"/>
    </row>
    <row r="5" spans="1:10" ht="15" x14ac:dyDescent="0.25">
      <c r="A5" s="2420" t="s">
        <v>1546</v>
      </c>
      <c r="B5" s="2421"/>
      <c r="C5" s="2422"/>
      <c r="D5" s="2422"/>
      <c r="E5" s="2422"/>
      <c r="F5" s="2422"/>
    </row>
    <row r="6" spans="1:10" ht="12" customHeight="1" x14ac:dyDescent="0.25">
      <c r="A6" s="1848"/>
      <c r="B6" s="1849"/>
      <c r="C6" s="2423" t="str">
        <f>COVER!A17</f>
        <v>Cahokia CUSD 187</v>
      </c>
      <c r="D6" s="2423"/>
      <c r="E6" s="2423"/>
      <c r="F6" s="1850"/>
    </row>
    <row r="7" spans="1:10" ht="11.25" customHeight="1" thickBot="1" x14ac:dyDescent="0.3">
      <c r="A7" s="1848"/>
      <c r="B7" s="1849"/>
      <c r="C7" s="2424">
        <f>COVER!A13</f>
        <v>50082187026</v>
      </c>
      <c r="D7" s="2424"/>
      <c r="E7" s="2424"/>
      <c r="F7" s="1850"/>
    </row>
    <row r="8" spans="1:10" ht="25.5" customHeight="1" thickBot="1" x14ac:dyDescent="0.25">
      <c r="A8" s="1891" t="s">
        <v>1904</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c r="D14" s="1863"/>
      <c r="E14" s="1866"/>
      <c r="F14" s="1865"/>
      <c r="H14" s="1876">
        <f t="shared" si="0"/>
        <v>0</v>
      </c>
      <c r="I14" s="1876">
        <f t="shared" si="1"/>
        <v>0</v>
      </c>
      <c r="J14" s="1876">
        <f t="shared" si="2"/>
        <v>0</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c r="D19" s="1863"/>
      <c r="E19" s="1866"/>
      <c r="F19" s="1865"/>
      <c r="H19" s="1876">
        <f t="shared" si="0"/>
        <v>0</v>
      </c>
      <c r="I19" s="1876">
        <f t="shared" si="1"/>
        <v>0</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t="s">
        <v>2102</v>
      </c>
      <c r="D24" s="1863" t="s">
        <v>2102</v>
      </c>
      <c r="E24" s="1866"/>
      <c r="F24" s="1865" t="s">
        <v>2247</v>
      </c>
      <c r="H24" s="1876">
        <f t="shared" si="0"/>
        <v>5</v>
      </c>
      <c r="I24" s="1876">
        <f t="shared" si="1"/>
        <v>5</v>
      </c>
      <c r="J24" s="1876">
        <f t="shared" si="2"/>
        <v>0</v>
      </c>
    </row>
    <row r="25" spans="1:12" ht="12" customHeight="1" x14ac:dyDescent="0.2">
      <c r="A25" s="1861" t="s">
        <v>1533</v>
      </c>
      <c r="B25" s="1862"/>
      <c r="C25" s="1863"/>
      <c r="D25" s="1863"/>
      <c r="E25" s="1866"/>
      <c r="F25" s="1865"/>
      <c r="H25" s="1876">
        <f t="shared" si="0"/>
        <v>0</v>
      </c>
      <c r="I25" s="1876">
        <f t="shared" si="1"/>
        <v>0</v>
      </c>
      <c r="J25" s="1876">
        <f t="shared" si="2"/>
        <v>0</v>
      </c>
    </row>
    <row r="26" spans="1:12" ht="12" customHeight="1" x14ac:dyDescent="0.2">
      <c r="A26" s="1861" t="s">
        <v>1534</v>
      </c>
      <c r="B26" s="1862"/>
      <c r="C26" s="1863"/>
      <c r="D26" s="1863"/>
      <c r="E26" s="1866"/>
      <c r="F26" s="1865"/>
      <c r="H26" s="1876">
        <f t="shared" si="0"/>
        <v>0</v>
      </c>
      <c r="I26" s="1876">
        <f t="shared" si="1"/>
        <v>0</v>
      </c>
      <c r="J26" s="1876">
        <f t="shared" si="2"/>
        <v>0</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c r="D28" s="1863"/>
      <c r="E28" s="1866"/>
      <c r="F28" s="1865"/>
      <c r="H28" s="1876">
        <f t="shared" si="0"/>
        <v>0</v>
      </c>
      <c r="I28" s="1876">
        <f t="shared" si="1"/>
        <v>0</v>
      </c>
      <c r="J28" s="1876">
        <f t="shared" si="2"/>
        <v>0</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c r="D31" s="1863"/>
      <c r="E31" s="1866"/>
      <c r="F31" s="1865"/>
      <c r="H31" s="1876">
        <f t="shared" si="0"/>
        <v>0</v>
      </c>
      <c r="I31" s="1876">
        <f t="shared" si="1"/>
        <v>0</v>
      </c>
      <c r="J31" s="1876">
        <f t="shared" si="2"/>
        <v>0</v>
      </c>
      <c r="L31" s="1867"/>
    </row>
    <row r="32" spans="1:12" ht="12" customHeight="1" x14ac:dyDescent="0.2">
      <c r="A32" s="1861" t="s">
        <v>1540</v>
      </c>
      <c r="B32" s="1862"/>
      <c r="C32" s="1863"/>
      <c r="D32" s="1863"/>
      <c r="E32" s="1866"/>
      <c r="F32" s="1865"/>
      <c r="H32" s="1876">
        <f t="shared" si="0"/>
        <v>0</v>
      </c>
      <c r="I32" s="1876">
        <f t="shared" si="1"/>
        <v>0</v>
      </c>
      <c r="J32" s="1876">
        <f t="shared" si="2"/>
        <v>0</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5</v>
      </c>
      <c r="I34" s="1876">
        <f>SUM(I11:I32)</f>
        <v>5</v>
      </c>
      <c r="J34" s="1876">
        <f>SUM(J11:J32)</f>
        <v>0</v>
      </c>
      <c r="K34" s="1876">
        <f>SUM(H34:J34)</f>
        <v>10</v>
      </c>
    </row>
    <row r="35" spans="1:11" ht="12" customHeight="1" x14ac:dyDescent="0.2">
      <c r="A35" s="1869" t="s">
        <v>1392</v>
      </c>
      <c r="B35" s="1870"/>
      <c r="C35" s="2425"/>
      <c r="D35" s="2425"/>
      <c r="E35" s="2425"/>
      <c r="F35" s="2426"/>
    </row>
    <row r="36" spans="1:11" ht="12" customHeight="1" x14ac:dyDescent="0.2">
      <c r="A36" s="2408"/>
      <c r="B36" s="2409"/>
      <c r="C36" s="2409"/>
      <c r="D36" s="2409"/>
      <c r="E36" s="2409"/>
      <c r="F36" s="2410"/>
    </row>
    <row r="37" spans="1:11" ht="12" customHeight="1" x14ac:dyDescent="0.2">
      <c r="A37" s="2408"/>
      <c r="B37" s="2409"/>
      <c r="C37" s="2409"/>
      <c r="D37" s="2409"/>
      <c r="E37" s="2409"/>
      <c r="F37" s="2410"/>
    </row>
    <row r="38" spans="1:11" ht="12" customHeight="1" x14ac:dyDescent="0.2">
      <c r="A38" s="2411"/>
      <c r="B38" s="2412"/>
      <c r="C38" s="2412"/>
      <c r="D38" s="2412"/>
      <c r="E38" s="2412"/>
      <c r="F38" s="2413"/>
    </row>
    <row r="39" spans="1:11" ht="4.5" hidden="1" customHeight="1" x14ac:dyDescent="0.2">
      <c r="A39" s="1871"/>
      <c r="B39" s="1871"/>
      <c r="C39" s="1871"/>
      <c r="D39" s="1871"/>
      <c r="E39" s="1871"/>
      <c r="F39" s="1871"/>
    </row>
    <row r="40" spans="1:11" s="1868" customFormat="1" ht="12" customHeight="1" x14ac:dyDescent="0.25">
      <c r="A40" s="1872" t="s">
        <v>1391</v>
      </c>
      <c r="B40" s="1873"/>
      <c r="C40" s="2414"/>
      <c r="D40" s="2414"/>
      <c r="E40" s="2414"/>
      <c r="F40" s="2415"/>
      <c r="H40" s="1877"/>
      <c r="I40" s="1877"/>
      <c r="J40" s="1877"/>
      <c r="K40" s="1877"/>
    </row>
    <row r="41" spans="1:11" s="1868" customFormat="1" ht="12" customHeight="1" x14ac:dyDescent="0.25">
      <c r="A41" s="2416"/>
      <c r="B41" s="2417"/>
      <c r="C41" s="2417"/>
      <c r="D41" s="2417"/>
      <c r="E41" s="2417"/>
      <c r="F41" s="2418"/>
      <c r="H41" s="1877"/>
      <c r="I41" s="1877"/>
      <c r="J41" s="1877"/>
      <c r="K41" s="1877"/>
    </row>
    <row r="42" spans="1:11" s="1868" customFormat="1" ht="12" customHeight="1" x14ac:dyDescent="0.25">
      <c r="A42" s="2416"/>
      <c r="B42" s="2417"/>
      <c r="C42" s="2417"/>
      <c r="D42" s="2417"/>
      <c r="E42" s="2417"/>
      <c r="F42" s="2418"/>
      <c r="H42" s="1877"/>
      <c r="I42" s="1877"/>
      <c r="J42" s="1877"/>
      <c r="K42" s="1877"/>
    </row>
    <row r="43" spans="1:11" s="1868" customFormat="1" ht="15" x14ac:dyDescent="0.25">
      <c r="A43" s="2405"/>
      <c r="B43" s="2406"/>
      <c r="C43" s="2406"/>
      <c r="D43" s="2406"/>
      <c r="E43" s="2406"/>
      <c r="F43" s="2407"/>
      <c r="H43" s="1877"/>
      <c r="I43" s="1877"/>
      <c r="J43" s="1877"/>
      <c r="K43" s="1877"/>
    </row>
    <row r="44" spans="1:11" s="1868" customFormat="1" ht="12" hidden="1" customHeight="1" x14ac:dyDescent="0.25">
      <c r="A44" s="2405"/>
      <c r="B44" s="2406"/>
      <c r="C44" s="2406"/>
      <c r="D44" s="2406"/>
      <c r="E44" s="2406"/>
      <c r="F44" s="2407"/>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B5" sqref="B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0"/>
      <c r="C6" s="1640"/>
      <c r="D6" s="1640"/>
      <c r="E6" s="1641"/>
      <c r="F6" s="1015"/>
      <c r="G6" s="1009"/>
      <c r="H6" s="1016" t="s">
        <v>1028</v>
      </c>
      <c r="I6" s="2432" t="str">
        <f>COVER!A17</f>
        <v>Cahokia CUSD 187</v>
      </c>
      <c r="J6" s="2433"/>
      <c r="Q6" s="1662"/>
    </row>
    <row r="7" spans="1:17" x14ac:dyDescent="0.2">
      <c r="A7" s="2434" t="s">
        <v>869</v>
      </c>
      <c r="B7" s="2435"/>
      <c r="C7" s="2435"/>
      <c r="D7" s="2435"/>
      <c r="E7" s="2436"/>
      <c r="F7" s="1017"/>
      <c r="G7" s="1009"/>
      <c r="H7" s="1016" t="s">
        <v>372</v>
      </c>
      <c r="I7" s="2437">
        <f>COVER!A13</f>
        <v>50082187026</v>
      </c>
      <c r="J7" s="2437"/>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93" t="s">
        <v>1974</v>
      </c>
      <c r="F9" s="1023"/>
      <c r="G9" s="1023"/>
      <c r="H9" s="1894"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438" t="s">
        <v>481</v>
      </c>
      <c r="B11" s="2439"/>
      <c r="C11" s="2440"/>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363557</v>
      </c>
      <c r="F12" s="1039"/>
      <c r="G12" s="1809">
        <f t="shared" ref="G12:G18" si="0">SUM(E12:F12)</f>
        <v>363557</v>
      </c>
      <c r="H12" s="1040"/>
      <c r="I12" s="1039"/>
      <c r="J12" s="1809">
        <f t="shared" ref="J12:J18" si="1">SUM(H12:I12)</f>
        <v>0</v>
      </c>
    </row>
    <row r="13" spans="1:17" ht="15" customHeight="1" x14ac:dyDescent="0.2">
      <c r="A13" s="1035">
        <v>2</v>
      </c>
      <c r="B13" s="1036" t="s">
        <v>42</v>
      </c>
      <c r="C13" s="1037"/>
      <c r="D13" s="1038">
        <v>2330</v>
      </c>
      <c r="E13" s="1809">
        <f>'Expenditures 15-22'!K51</f>
        <v>806760</v>
      </c>
      <c r="F13" s="1039"/>
      <c r="G13" s="1809">
        <f t="shared" si="0"/>
        <v>806760</v>
      </c>
      <c r="H13" s="1040"/>
      <c r="I13" s="1039"/>
      <c r="J13" s="1809">
        <f t="shared" si="1"/>
        <v>0</v>
      </c>
    </row>
    <row r="14" spans="1:17" ht="15" customHeight="1" x14ac:dyDescent="0.2">
      <c r="A14" s="1035">
        <v>3</v>
      </c>
      <c r="B14" s="1036" t="s">
        <v>43</v>
      </c>
      <c r="C14" s="1037"/>
      <c r="D14" s="1041">
        <v>2490</v>
      </c>
      <c r="E14" s="1809">
        <f>'Expenditures 15-22'!K56</f>
        <v>3893</v>
      </c>
      <c r="F14" s="1039"/>
      <c r="G14" s="1809">
        <f t="shared" si="0"/>
        <v>3893</v>
      </c>
      <c r="H14" s="1040"/>
      <c r="I14" s="1039"/>
      <c r="J14" s="1809">
        <f t="shared" si="1"/>
        <v>0</v>
      </c>
    </row>
    <row r="15" spans="1:17" ht="15" customHeight="1" x14ac:dyDescent="0.2">
      <c r="A15" s="1035">
        <v>4</v>
      </c>
      <c r="B15" s="1036" t="s">
        <v>1068</v>
      </c>
      <c r="C15" s="1037"/>
      <c r="D15" s="1038">
        <v>2510</v>
      </c>
      <c r="E15" s="1809">
        <f>'Expenditures 15-22'!K59</f>
        <v>256277</v>
      </c>
      <c r="F15" s="1809">
        <f>'Expenditures 15-22'!K122</f>
        <v>0</v>
      </c>
      <c r="G15" s="1809">
        <f t="shared" si="0"/>
        <v>256277</v>
      </c>
      <c r="H15" s="1040"/>
      <c r="I15" s="1040"/>
      <c r="J15" s="1809">
        <f t="shared" si="1"/>
        <v>0</v>
      </c>
    </row>
    <row r="16" spans="1:17" ht="15" customHeight="1" x14ac:dyDescent="0.2">
      <c r="A16" s="1035">
        <v>5</v>
      </c>
      <c r="B16" s="1036" t="s">
        <v>101</v>
      </c>
      <c r="C16" s="1037"/>
      <c r="D16" s="1038">
        <v>2570</v>
      </c>
      <c r="E16" s="1809">
        <f>'Expenditures 15-22'!K64</f>
        <v>204470</v>
      </c>
      <c r="F16" s="1039"/>
      <c r="G16" s="1809">
        <f t="shared" si="0"/>
        <v>204470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441" t="s">
        <v>7</v>
      </c>
      <c r="C18" s="2442"/>
      <c r="D18" s="2443"/>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1634957</v>
      </c>
      <c r="F19" s="1811">
        <f t="shared" si="2"/>
        <v>0</v>
      </c>
      <c r="G19" s="1811">
        <f t="shared" si="2"/>
        <v>1634957</v>
      </c>
      <c r="H19" s="1811">
        <f t="shared" si="2"/>
        <v>0</v>
      </c>
      <c r="I19" s="1811">
        <f t="shared" si="2"/>
        <v>0</v>
      </c>
      <c r="J19" s="1811">
        <f t="shared" si="2"/>
        <v>0</v>
      </c>
    </row>
    <row r="20" spans="1:10" ht="13.5" thickTop="1" x14ac:dyDescent="0.2">
      <c r="A20" s="1035">
        <v>9</v>
      </c>
      <c r="B20" s="2444" t="s">
        <v>1976</v>
      </c>
      <c r="C20" s="2444"/>
      <c r="D20" s="2445"/>
      <c r="E20" s="1046"/>
      <c r="F20" s="1046"/>
      <c r="G20" s="1046"/>
      <c r="H20" s="1046"/>
      <c r="I20" s="1046"/>
      <c r="J20" s="1812" t="str">
        <f>IF(AND(G19&gt;0,J19&gt;0),(((J19-G19)/G19)),"Enter Budget Data")</f>
        <v>Enter Budget Data</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450"/>
      <c r="D26" s="2450"/>
      <c r="E26" s="1050"/>
      <c r="F26" s="2449"/>
      <c r="G26" s="2449"/>
    </row>
    <row r="27" spans="1:10" x14ac:dyDescent="0.2">
      <c r="B27" s="1047"/>
      <c r="C27" s="1051" t="s">
        <v>1033</v>
      </c>
      <c r="D27" s="1052"/>
      <c r="E27" s="1053"/>
      <c r="F27" s="2446" t="s">
        <v>1509</v>
      </c>
      <c r="G27" s="2446"/>
    </row>
    <row r="28" spans="1:10" ht="28.5" customHeight="1" x14ac:dyDescent="0.2">
      <c r="B28" s="1047"/>
      <c r="C28" s="2448"/>
      <c r="D28" s="2448"/>
      <c r="E28" s="1054"/>
      <c r="F28" s="2448"/>
      <c r="G28" s="2448"/>
    </row>
    <row r="29" spans="1:10" x14ac:dyDescent="0.2">
      <c r="B29" s="1047"/>
      <c r="C29" s="1055" t="s">
        <v>1561</v>
      </c>
      <c r="E29" s="1056"/>
      <c r="F29" s="2447" t="s">
        <v>1510</v>
      </c>
      <c r="G29" s="2447"/>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429" t="s">
        <v>132</v>
      </c>
      <c r="D33" s="2430"/>
      <c r="E33" s="2430"/>
      <c r="F33" s="2430"/>
      <c r="G33" s="2430"/>
      <c r="H33" s="2430"/>
      <c r="I33" s="2430"/>
    </row>
    <row r="34" spans="1:10" ht="10.35" customHeight="1" x14ac:dyDescent="0.2">
      <c r="C34" s="2430"/>
      <c r="D34" s="2430"/>
      <c r="E34" s="2430"/>
      <c r="F34" s="2430"/>
      <c r="G34" s="2430"/>
      <c r="H34" s="2430"/>
      <c r="I34" s="2430"/>
    </row>
    <row r="35" spans="1:10" ht="7.5" customHeight="1" x14ac:dyDescent="0.2">
      <c r="C35" s="1062"/>
    </row>
    <row r="36" spans="1:10" ht="13.5" customHeight="1" x14ac:dyDescent="0.2">
      <c r="B36" s="1061"/>
      <c r="C36" s="2431" t="s">
        <v>1978</v>
      </c>
      <c r="D36" s="2430"/>
      <c r="E36" s="2430"/>
      <c r="F36" s="2430"/>
      <c r="G36" s="2430"/>
      <c r="H36" s="2430"/>
      <c r="I36" s="2430"/>
      <c r="J36" s="1063"/>
    </row>
    <row r="37" spans="1:10" ht="22.5" customHeight="1" x14ac:dyDescent="0.2">
      <c r="C37" s="2430"/>
      <c r="D37" s="2430"/>
      <c r="E37" s="2430"/>
      <c r="F37" s="2430"/>
      <c r="G37" s="2430"/>
      <c r="H37" s="2430"/>
      <c r="I37" s="2430"/>
      <c r="J37" s="1063"/>
    </row>
    <row r="38" spans="1:10" ht="7.5" customHeight="1" x14ac:dyDescent="0.2">
      <c r="C38" s="1062"/>
      <c r="D38" s="1064"/>
      <c r="E38" s="1065"/>
      <c r="F38" s="1066"/>
      <c r="G38" s="1065"/>
    </row>
    <row r="39" spans="1:10" ht="13.5" customHeight="1" x14ac:dyDescent="0.2">
      <c r="B39" s="1061"/>
      <c r="C39" s="2427" t="s">
        <v>882</v>
      </c>
      <c r="D39" s="2428"/>
      <c r="E39" s="2428"/>
      <c r="F39" s="2428"/>
      <c r="G39" s="2428"/>
      <c r="H39" s="2428"/>
      <c r="I39" s="242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2" zoomScale="110" zoomScaleNormal="110" workbookViewId="0">
      <selection activeCell="B13" sqref="B1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c r="B5" s="329" t="s">
        <v>2256</v>
      </c>
    </row>
    <row r="6" spans="1:2" x14ac:dyDescent="0.2">
      <c r="A6" s="1068"/>
      <c r="B6" s="329" t="s">
        <v>2257</v>
      </c>
    </row>
    <row r="7" spans="1:2" x14ac:dyDescent="0.2">
      <c r="A7" s="1068"/>
      <c r="B7" s="329" t="s">
        <v>2258</v>
      </c>
    </row>
    <row r="8" spans="1:2" x14ac:dyDescent="0.2">
      <c r="A8" s="1068"/>
      <c r="B8" s="329" t="s">
        <v>2259</v>
      </c>
    </row>
    <row r="9" spans="1:2" x14ac:dyDescent="0.2">
      <c r="A9" s="1069"/>
      <c r="B9" s="329" t="s">
        <v>2260</v>
      </c>
    </row>
    <row r="10" spans="1:2" x14ac:dyDescent="0.2">
      <c r="A10" s="1069"/>
    </row>
    <row r="11" spans="1:2" x14ac:dyDescent="0.2">
      <c r="A11" s="1069"/>
      <c r="B11" s="329" t="s">
        <v>2261</v>
      </c>
    </row>
    <row r="12" spans="1:2" x14ac:dyDescent="0.2">
      <c r="A12" s="1069"/>
      <c r="B12" s="329" t="s">
        <v>2262</v>
      </c>
    </row>
    <row r="13" spans="1:2" x14ac:dyDescent="0.2">
      <c r="A13" s="1069"/>
    </row>
    <row r="14" spans="1:2" x14ac:dyDescent="0.2">
      <c r="A14" s="1069"/>
      <c r="B14" s="329" t="s">
        <v>2263</v>
      </c>
    </row>
    <row r="15" spans="1:2" x14ac:dyDescent="0.2">
      <c r="A15" s="1069"/>
      <c r="B15" s="329" t="s">
        <v>2264</v>
      </c>
    </row>
    <row r="16" spans="1:2" x14ac:dyDescent="0.2">
      <c r="A16" s="1069"/>
    </row>
    <row r="17" spans="1:2" x14ac:dyDescent="0.2">
      <c r="A17" s="1069"/>
      <c r="B17" s="329" t="s">
        <v>2265</v>
      </c>
    </row>
    <row r="18" spans="1:2" x14ac:dyDescent="0.2">
      <c r="A18" s="1069"/>
      <c r="B18" s="329" t="s">
        <v>2266</v>
      </c>
    </row>
    <row r="19" spans="1:2" x14ac:dyDescent="0.2">
      <c r="A19" s="1069"/>
    </row>
    <row r="20" spans="1:2" x14ac:dyDescent="0.2">
      <c r="A20" s="1069"/>
      <c r="B20" s="329" t="s">
        <v>2267</v>
      </c>
    </row>
    <row r="21" spans="1:2" x14ac:dyDescent="0.2">
      <c r="A21" s="1069"/>
      <c r="B21" s="329" t="s">
        <v>2268</v>
      </c>
    </row>
    <row r="22" spans="1:2" x14ac:dyDescent="0.2">
      <c r="A22" s="1069"/>
    </row>
    <row r="23" spans="1:2" x14ac:dyDescent="0.2">
      <c r="A23" s="1069"/>
      <c r="B23" s="329" t="s">
        <v>2269</v>
      </c>
    </row>
    <row r="24" spans="1:2" x14ac:dyDescent="0.2">
      <c r="A24" s="1069"/>
      <c r="B24" s="329" t="s">
        <v>2270</v>
      </c>
    </row>
    <row r="25" spans="1:2" x14ac:dyDescent="0.2">
      <c r="A25" s="1069"/>
    </row>
    <row r="26" spans="1:2" x14ac:dyDescent="0.2">
      <c r="A26" s="1069"/>
    </row>
    <row r="27" spans="1:2" x14ac:dyDescent="0.2">
      <c r="A27" s="1069"/>
      <c r="B27" s="329" t="s">
        <v>2271</v>
      </c>
    </row>
    <row r="28" spans="1:2" x14ac:dyDescent="0.2">
      <c r="A28" s="1069"/>
      <c r="B28" s="329" t="s">
        <v>2272</v>
      </c>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Cahokia CUSD 187</v>
      </c>
    </row>
    <row r="65" spans="2:2" x14ac:dyDescent="0.2">
      <c r="B65" s="1070">
        <f>COVER!A13</f>
        <v>50082187026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5" sqref="B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4" t="s">
        <v>1611</v>
      </c>
    </row>
    <row r="23" spans="1:5" x14ac:dyDescent="0.2">
      <c r="A23" s="168"/>
      <c r="B23" s="162" t="s">
        <v>1853</v>
      </c>
      <c r="D23" s="167" t="s">
        <v>637</v>
      </c>
      <c r="E23" s="1834"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68" t="s">
        <v>1065</v>
      </c>
      <c r="B35" s="2168"/>
      <c r="C35" s="2168"/>
      <c r="D35" s="2168"/>
      <c r="E35" s="21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65" t="s">
        <v>691</v>
      </c>
      <c r="B40" s="2165"/>
      <c r="C40" s="2165"/>
      <c r="D40" s="2165"/>
      <c r="E40" s="2165"/>
    </row>
    <row r="41" spans="1:5" x14ac:dyDescent="0.2">
      <c r="A41" s="2166" t="s">
        <v>1608</v>
      </c>
      <c r="B41" s="2166"/>
      <c r="C41" s="2166"/>
      <c r="D41" s="2166"/>
      <c r="E41" s="2166"/>
    </row>
    <row r="42" spans="1:5" ht="12.75" customHeight="1" x14ac:dyDescent="0.2">
      <c r="A42" s="2167" t="s">
        <v>1022</v>
      </c>
      <c r="B42" s="2167"/>
      <c r="C42" s="2167"/>
      <c r="D42" s="2167"/>
      <c r="E42" s="2167"/>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3" t="s">
        <v>1773</v>
      </c>
    </row>
    <row r="60" spans="1:3" x14ac:dyDescent="0.2">
      <c r="A60" s="196"/>
      <c r="B60" s="1483"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5"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4"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5" sqref="B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5" sqref="D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451" t="s">
        <v>1685</v>
      </c>
      <c r="B18" s="245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autoPict="0" r:id="rId5">
            <anchor moveWithCells="1">
              <from>
                <xdr:col>1</xdr:col>
                <xdr:colOff>0</xdr:colOff>
                <xdr:row>2</xdr:row>
                <xdr:rowOff>123825</xdr:rowOff>
              </from>
              <to>
                <xdr:col>1</xdr:col>
                <xdr:colOff>914400</xdr:colOff>
                <xdr:row>6</xdr:row>
                <xdr:rowOff>114300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autoPict="0" r:id="rId7">
            <anchor moveWithCells="1">
              <from>
                <xdr:col>1</xdr:col>
                <xdr:colOff>1019175</xdr:colOff>
                <xdr:row>2</xdr:row>
                <xdr:rowOff>133350</xdr:rowOff>
              </from>
              <to>
                <xdr:col>1</xdr:col>
                <xdr:colOff>1914525</xdr:colOff>
                <xdr:row>6</xdr:row>
                <xdr:rowOff>123825</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5" sqref="B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52" t="s">
        <v>1690</v>
      </c>
      <c r="B1" s="2453"/>
      <c r="C1" s="2453"/>
      <c r="D1" s="2453"/>
      <c r="E1" s="2453"/>
      <c r="F1" s="2454"/>
    </row>
    <row r="2" spans="1:8" ht="45" customHeight="1" x14ac:dyDescent="0.2">
      <c r="A2" s="2462" t="s">
        <v>1982</v>
      </c>
      <c r="B2" s="2463"/>
      <c r="C2" s="2463"/>
      <c r="D2" s="2463"/>
      <c r="E2" s="2463"/>
      <c r="F2" s="2464"/>
      <c r="G2" s="1074"/>
      <c r="H2" s="1074"/>
    </row>
    <row r="3" spans="1:8" ht="57" customHeight="1" x14ac:dyDescent="0.2">
      <c r="A3" s="2465" t="s">
        <v>1686</v>
      </c>
      <c r="B3" s="2466"/>
      <c r="C3" s="2466"/>
      <c r="D3" s="2466"/>
      <c r="E3" s="2466"/>
      <c r="F3" s="2467"/>
      <c r="G3" s="1074"/>
      <c r="H3" s="1074"/>
    </row>
    <row r="4" spans="1:8" ht="14.25" customHeight="1" x14ac:dyDescent="0.2">
      <c r="A4" s="2471" t="s">
        <v>1983</v>
      </c>
      <c r="B4" s="2472"/>
      <c r="C4" s="2472"/>
      <c r="D4" s="2472"/>
      <c r="E4" s="2472"/>
      <c r="F4" s="2473"/>
      <c r="G4" s="1074"/>
      <c r="H4" s="1074"/>
    </row>
    <row r="5" spans="1:8" ht="14.25" customHeight="1" x14ac:dyDescent="0.2">
      <c r="A5" s="2474" t="s">
        <v>1979</v>
      </c>
      <c r="B5" s="2475"/>
      <c r="C5" s="2475"/>
      <c r="D5" s="2475"/>
      <c r="E5" s="2475"/>
      <c r="F5" s="2476"/>
      <c r="G5" s="1074"/>
      <c r="H5" s="1074"/>
    </row>
    <row r="6" spans="1:8" s="1075" customFormat="1" ht="41.25" customHeight="1" x14ac:dyDescent="0.2">
      <c r="A6" s="2468" t="s">
        <v>1691</v>
      </c>
      <c r="B6" s="2469"/>
      <c r="C6" s="2469"/>
      <c r="D6" s="2469"/>
      <c r="E6" s="2469"/>
      <c r="F6" s="2470"/>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40703594</v>
      </c>
      <c r="C8" s="1813">
        <f>'Acct Summary 7-8'!D8</f>
        <v>2774613</v>
      </c>
      <c r="D8" s="1813">
        <f>'Acct Summary 7-8'!F8</f>
        <v>4341588</v>
      </c>
      <c r="E8" s="1813">
        <f>'Acct Summary 7-8'!I8</f>
        <v>85900</v>
      </c>
      <c r="F8" s="1813">
        <f>SUM(B8:E8)</f>
        <v>47905695</v>
      </c>
    </row>
    <row r="9" spans="1:8" s="1079" customFormat="1" ht="14.25" customHeight="1" thickBot="1" x14ac:dyDescent="0.25">
      <c r="A9" s="1078" t="s">
        <v>1369</v>
      </c>
      <c r="B9" s="1814">
        <f>'Acct Summary 7-8'!C17</f>
        <v>40233586</v>
      </c>
      <c r="C9" s="1814">
        <f>'Acct Summary 7-8'!D17</f>
        <v>2650293</v>
      </c>
      <c r="D9" s="1814">
        <f>'Acct Summary 7-8'!F17</f>
        <v>2739034</v>
      </c>
      <c r="E9" s="1813"/>
      <c r="F9" s="1813">
        <f>SUM(B9:E9)</f>
        <v>45622913</v>
      </c>
    </row>
    <row r="10" spans="1:8" s="1079" customFormat="1" ht="14.25" thickTop="1" thickBot="1" x14ac:dyDescent="0.25">
      <c r="A10" s="1080" t="s">
        <v>1370</v>
      </c>
      <c r="B10" s="1815">
        <f>(B8-B9)</f>
        <v>470008</v>
      </c>
      <c r="C10" s="1815">
        <f>(C8-C9)</f>
        <v>124320</v>
      </c>
      <c r="D10" s="1815">
        <f>(D8-D9)</f>
        <v>1602554</v>
      </c>
      <c r="E10" s="1814">
        <f>(E8-E9)</f>
        <v>85900</v>
      </c>
      <c r="F10" s="1816">
        <f>SUM(F8-F9)</f>
        <v>2282782</v>
      </c>
    </row>
    <row r="11" spans="1:8" s="1079" customFormat="1" ht="14.25" thickTop="1" thickBot="1" x14ac:dyDescent="0.25">
      <c r="A11" s="1081" t="s">
        <v>1980</v>
      </c>
      <c r="B11" s="1817">
        <f>'Acct Summary 7-8'!C81</f>
        <v>6125664</v>
      </c>
      <c r="C11" s="1817">
        <f>'Acct Summary 7-8'!D81</f>
        <v>691781</v>
      </c>
      <c r="D11" s="1817">
        <f>'Acct Summary 7-8'!F81</f>
        <v>3145668</v>
      </c>
      <c r="E11" s="1817">
        <f>'Acct Summary 7-8'!I81</f>
        <v>4208311</v>
      </c>
      <c r="F11" s="1818">
        <f>SUM(B11:E11)</f>
        <v>14171424</v>
      </c>
    </row>
    <row r="12" spans="1:8" ht="16.5" customHeight="1" thickTop="1" x14ac:dyDescent="0.2">
      <c r="A12" s="1082"/>
      <c r="B12" s="1083"/>
      <c r="C12" s="2456" t="str">
        <f>IF(AND(F10&lt;0,F11&gt;=0,ABS(F10*3)&gt;ABS(F11)),A16,IF(AND(F10&lt;0,F11&gt;0,ABS(F10*3)&lt;=ABS(F11)),A17,IF(AND(F10&lt;0,F11&lt;0),A16,IF(F11=0,A19,A18))))</f>
        <v>Balanced - no deficit reduction plan is required.</v>
      </c>
      <c r="D12" s="2457"/>
      <c r="E12" s="2457"/>
      <c r="F12" s="2458"/>
    </row>
    <row r="13" spans="1:8" ht="19.5" customHeight="1" x14ac:dyDescent="0.2">
      <c r="A13" s="1084"/>
      <c r="B13" s="1085"/>
      <c r="C13" s="2456"/>
      <c r="D13" s="2457"/>
      <c r="E13" s="2457"/>
      <c r="F13" s="2458"/>
      <c r="H13" s="1074"/>
    </row>
    <row r="14" spans="1:8" ht="19.5" customHeight="1" x14ac:dyDescent="0.2">
      <c r="A14" s="1084"/>
      <c r="B14" s="1085"/>
      <c r="C14" s="2456"/>
      <c r="D14" s="2457"/>
      <c r="E14" s="2457"/>
      <c r="F14" s="2458"/>
      <c r="H14" s="1074"/>
    </row>
    <row r="15" spans="1:8" ht="17.25" customHeight="1" x14ac:dyDescent="0.2">
      <c r="A15" s="1084"/>
      <c r="B15" s="1085"/>
      <c r="C15" s="2459"/>
      <c r="D15" s="2460"/>
      <c r="E15" s="2460"/>
      <c r="F15" s="2461"/>
      <c r="H15" s="1074"/>
    </row>
    <row r="16" spans="1:8" s="310" customFormat="1" ht="51.75" hidden="1" customHeight="1" x14ac:dyDescent="0.2">
      <c r="A16" s="2455" t="s">
        <v>1687</v>
      </c>
      <c r="B16" s="2455"/>
      <c r="C16" s="2455"/>
      <c r="D16" s="2455"/>
      <c r="E16" s="2455"/>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0" colorId="8" zoomScale="110" zoomScaleNormal="110" workbookViewId="0">
      <selection activeCell="B5" sqref="B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5"/>
      <c r="B2" s="1896"/>
      <c r="C2" s="1897"/>
      <c r="D2" s="1898"/>
    </row>
    <row r="3" spans="1:4" ht="36" customHeight="1" x14ac:dyDescent="0.2">
      <c r="A3" s="2477" t="s">
        <v>665</v>
      </c>
      <c r="B3" s="2478"/>
      <c r="C3" s="2478"/>
      <c r="D3" s="2479"/>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488" t="s">
        <v>1504</v>
      </c>
      <c r="D7" s="2489"/>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480" t="s">
        <v>1008</v>
      </c>
      <c r="B15" s="2481"/>
      <c r="C15" s="2481"/>
      <c r="D15" s="2482"/>
    </row>
    <row r="16" spans="1:4" s="668" customFormat="1" ht="24" customHeight="1" x14ac:dyDescent="0.2">
      <c r="A16" s="2483" t="s">
        <v>663</v>
      </c>
      <c r="B16" s="2484"/>
      <c r="C16" s="2484"/>
      <c r="D16" s="2485"/>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492" t="s">
        <v>314</v>
      </c>
      <c r="D21" s="2493"/>
    </row>
    <row r="22" spans="1:10" ht="12.75" x14ac:dyDescent="0.2">
      <c r="A22" s="1139"/>
      <c r="B22" s="1140">
        <v>2</v>
      </c>
      <c r="C22" s="2490" t="s">
        <v>1524</v>
      </c>
      <c r="D22" s="2491"/>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494" t="s">
        <v>536</v>
      </c>
      <c r="D43" s="2495"/>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486" t="s">
        <v>784</v>
      </c>
      <c r="D56" s="2487"/>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486" t="s">
        <v>1696</v>
      </c>
      <c r="D70" s="2487"/>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ENTRY IS REQUIRED!</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ENTER BUDGET DATA!</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50082187026</v>
      </c>
    </row>
    <row r="3" spans="1:2" x14ac:dyDescent="0.2">
      <c r="A3" t="s">
        <v>956</v>
      </c>
      <c r="B3" s="138" t="str">
        <f>COVER!A15</f>
        <v>ST. CLAIR</v>
      </c>
    </row>
    <row r="4" spans="1:2" x14ac:dyDescent="0.2">
      <c r="A4" t="s">
        <v>1007</v>
      </c>
      <c r="B4" s="138" t="str">
        <f>COVER!A17</f>
        <v>Cahokia CUSD 187</v>
      </c>
    </row>
    <row r="5" spans="1:2" x14ac:dyDescent="0.2">
      <c r="A5" t="s">
        <v>704</v>
      </c>
      <c r="B5" s="138" t="str">
        <f>COVER!A38</f>
        <v>ARNETT HARVEY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065-26956</v>
      </c>
    </row>
    <row r="16" spans="1:2" x14ac:dyDescent="0.2">
      <c r="A16" t="s">
        <v>422</v>
      </c>
      <c r="B16" s="138" t="str">
        <f>COVER!T13</f>
        <v>SCHEFFEL BOYLE</v>
      </c>
    </row>
    <row r="17" spans="1:2" x14ac:dyDescent="0.2">
      <c r="A17" t="s">
        <v>884</v>
      </c>
      <c r="B17" s="138" t="str">
        <f>COVER!T15</f>
        <v>DALE HOLTMANN</v>
      </c>
    </row>
    <row r="18" spans="1:2" x14ac:dyDescent="0.2">
      <c r="A18" t="s">
        <v>1150</v>
      </c>
      <c r="B18" s="138" t="str">
        <f>COVER!T17</f>
        <v>222 EAST MAIN STREET</v>
      </c>
    </row>
    <row r="19" spans="1:2" x14ac:dyDescent="0.2">
      <c r="A19" t="s">
        <v>886</v>
      </c>
      <c r="B19" s="138" t="str">
        <f>COVER!T25</f>
        <v>dale.holtmann@scheffelboyle.com</v>
      </c>
    </row>
    <row r="20" spans="1:2" x14ac:dyDescent="0.2">
      <c r="A20" t="s">
        <v>887</v>
      </c>
      <c r="B20" s="138" t="str">
        <f>COVER!T19</f>
        <v>BELLEVILLE</v>
      </c>
    </row>
    <row r="21" spans="1:2" x14ac:dyDescent="0.2">
      <c r="A21" t="s">
        <v>479</v>
      </c>
      <c r="B21" s="138" t="str">
        <f>COVER!X19</f>
        <v>IL</v>
      </c>
    </row>
    <row r="22" spans="1:2" x14ac:dyDescent="0.2">
      <c r="A22" t="s">
        <v>888</v>
      </c>
      <c r="B22" s="138">
        <f>COVER!Z19</f>
        <v>62220</v>
      </c>
    </row>
    <row r="23" spans="1:2" x14ac:dyDescent="0.2">
      <c r="A23" t="s">
        <v>1152</v>
      </c>
      <c r="B23" s="138" t="str">
        <f>COVER!T21</f>
        <v>618-277-8100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43707</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1486684</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50231</v>
      </c>
      <c r="D72" s="2" t="str">
        <f t="shared" si="0"/>
        <v>Error?</v>
      </c>
    </row>
    <row r="73" spans="1:4" x14ac:dyDescent="0.2">
      <c r="A73" s="5">
        <v>12</v>
      </c>
      <c r="B73" s="138">
        <f>'Assets-Liab 5-6'!C5</f>
        <v>13140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10070190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704090</v>
      </c>
      <c r="D86" s="2" t="str">
        <f t="shared" si="0"/>
        <v>Error?</v>
      </c>
    </row>
    <row r="87" spans="1:4" x14ac:dyDescent="0.2">
      <c r="A87" s="10">
        <v>26</v>
      </c>
      <c r="D87" s="2" t="str">
        <f t="shared" si="0"/>
        <v>OK</v>
      </c>
    </row>
    <row r="88" spans="1:4" x14ac:dyDescent="0.2">
      <c r="A88" s="5">
        <v>27</v>
      </c>
      <c r="B88" s="138">
        <f>'Assets-Liab 5-6'!C32</f>
        <v>1911151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3944526</v>
      </c>
      <c r="C91" s="2" t="s">
        <v>573</v>
      </c>
      <c r="D91" s="2" t="str">
        <f t="shared" si="0"/>
        <v>Error?</v>
      </c>
    </row>
    <row r="92" spans="1:4" x14ac:dyDescent="0.2">
      <c r="A92" s="5">
        <v>31</v>
      </c>
      <c r="B92" s="138">
        <f>'Assets-Liab 5-6'!C39</f>
        <v>0</v>
      </c>
      <c r="D92" s="2" t="str">
        <f t="shared" si="0"/>
        <v>Error?</v>
      </c>
    </row>
    <row r="93" spans="1:4" x14ac:dyDescent="0.2">
      <c r="A93" s="5">
        <v>32</v>
      </c>
      <c r="B93" s="138">
        <f>'Assets-Liab 5-6'!C41</f>
        <v>10070190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208803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75164</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1011593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392</v>
      </c>
      <c r="D117" s="2" t="str">
        <f t="shared" si="0"/>
        <v>Error?</v>
      </c>
    </row>
    <row r="118" spans="1:4" x14ac:dyDescent="0.2">
      <c r="A118" s="10">
        <v>57</v>
      </c>
      <c r="D118" s="2" t="str">
        <f t="shared" si="0"/>
        <v>OK</v>
      </c>
    </row>
    <row r="119" spans="1:4" x14ac:dyDescent="0.2">
      <c r="A119" s="5">
        <v>58</v>
      </c>
      <c r="B119" s="138">
        <f>'Assets-Liab 5-6'!D32</f>
        <v>257573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319812</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1011593</v>
      </c>
      <c r="C124" s="2" t="s">
        <v>573</v>
      </c>
      <c r="D124" s="2" t="str">
        <f t="shared" si="0"/>
        <v>Error?</v>
      </c>
    </row>
    <row r="125" spans="1:4" x14ac:dyDescent="0.2">
      <c r="A125" s="10">
        <v>64</v>
      </c>
      <c r="D125" s="2" t="str">
        <f t="shared" si="0"/>
        <v>OK</v>
      </c>
    </row>
    <row r="126" spans="1:4" x14ac:dyDescent="0.2">
      <c r="A126" s="5">
        <v>65</v>
      </c>
      <c r="B126" s="138">
        <f>'Assets-Liab 5-6'!E6</f>
        <v>1844878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1897062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2275780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2275780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1897062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111363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3285371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137372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139703</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3285371</v>
      </c>
      <c r="C171" s="2" t="s">
        <v>573</v>
      </c>
      <c r="D171" s="2" t="str">
        <f t="shared" si="1"/>
        <v>Error?</v>
      </c>
    </row>
    <row r="172" spans="1:4" x14ac:dyDescent="0.2">
      <c r="A172" s="10">
        <v>111</v>
      </c>
      <c r="D172" s="2" t="str">
        <f t="shared" si="1"/>
        <v>OK</v>
      </c>
    </row>
    <row r="173" spans="1:4" x14ac:dyDescent="0.2">
      <c r="A173" s="5">
        <v>112</v>
      </c>
      <c r="B173" s="138">
        <f>'Assets-Liab 5-6'!G6</f>
        <v>1045800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2336746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41445</v>
      </c>
      <c r="D184" s="2" t="str">
        <f t="shared" si="1"/>
        <v>Error?</v>
      </c>
    </row>
    <row r="185" spans="1:4" x14ac:dyDescent="0.2">
      <c r="A185" s="5">
        <v>124</v>
      </c>
      <c r="B185" s="138">
        <f>'Assets-Liab 5-6'!G32</f>
        <v>1290064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1331509</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2336746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982751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31532</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982751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530288</v>
      </c>
      <c r="D273" s="2" t="str">
        <f t="shared" si="3"/>
        <v>Error?</v>
      </c>
    </row>
    <row r="274" spans="1:4" x14ac:dyDescent="0.2">
      <c r="A274" s="5">
        <v>213</v>
      </c>
      <c r="B274" s="138">
        <f>'Assets-Liab 5-6'!M17</f>
        <v>21006500</v>
      </c>
      <c r="D274" s="2" t="str">
        <f t="shared" si="3"/>
        <v>Error?</v>
      </c>
    </row>
    <row r="275" spans="1:4" x14ac:dyDescent="0.2">
      <c r="A275" s="5">
        <v>214</v>
      </c>
      <c r="B275" s="138">
        <f>'Assets-Liab 5-6'!M18</f>
        <v>5119747</v>
      </c>
      <c r="D275" s="2" t="str">
        <f t="shared" si="3"/>
        <v>Error?</v>
      </c>
    </row>
    <row r="276" spans="1:4" x14ac:dyDescent="0.2">
      <c r="A276" s="5">
        <v>215</v>
      </c>
      <c r="B276" s="138">
        <f>'Assets-Liab 5-6'!M19</f>
        <v>687093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27343628</v>
      </c>
      <c r="C279" s="2" t="s">
        <v>573</v>
      </c>
      <c r="D279" s="2" t="str">
        <f t="shared" si="3"/>
        <v>Error?</v>
      </c>
    </row>
    <row r="280" spans="1:4" x14ac:dyDescent="0.2">
      <c r="A280" s="5">
        <v>219</v>
      </c>
      <c r="B280" s="138">
        <f>'Assets-Liab 5-6'!M40</f>
        <v>27343628</v>
      </c>
      <c r="D280" s="2" t="str">
        <f t="shared" si="3"/>
        <v>Error?</v>
      </c>
    </row>
    <row r="281" spans="1:4" x14ac:dyDescent="0.2">
      <c r="A281" s="5">
        <v>220</v>
      </c>
      <c r="B281" s="138">
        <f>'Assets-Liab 5-6'!M41</f>
        <v>27343628</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7320531</v>
      </c>
      <c r="D283" s="2" t="str">
        <f t="shared" si="3"/>
        <v>Error?</v>
      </c>
    </row>
    <row r="284" spans="1:4" x14ac:dyDescent="0.2">
      <c r="A284" s="5">
        <v>223</v>
      </c>
      <c r="B284" s="138">
        <f>'Assets-Liab 5-6'!N23</f>
        <v>7320531</v>
      </c>
      <c r="C284" s="2" t="s">
        <v>573</v>
      </c>
      <c r="D284" s="2" t="str">
        <f t="shared" si="3"/>
        <v>Error?</v>
      </c>
    </row>
    <row r="285" spans="1:4" x14ac:dyDescent="0.2">
      <c r="A285" s="5">
        <v>224</v>
      </c>
      <c r="B285" s="138">
        <f>'Assets-Liab 5-6'!N36</f>
        <v>7320531</v>
      </c>
      <c r="D285" s="2" t="str">
        <f t="shared" si="3"/>
        <v>Error?</v>
      </c>
    </row>
    <row r="286" spans="1:4" x14ac:dyDescent="0.2">
      <c r="A286" s="10">
        <v>225</v>
      </c>
      <c r="D286" s="2" t="str">
        <f t="shared" si="3"/>
        <v>OK</v>
      </c>
    </row>
    <row r="287" spans="1:4" x14ac:dyDescent="0.2">
      <c r="A287" s="5">
        <v>226</v>
      </c>
      <c r="B287" s="138">
        <f>'Assets-Liab 5-6'!N37</f>
        <v>7320531</v>
      </c>
      <c r="C287" s="2" t="s">
        <v>573</v>
      </c>
      <c r="D287" s="2" t="str">
        <f t="shared" si="3"/>
        <v>Error?</v>
      </c>
    </row>
    <row r="288" spans="1:4" x14ac:dyDescent="0.2">
      <c r="A288" s="5">
        <v>227</v>
      </c>
      <c r="B288" s="138">
        <f>'Assets-Liab 5-6'!N41</f>
        <v>7320531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9159139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6880</v>
      </c>
      <c r="D717" s="2" t="str">
        <f t="shared" si="10"/>
        <v>Error?</v>
      </c>
    </row>
    <row r="718" spans="1:4" x14ac:dyDescent="0.2">
      <c r="A718" s="5">
        <v>657</v>
      </c>
      <c r="B718" s="138">
        <f>'Expenditures 15-22'!C14</f>
        <v>330195</v>
      </c>
      <c r="D718" s="2" t="str">
        <f t="shared" si="10"/>
        <v>Error?</v>
      </c>
    </row>
    <row r="719" spans="1:4" x14ac:dyDescent="0.2">
      <c r="A719" s="5">
        <v>658</v>
      </c>
      <c r="B719" s="138">
        <f>'Expenditures 15-22'!C15</f>
        <v>5450</v>
      </c>
      <c r="D719" s="2" t="str">
        <f t="shared" si="10"/>
        <v>Error?</v>
      </c>
    </row>
    <row r="720" spans="1:4" x14ac:dyDescent="0.2">
      <c r="A720" s="5">
        <v>659</v>
      </c>
      <c r="B720" s="138">
        <f>'Expenditures 15-22'!C33</f>
        <v>15278021</v>
      </c>
      <c r="C720" s="2" t="s">
        <v>573</v>
      </c>
      <c r="D720" s="2" t="str">
        <f t="shared" si="10"/>
        <v>Error?</v>
      </c>
    </row>
    <row r="721" spans="1:4" x14ac:dyDescent="0.2">
      <c r="A721" s="5">
        <v>660</v>
      </c>
      <c r="B721" s="138">
        <f>'Expenditures 15-22'!C36</f>
        <v>911647</v>
      </c>
      <c r="D721" s="2" t="str">
        <f t="shared" si="10"/>
        <v>Error?</v>
      </c>
    </row>
    <row r="722" spans="1:4" x14ac:dyDescent="0.2">
      <c r="A722" s="5">
        <v>661</v>
      </c>
      <c r="B722" s="138">
        <f>'Expenditures 15-22'!C37</f>
        <v>241544</v>
      </c>
      <c r="D722" s="2" t="str">
        <f t="shared" si="10"/>
        <v>Error?</v>
      </c>
    </row>
    <row r="723" spans="1:4" x14ac:dyDescent="0.2">
      <c r="A723" s="5">
        <v>662</v>
      </c>
      <c r="B723" s="138">
        <f>'Expenditures 15-22'!C38</f>
        <v>361735</v>
      </c>
      <c r="D723" s="2" t="str">
        <f t="shared" si="10"/>
        <v>Error?</v>
      </c>
    </row>
    <row r="724" spans="1:4" x14ac:dyDescent="0.2">
      <c r="A724" s="5">
        <v>663</v>
      </c>
      <c r="B724" s="138">
        <f>'Expenditures 15-22'!C39</f>
        <v>361602</v>
      </c>
      <c r="D724" s="2" t="str">
        <f t="shared" si="10"/>
        <v>Error?</v>
      </c>
    </row>
    <row r="725" spans="1:4" x14ac:dyDescent="0.2">
      <c r="A725" s="5">
        <v>664</v>
      </c>
      <c r="B725" s="138">
        <f>'Expenditures 15-22'!C40</f>
        <v>323232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2199760</v>
      </c>
      <c r="C727" s="2" t="s">
        <v>573</v>
      </c>
      <c r="D727" s="2" t="str">
        <f t="shared" si="10"/>
        <v>Error?</v>
      </c>
    </row>
    <row r="728" spans="1:4" x14ac:dyDescent="0.2">
      <c r="A728" s="5">
        <v>667</v>
      </c>
      <c r="B728" s="138">
        <f>'Expenditures 15-22'!C44</f>
        <v>882253</v>
      </c>
      <c r="D728" s="2" t="str">
        <f t="shared" si="10"/>
        <v>Error?</v>
      </c>
    </row>
    <row r="729" spans="1:4" x14ac:dyDescent="0.2">
      <c r="A729" s="5">
        <v>668</v>
      </c>
      <c r="B729" s="138">
        <f>'Expenditures 15-22'!C45</f>
        <v>23167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905420</v>
      </c>
      <c r="C731" s="2" t="s">
        <v>573</v>
      </c>
      <c r="D731" s="2" t="str">
        <f t="shared" si="10"/>
        <v>Error?</v>
      </c>
    </row>
    <row r="732" spans="1:4" x14ac:dyDescent="0.2">
      <c r="A732" s="5">
        <v>671</v>
      </c>
      <c r="B732" s="138">
        <f>'Expenditures 15-22'!C49</f>
        <v>90323</v>
      </c>
      <c r="D732" s="2" t="str">
        <f t="shared" si="10"/>
        <v>Error?</v>
      </c>
    </row>
    <row r="733" spans="1:4" x14ac:dyDescent="0.2">
      <c r="A733" s="5">
        <v>672</v>
      </c>
      <c r="B733" s="138">
        <f>'Expenditures 15-22'!C50</f>
        <v>297716</v>
      </c>
      <c r="D733" s="2" t="str">
        <f t="shared" si="10"/>
        <v>Error?</v>
      </c>
    </row>
    <row r="734" spans="1:4" x14ac:dyDescent="0.2">
      <c r="A734" s="5">
        <v>673</v>
      </c>
      <c r="B734" s="138">
        <f>'Expenditures 15-22'!C53</f>
        <v>927737</v>
      </c>
      <c r="C734" s="2" t="s">
        <v>573</v>
      </c>
      <c r="D734" s="2" t="str">
        <f t="shared" si="10"/>
        <v>Error?</v>
      </c>
    </row>
    <row r="735" spans="1:4" x14ac:dyDescent="0.2">
      <c r="A735" s="5">
        <v>674</v>
      </c>
      <c r="B735" s="138">
        <f>'Expenditures 15-22'!C55</f>
        <v>2593444</v>
      </c>
      <c r="D735" s="2" t="str">
        <f t="shared" si="10"/>
        <v>Error?</v>
      </c>
    </row>
    <row r="736" spans="1:4" x14ac:dyDescent="0.2">
      <c r="A736" s="5">
        <v>675</v>
      </c>
      <c r="B736" s="138">
        <f>'Expenditures 15-22'!C56</f>
        <v>3893</v>
      </c>
      <c r="D736" s="2" t="str">
        <f t="shared" si="10"/>
        <v>Error?</v>
      </c>
    </row>
    <row r="737" spans="1:4" x14ac:dyDescent="0.2">
      <c r="A737" s="5">
        <v>676</v>
      </c>
      <c r="B737" s="138">
        <f>'Expenditures 15-22'!C57</f>
        <v>2597337</v>
      </c>
      <c r="C737" s="2" t="s">
        <v>573</v>
      </c>
      <c r="D737" s="2" t="str">
        <f t="shared" si="10"/>
        <v>Error?</v>
      </c>
    </row>
    <row r="738" spans="1:4" x14ac:dyDescent="0.2">
      <c r="A738" s="5">
        <v>677</v>
      </c>
      <c r="B738" s="138">
        <f>'Expenditures 15-22'!C59</f>
        <v>214043</v>
      </c>
      <c r="D738" s="2" t="str">
        <f t="shared" si="10"/>
        <v>Error?</v>
      </c>
    </row>
    <row r="739" spans="1:4" x14ac:dyDescent="0.2">
      <c r="A739" s="5">
        <v>678</v>
      </c>
      <c r="B739" s="138">
        <f>'Expenditures 15-22'!C60</f>
        <v>363250</v>
      </c>
      <c r="D739" s="2" t="str">
        <f t="shared" si="10"/>
        <v>Error?</v>
      </c>
    </row>
    <row r="740" spans="1:4" x14ac:dyDescent="0.2">
      <c r="A740" s="5">
        <v>679</v>
      </c>
      <c r="B740" s="138">
        <f>'Expenditures 15-22'!C61</f>
        <v>1393341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475629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2446263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7125</v>
      </c>
      <c r="D747" s="2" t="str">
        <f t="shared" si="10"/>
        <v>Error?</v>
      </c>
    </row>
    <row r="748" spans="1:4" x14ac:dyDescent="0.2">
      <c r="A748" s="5">
        <v>687</v>
      </c>
      <c r="B748" s="138">
        <f>'Expenditures 15-22'!C69</f>
        <v>447503</v>
      </c>
      <c r="D748" s="2" t="str">
        <f t="shared" si="10"/>
        <v>Error?</v>
      </c>
    </row>
    <row r="749" spans="1:4" x14ac:dyDescent="0.2">
      <c r="A749" s="5">
        <v>688</v>
      </c>
      <c r="B749" s="138">
        <f>'Expenditures 15-22'!C70</f>
        <v>250026</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704654</v>
      </c>
      <c r="C753" s="2" t="s">
        <v>573</v>
      </c>
      <c r="D753" s="2" t="str">
        <f t="shared" si="10"/>
        <v>Error?</v>
      </c>
    </row>
    <row r="754" spans="1:4" x14ac:dyDescent="0.2">
      <c r="A754" s="5">
        <v>693</v>
      </c>
      <c r="B754" s="138">
        <f>'Expenditures 15-22'!C73</f>
        <v>335366</v>
      </c>
      <c r="D754" s="2" t="str">
        <f t="shared" si="10"/>
        <v>Error?</v>
      </c>
    </row>
    <row r="755" spans="1:4" x14ac:dyDescent="0.2">
      <c r="A755" s="5">
        <v>694</v>
      </c>
      <c r="B755" s="138">
        <f>'Expenditures 15-22'!C74</f>
        <v>10116537</v>
      </c>
      <c r="C755" s="2" t="s">
        <v>573</v>
      </c>
      <c r="D755" s="2" t="str">
        <f t="shared" si="10"/>
        <v>Error?</v>
      </c>
    </row>
    <row r="756" spans="1:4" x14ac:dyDescent="0.2">
      <c r="A756" s="5">
        <v>695</v>
      </c>
      <c r="B756" s="138">
        <f>'Expenditures 15-22'!C75</f>
        <v>232120</v>
      </c>
      <c r="D756" s="2" t="str">
        <f t="shared" si="10"/>
        <v>Error?</v>
      </c>
    </row>
    <row r="757" spans="1:4" x14ac:dyDescent="0.2">
      <c r="A757" s="5">
        <v>696</v>
      </c>
      <c r="B757" s="138">
        <f>'Expenditures 15-22'!C114</f>
        <v>25626678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2585278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50260</v>
      </c>
      <c r="D776" s="2" t="str">
        <f t="shared" si="11"/>
        <v>Error?</v>
      </c>
    </row>
    <row r="777" spans="1:4" x14ac:dyDescent="0.2">
      <c r="A777" s="5">
        <v>716</v>
      </c>
      <c r="B777" s="138">
        <f>'Expenditures 15-22'!D15</f>
        <v>703</v>
      </c>
      <c r="D777" s="2" t="str">
        <f t="shared" si="11"/>
        <v>Error?</v>
      </c>
    </row>
    <row r="778" spans="1:4" x14ac:dyDescent="0.2">
      <c r="A778" s="5">
        <v>717</v>
      </c>
      <c r="B778" s="138">
        <f>'Expenditures 15-22'!D33</f>
        <v>4405253</v>
      </c>
      <c r="C778" s="2" t="s">
        <v>573</v>
      </c>
      <c r="D778" s="2" t="str">
        <f t="shared" si="11"/>
        <v>Error?</v>
      </c>
    </row>
    <row r="779" spans="1:4" x14ac:dyDescent="0.2">
      <c r="A779" s="5">
        <v>718</v>
      </c>
      <c r="B779" s="138">
        <f>'Expenditures 15-22'!D36</f>
        <v>213756</v>
      </c>
      <c r="D779" s="2" t="str">
        <f t="shared" si="11"/>
        <v>Error?</v>
      </c>
    </row>
    <row r="780" spans="1:4" x14ac:dyDescent="0.2">
      <c r="A780" s="5">
        <v>719</v>
      </c>
      <c r="B780" s="138">
        <f>'Expenditures 15-22'!D37</f>
        <v>65012</v>
      </c>
      <c r="D780" s="2" t="str">
        <f t="shared" si="11"/>
        <v>Error?</v>
      </c>
    </row>
    <row r="781" spans="1:4" x14ac:dyDescent="0.2">
      <c r="A781" s="5">
        <v>720</v>
      </c>
      <c r="B781" s="138">
        <f>'Expenditures 15-22'!D38</f>
        <v>70961</v>
      </c>
      <c r="D781" s="2" t="str">
        <f t="shared" si="11"/>
        <v>Error?</v>
      </c>
    </row>
    <row r="782" spans="1:4" x14ac:dyDescent="0.2">
      <c r="A782" s="5">
        <v>721</v>
      </c>
      <c r="B782" s="138">
        <f>'Expenditures 15-22'!D39</f>
        <v>102990</v>
      </c>
      <c r="D782" s="2" t="str">
        <f t="shared" si="11"/>
        <v>Error?</v>
      </c>
    </row>
    <row r="783" spans="1:4" x14ac:dyDescent="0.2">
      <c r="A783" s="5">
        <v>722</v>
      </c>
      <c r="B783" s="138">
        <f>'Expenditures 15-22'!D40</f>
        <v>97470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550189</v>
      </c>
      <c r="C785" s="2" t="s">
        <v>573</v>
      </c>
      <c r="D785" s="2" t="str">
        <f t="shared" si="11"/>
        <v>Error?</v>
      </c>
    </row>
    <row r="786" spans="1:4" x14ac:dyDescent="0.2">
      <c r="A786" s="5">
        <v>725</v>
      </c>
      <c r="B786" s="138">
        <f>'Expenditures 15-22'!D44</f>
        <v>217586</v>
      </c>
      <c r="D786" s="2" t="str">
        <f t="shared" si="11"/>
        <v>Error?</v>
      </c>
    </row>
    <row r="787" spans="1:4" x14ac:dyDescent="0.2">
      <c r="A787" s="5">
        <v>726</v>
      </c>
      <c r="B787" s="138">
        <f>'Expenditures 15-22'!D45</f>
        <v>6480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224066</v>
      </c>
      <c r="C789" s="2" t="s">
        <v>573</v>
      </c>
      <c r="D789" s="2" t="str">
        <f t="shared" si="11"/>
        <v>Error?</v>
      </c>
    </row>
    <row r="790" spans="1:4" x14ac:dyDescent="0.2">
      <c r="A790" s="5">
        <v>729</v>
      </c>
      <c r="B790" s="138">
        <f>'Expenditures 15-22'!D49</f>
        <v>8702</v>
      </c>
      <c r="D790" s="2" t="str">
        <f t="shared" si="11"/>
        <v>Error?</v>
      </c>
    </row>
    <row r="791" spans="1:4" x14ac:dyDescent="0.2">
      <c r="A791" s="5">
        <v>730</v>
      </c>
      <c r="B791" s="138">
        <f>'Expenditures 15-22'!D50</f>
        <v>65620</v>
      </c>
      <c r="D791" s="2" t="str">
        <f t="shared" si="11"/>
        <v>Error?</v>
      </c>
    </row>
    <row r="792" spans="1:4" x14ac:dyDescent="0.2">
      <c r="A792" s="5">
        <v>731</v>
      </c>
      <c r="B792" s="138">
        <f>'Expenditures 15-22'!D53</f>
        <v>213284</v>
      </c>
      <c r="C792" s="2" t="s">
        <v>573</v>
      </c>
      <c r="D792" s="2" t="str">
        <f t="shared" si="11"/>
        <v>Error?</v>
      </c>
    </row>
    <row r="793" spans="1:4" x14ac:dyDescent="0.2">
      <c r="A793" s="5">
        <v>732</v>
      </c>
      <c r="B793" s="138">
        <f>'Expenditures 15-22'!D55</f>
        <v>548208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548208</v>
      </c>
      <c r="C795" s="2" t="s">
        <v>573</v>
      </c>
      <c r="D795" s="2" t="str">
        <f t="shared" si="11"/>
        <v>Error?</v>
      </c>
    </row>
    <row r="796" spans="1:4" x14ac:dyDescent="0.2">
      <c r="A796" s="5">
        <v>735</v>
      </c>
      <c r="B796" s="138">
        <f>'Expenditures 15-22'!D59</f>
        <v>16647</v>
      </c>
      <c r="D796" s="2" t="str">
        <f t="shared" si="11"/>
        <v>Error?</v>
      </c>
    </row>
    <row r="797" spans="1:4" x14ac:dyDescent="0.2">
      <c r="A797" s="5">
        <v>736</v>
      </c>
      <c r="B797" s="138">
        <f>'Expenditures 15-22'!D60</f>
        <v>55191</v>
      </c>
      <c r="D797" s="2" t="str">
        <f t="shared" si="11"/>
        <v>Error?</v>
      </c>
    </row>
    <row r="798" spans="1:4" x14ac:dyDescent="0.2">
      <c r="A798" s="5">
        <v>737</v>
      </c>
      <c r="B798" s="138">
        <f>'Expenditures 15-22'!D61</f>
        <v>278704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56376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406918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1334</v>
      </c>
      <c r="D805" s="2" t="str">
        <f t="shared" si="11"/>
        <v>Error?</v>
      </c>
    </row>
    <row r="806" spans="1:4" x14ac:dyDescent="0.2">
      <c r="A806" s="5">
        <v>745</v>
      </c>
      <c r="B806" s="138">
        <f>'Expenditures 15-22'!D69</f>
        <v>64717</v>
      </c>
      <c r="D806" s="2" t="str">
        <f t="shared" si="11"/>
        <v>Error?</v>
      </c>
    </row>
    <row r="807" spans="1:4" x14ac:dyDescent="0.2">
      <c r="A807" s="5">
        <v>746</v>
      </c>
      <c r="B807" s="138">
        <f>'Expenditures 15-22'!D70</f>
        <v>38936</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104987</v>
      </c>
      <c r="C811" s="2" t="s">
        <v>573</v>
      </c>
      <c r="D811" s="2" t="str">
        <f t="shared" si="11"/>
        <v>Error?</v>
      </c>
    </row>
    <row r="812" spans="1:4" x14ac:dyDescent="0.2">
      <c r="A812" s="5">
        <v>751</v>
      </c>
      <c r="B812" s="138">
        <f>'Expenditures 15-22'!D73</f>
        <v>29012</v>
      </c>
      <c r="D812" s="2" t="str">
        <f t="shared" si="11"/>
        <v>Error?</v>
      </c>
    </row>
    <row r="813" spans="1:4" x14ac:dyDescent="0.2">
      <c r="A813" s="5">
        <v>752</v>
      </c>
      <c r="B813" s="138">
        <f>'Expenditures 15-22'!D74</f>
        <v>2076664</v>
      </c>
      <c r="C813" s="2" t="s">
        <v>573</v>
      </c>
      <c r="D813" s="2" t="str">
        <f t="shared" si="11"/>
        <v>Error?</v>
      </c>
    </row>
    <row r="814" spans="1:4" x14ac:dyDescent="0.2">
      <c r="A814" s="5">
        <v>753</v>
      </c>
      <c r="B814" s="138">
        <f>'Expenditures 15-22'!D75</f>
        <v>49610</v>
      </c>
      <c r="D814" s="2" t="str">
        <f t="shared" si="11"/>
        <v>Error?</v>
      </c>
    </row>
    <row r="815" spans="1:4" x14ac:dyDescent="0.2">
      <c r="A815" s="5">
        <v>754</v>
      </c>
      <c r="B815" s="138">
        <f>'Expenditures 15-22'!D114</f>
        <v>6531527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442712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5481</v>
      </c>
      <c r="D833" s="2" t="str">
        <f t="shared" si="12"/>
        <v>Error?</v>
      </c>
    </row>
    <row r="834" spans="1:4" x14ac:dyDescent="0.2">
      <c r="A834" s="5">
        <v>773</v>
      </c>
      <c r="B834" s="138">
        <f>'Expenditures 15-22'!E14</f>
        <v>151116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801838</v>
      </c>
      <c r="C836" s="2" t="s">
        <v>573</v>
      </c>
      <c r="D836" s="2" t="str">
        <f t="shared" si="12"/>
        <v>Error?</v>
      </c>
    </row>
    <row r="837" spans="1:4" x14ac:dyDescent="0.2">
      <c r="A837" s="5">
        <v>776</v>
      </c>
      <c r="B837" s="138">
        <f>'Expenditures 15-22'!E36</f>
        <v>4595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83731</v>
      </c>
      <c r="D839" s="2" t="str">
        <f t="shared" si="12"/>
        <v>Error?</v>
      </c>
    </row>
    <row r="840" spans="1:4" x14ac:dyDescent="0.2">
      <c r="A840" s="5">
        <v>779</v>
      </c>
      <c r="B840" s="138">
        <f>'Expenditures 15-22'!E39</f>
        <v>2625</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90951</v>
      </c>
      <c r="C843" s="2" t="s">
        <v>573</v>
      </c>
      <c r="D843" s="2" t="str">
        <f t="shared" si="12"/>
        <v>Error?</v>
      </c>
    </row>
    <row r="844" spans="1:4" x14ac:dyDescent="0.2">
      <c r="A844" s="5">
        <v>783</v>
      </c>
      <c r="B844" s="138">
        <f>'Expenditures 15-22'!E44</f>
        <v>223418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3226</v>
      </c>
      <c r="D846" s="2" t="str">
        <f t="shared" si="12"/>
        <v>Error?</v>
      </c>
    </row>
    <row r="847" spans="1:4" x14ac:dyDescent="0.2">
      <c r="A847" s="5">
        <v>786</v>
      </c>
      <c r="B847" s="138">
        <f>'Expenditures 15-22'!E47</f>
        <v>226644</v>
      </c>
      <c r="C847" s="2" t="s">
        <v>573</v>
      </c>
      <c r="D847" s="2" t="str">
        <f t="shared" si="12"/>
        <v>Error?</v>
      </c>
    </row>
    <row r="848" spans="1:4" x14ac:dyDescent="0.2">
      <c r="A848" s="5">
        <v>787</v>
      </c>
      <c r="B848" s="138">
        <f>'Expenditures 15-22'!E49</f>
        <v>23543</v>
      </c>
      <c r="D848" s="2" t="str">
        <f t="shared" si="12"/>
        <v>Error?</v>
      </c>
    </row>
    <row r="849" spans="1:4" x14ac:dyDescent="0.2">
      <c r="A849" s="5">
        <v>788</v>
      </c>
      <c r="B849" s="138">
        <f>'Expenditures 15-22'!E50</f>
        <v>156</v>
      </c>
      <c r="D849" s="2" t="str">
        <f t="shared" si="12"/>
        <v>Error?</v>
      </c>
    </row>
    <row r="850" spans="1:4" x14ac:dyDescent="0.2">
      <c r="A850" s="5">
        <v>789</v>
      </c>
      <c r="B850" s="138">
        <f>'Expenditures 15-22'!E53</f>
        <v>119309</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21652</v>
      </c>
      <c r="D854" s="2" t="str">
        <f t="shared" si="12"/>
        <v>Error?</v>
      </c>
    </row>
    <row r="855" spans="1:4" x14ac:dyDescent="0.2">
      <c r="A855" s="5">
        <v>794</v>
      </c>
      <c r="B855" s="138">
        <f>'Expenditures 15-22'!E60</f>
        <v>48809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195202</v>
      </c>
      <c r="D857" s="2" t="str">
        <f t="shared" si="12"/>
        <v>Error?</v>
      </c>
    </row>
    <row r="858" spans="1:4" x14ac:dyDescent="0.2">
      <c r="A858" s="5">
        <v>797</v>
      </c>
      <c r="B858" s="138">
        <f>'Expenditures 15-22'!E63</f>
        <v>1838318</v>
      </c>
      <c r="D858" s="2" t="str">
        <f t="shared" si="12"/>
        <v>Error?</v>
      </c>
    </row>
    <row r="859" spans="1:4" x14ac:dyDescent="0.2">
      <c r="A859" s="5">
        <v>798</v>
      </c>
      <c r="B859" s="138">
        <f>'Expenditures 15-22'!E64</f>
        <v>202934</v>
      </c>
      <c r="D859" s="2" t="str">
        <f t="shared" si="12"/>
        <v>Error?</v>
      </c>
    </row>
    <row r="860" spans="1:4" x14ac:dyDescent="0.2">
      <c r="A860" s="10">
        <v>799</v>
      </c>
      <c r="D860" s="2" t="str">
        <f t="shared" si="12"/>
        <v>OK</v>
      </c>
    </row>
    <row r="861" spans="1:4" x14ac:dyDescent="0.2">
      <c r="A861" s="5">
        <v>800</v>
      </c>
      <c r="B861" s="138">
        <f>'Expenditures 15-22'!E65</f>
        <v>2306915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140930</v>
      </c>
      <c r="D863" s="2" t="str">
        <f t="shared" si="12"/>
        <v>Error?</v>
      </c>
    </row>
    <row r="864" spans="1:4" x14ac:dyDescent="0.2">
      <c r="A864" s="5">
        <v>803</v>
      </c>
      <c r="B864" s="138">
        <f>'Expenditures 15-22'!E69</f>
        <v>242621</v>
      </c>
      <c r="D864" s="2" t="str">
        <f t="shared" si="12"/>
        <v>Error?</v>
      </c>
    </row>
    <row r="865" spans="1:4" x14ac:dyDescent="0.2">
      <c r="A865" s="5">
        <v>804</v>
      </c>
      <c r="B865" s="138">
        <f>'Expenditures 15-22'!E70</f>
        <v>7371</v>
      </c>
      <c r="D865" s="2" t="str">
        <f t="shared" si="12"/>
        <v>Error?</v>
      </c>
    </row>
    <row r="866" spans="1:4" x14ac:dyDescent="0.2">
      <c r="A866" s="10">
        <v>805</v>
      </c>
      <c r="D866" s="2" t="str">
        <f t="shared" si="12"/>
        <v>OK</v>
      </c>
    </row>
    <row r="867" spans="1:4" x14ac:dyDescent="0.2">
      <c r="A867" s="5">
        <v>806</v>
      </c>
      <c r="B867" s="138">
        <f>'Expenditures 15-22'!E71</f>
        <v>39328</v>
      </c>
      <c r="D867" s="2" t="str">
        <f t="shared" si="12"/>
        <v>Error?</v>
      </c>
    </row>
    <row r="868" spans="1:4" x14ac:dyDescent="0.2">
      <c r="A868" s="10">
        <v>807</v>
      </c>
      <c r="D868" s="2" t="str">
        <f t="shared" si="12"/>
        <v>OK</v>
      </c>
    </row>
    <row r="869" spans="1:4" x14ac:dyDescent="0.2">
      <c r="A869" s="5">
        <v>808</v>
      </c>
      <c r="B869" s="138">
        <f>'Expenditures 15-22'!E72</f>
        <v>430250</v>
      </c>
      <c r="C869" s="2" t="s">
        <v>573</v>
      </c>
      <c r="D869" s="2" t="str">
        <f t="shared" si="12"/>
        <v>Error?</v>
      </c>
    </row>
    <row r="870" spans="1:4" x14ac:dyDescent="0.2">
      <c r="A870" s="5">
        <v>809</v>
      </c>
      <c r="B870" s="138">
        <f>'Expenditures 15-22'!E73</f>
        <v>171894</v>
      </c>
      <c r="D870" s="2" t="str">
        <f t="shared" si="12"/>
        <v>Error?</v>
      </c>
    </row>
    <row r="871" spans="1:4" x14ac:dyDescent="0.2">
      <c r="A871" s="5">
        <v>810</v>
      </c>
      <c r="B871" s="138">
        <f>'Expenditures 15-22'!E74</f>
        <v>3345963</v>
      </c>
      <c r="C871" s="2" t="s">
        <v>573</v>
      </c>
      <c r="D871" s="2" t="str">
        <f t="shared" si="12"/>
        <v>Error?</v>
      </c>
    </row>
    <row r="872" spans="1:4" x14ac:dyDescent="0.2">
      <c r="A872" s="5">
        <v>811</v>
      </c>
      <c r="B872" s="138">
        <f>'Expenditures 15-22'!E75</f>
        <v>59774</v>
      </c>
      <c r="D872" s="2" t="str">
        <f t="shared" si="12"/>
        <v>Error?</v>
      </c>
    </row>
    <row r="873" spans="1:4" x14ac:dyDescent="0.2">
      <c r="A873" s="5">
        <v>812</v>
      </c>
      <c r="B873" s="138">
        <f>'Expenditures 15-22'!E114</f>
        <v>4283451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135571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80891</v>
      </c>
      <c r="D891" s="2" t="str">
        <f t="shared" si="12"/>
        <v>Error?</v>
      </c>
    </row>
    <row r="892" spans="1:4" x14ac:dyDescent="0.2">
      <c r="A892" s="5">
        <v>831</v>
      </c>
      <c r="B892" s="138">
        <f>'Expenditures 15-22'!F14</f>
        <v>103269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840523</v>
      </c>
      <c r="C894" s="2" t="s">
        <v>573</v>
      </c>
      <c r="D894" s="2" t="str">
        <f t="shared" si="12"/>
        <v>Error?</v>
      </c>
    </row>
    <row r="895" spans="1:4" x14ac:dyDescent="0.2">
      <c r="A895" s="5">
        <v>834</v>
      </c>
      <c r="B895" s="138">
        <f>'Expenditures 15-22'!F36</f>
        <v>2365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8769</v>
      </c>
      <c r="D897" s="2" t="str">
        <f t="shared" si="13"/>
        <v>Error?</v>
      </c>
    </row>
    <row r="898" spans="1:4" x14ac:dyDescent="0.2">
      <c r="A898" s="5">
        <v>837</v>
      </c>
      <c r="B898" s="138">
        <f>'Expenditures 15-22'!F39</f>
        <v>2620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13754</v>
      </c>
      <c r="C901" s="2" t="s">
        <v>573</v>
      </c>
      <c r="D901" s="2" t="str">
        <f t="shared" si="13"/>
        <v>Error?</v>
      </c>
    </row>
    <row r="902" spans="1:4" x14ac:dyDescent="0.2">
      <c r="A902" s="5">
        <v>841</v>
      </c>
      <c r="B902" s="138">
        <f>'Expenditures 15-22'!F44</f>
        <v>193885</v>
      </c>
      <c r="D902" s="2" t="str">
        <f t="shared" si="13"/>
        <v>Error?</v>
      </c>
    </row>
    <row r="903" spans="1:4" x14ac:dyDescent="0.2">
      <c r="A903" s="5">
        <v>842</v>
      </c>
      <c r="B903" s="138">
        <f>'Expenditures 15-22'!F45</f>
        <v>3257</v>
      </c>
      <c r="D903" s="2" t="str">
        <f t="shared" si="13"/>
        <v>Error?</v>
      </c>
    </row>
    <row r="904" spans="1:4" x14ac:dyDescent="0.2">
      <c r="A904" s="5">
        <v>843</v>
      </c>
      <c r="B904" s="138">
        <f>'Expenditures 15-22'!F46</f>
        <v>11420</v>
      </c>
      <c r="D904" s="2" t="str">
        <f t="shared" si="13"/>
        <v>Error?</v>
      </c>
    </row>
    <row r="905" spans="1:4" x14ac:dyDescent="0.2">
      <c r="A905" s="5">
        <v>844</v>
      </c>
      <c r="B905" s="138">
        <f>'Expenditures 15-22'!F47</f>
        <v>208562</v>
      </c>
      <c r="C905" s="2" t="s">
        <v>573</v>
      </c>
      <c r="D905" s="2" t="str">
        <f t="shared" si="13"/>
        <v>Error?</v>
      </c>
    </row>
    <row r="906" spans="1:4" x14ac:dyDescent="0.2">
      <c r="A906" s="5">
        <v>845</v>
      </c>
      <c r="B906" s="138">
        <f>'Expenditures 15-22'!F49</f>
        <v>9004</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32583</v>
      </c>
      <c r="C908" s="2" t="s">
        <v>573</v>
      </c>
      <c r="D908" s="2" t="str">
        <f t="shared" si="13"/>
        <v>Error?</v>
      </c>
    </row>
    <row r="909" spans="1:4" x14ac:dyDescent="0.2">
      <c r="A909" s="5">
        <v>848</v>
      </c>
      <c r="B909" s="138">
        <f>'Expenditures 15-22'!F55</f>
        <v>44154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44154</v>
      </c>
      <c r="C911" s="2" t="s">
        <v>573</v>
      </c>
      <c r="D911" s="2" t="str">
        <f t="shared" si="13"/>
        <v>Error?</v>
      </c>
    </row>
    <row r="912" spans="1:4" x14ac:dyDescent="0.2">
      <c r="A912" s="5">
        <v>851</v>
      </c>
      <c r="B912" s="138">
        <f>'Expenditures 15-22'!F59</f>
        <v>1440</v>
      </c>
      <c r="D912" s="2" t="str">
        <f t="shared" si="13"/>
        <v>Error?</v>
      </c>
    </row>
    <row r="913" spans="1:4" x14ac:dyDescent="0.2">
      <c r="A913" s="5">
        <v>852</v>
      </c>
      <c r="B913" s="138">
        <f>'Expenditures 15-22'!F60</f>
        <v>3184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217431</v>
      </c>
      <c r="D916" s="2" t="str">
        <f t="shared" si="13"/>
        <v>Error?</v>
      </c>
    </row>
    <row r="917" spans="1:4" x14ac:dyDescent="0.2">
      <c r="A917" s="5">
        <v>856</v>
      </c>
      <c r="B917" s="138">
        <f>'Expenditures 15-22'!F64</f>
        <v>1536</v>
      </c>
      <c r="D917" s="2" t="str">
        <f t="shared" si="13"/>
        <v>Error?</v>
      </c>
    </row>
    <row r="918" spans="1:4" x14ac:dyDescent="0.2">
      <c r="A918" s="10">
        <v>857</v>
      </c>
      <c r="D918" s="2" t="str">
        <f t="shared" si="13"/>
        <v>OK</v>
      </c>
    </row>
    <row r="919" spans="1:4" x14ac:dyDescent="0.2">
      <c r="A919" s="5">
        <v>858</v>
      </c>
      <c r="B919" s="138">
        <f>'Expenditures 15-22'!F65</f>
        <v>223591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632</v>
      </c>
      <c r="D921" s="2" t="str">
        <f t="shared" si="13"/>
        <v>Error?</v>
      </c>
    </row>
    <row r="922" spans="1:4" x14ac:dyDescent="0.2">
      <c r="A922" s="5">
        <v>861</v>
      </c>
      <c r="B922" s="138">
        <f>'Expenditures 15-22'!F69</f>
        <v>257764</v>
      </c>
      <c r="D922" s="2" t="str">
        <f t="shared" si="13"/>
        <v>Error?</v>
      </c>
    </row>
    <row r="923" spans="1:4" x14ac:dyDescent="0.2">
      <c r="A923" s="5">
        <v>862</v>
      </c>
      <c r="B923" s="138">
        <f>'Expenditures 15-22'!F70</f>
        <v>5161</v>
      </c>
      <c r="D923" s="2" t="str">
        <f t="shared" si="13"/>
        <v>Error?</v>
      </c>
    </row>
    <row r="924" spans="1:4" x14ac:dyDescent="0.2">
      <c r="A924" s="10">
        <v>863</v>
      </c>
      <c r="D924" s="2" t="str">
        <f t="shared" si="13"/>
        <v>OK</v>
      </c>
    </row>
    <row r="925" spans="1:4" x14ac:dyDescent="0.2">
      <c r="A925" s="5">
        <v>864</v>
      </c>
      <c r="B925" s="138">
        <f>'Expenditures 15-22'!F71</f>
        <v>17469</v>
      </c>
      <c r="D925" s="2" t="str">
        <f t="shared" si="13"/>
        <v>Error?</v>
      </c>
    </row>
    <row r="926" spans="1:4" x14ac:dyDescent="0.2">
      <c r="A926" s="10">
        <v>865</v>
      </c>
      <c r="D926" s="2" t="str">
        <f t="shared" si="13"/>
        <v>OK</v>
      </c>
    </row>
    <row r="927" spans="1:4" x14ac:dyDescent="0.2">
      <c r="A927" s="5">
        <v>866</v>
      </c>
      <c r="B927" s="138">
        <f>'Expenditures 15-22'!F72</f>
        <v>281026</v>
      </c>
      <c r="C927" s="2" t="s">
        <v>573</v>
      </c>
      <c r="D927" s="2" t="str">
        <f t="shared" si="13"/>
        <v>Error?</v>
      </c>
    </row>
    <row r="928" spans="1:4" x14ac:dyDescent="0.2">
      <c r="A928" s="5">
        <v>867</v>
      </c>
      <c r="B928" s="138">
        <f>'Expenditures 15-22'!F73</f>
        <v>79547</v>
      </c>
      <c r="D928" s="2" t="str">
        <f t="shared" si="13"/>
        <v>Error?</v>
      </c>
    </row>
    <row r="929" spans="1:4" x14ac:dyDescent="0.2">
      <c r="A929" s="5">
        <v>868</v>
      </c>
      <c r="B929" s="138">
        <f>'Expenditures 15-22'!F74</f>
        <v>883217</v>
      </c>
      <c r="C929" s="2" t="s">
        <v>573</v>
      </c>
      <c r="D929" s="2" t="str">
        <f t="shared" si="13"/>
        <v>Error?</v>
      </c>
    </row>
    <row r="930" spans="1:4" x14ac:dyDescent="0.2">
      <c r="A930" s="5">
        <v>869</v>
      </c>
      <c r="B930" s="138">
        <f>'Expenditures 15-22'!F75</f>
        <v>57777</v>
      </c>
      <c r="D930" s="2" t="str">
        <f t="shared" si="13"/>
        <v>Error?</v>
      </c>
    </row>
    <row r="931" spans="1:4" x14ac:dyDescent="0.2">
      <c r="A931" s="5">
        <v>870</v>
      </c>
      <c r="B931" s="138">
        <f>'Expenditures 15-22'!F114</f>
        <v>1781517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3000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41561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44561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44561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44561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945</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24348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1806998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16601</v>
      </c>
      <c r="D1022" s="2" t="str">
        <f t="shared" si="14"/>
        <v>Error?</v>
      </c>
    </row>
    <row r="1023" spans="1:4" x14ac:dyDescent="0.2">
      <c r="A1023" s="5">
        <v>962</v>
      </c>
      <c r="B1023" s="138">
        <f>'Expenditures 15-22'!H50</f>
        <v>65</v>
      </c>
      <c r="D1023" s="2" t="str">
        <f t="shared" ref="D1023:D1086" si="15">IF(ISBLANK(B1023),"OK",IF(A1023-B1023=0,"OK","Error?"))</f>
        <v>Error?</v>
      </c>
    </row>
    <row r="1024" spans="1:4" x14ac:dyDescent="0.2">
      <c r="A1024" s="5">
        <v>963</v>
      </c>
      <c r="B1024" s="138">
        <f>'Expenditures 15-22'!H53</f>
        <v>21486</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2495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2495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705</v>
      </c>
      <c r="D1038" s="2" t="str">
        <f t="shared" si="15"/>
        <v>Error?</v>
      </c>
    </row>
    <row r="1039" spans="1:4" x14ac:dyDescent="0.2">
      <c r="A1039" s="5">
        <v>978</v>
      </c>
      <c r="B1039" s="138">
        <f>'Expenditures 15-22'!H70</f>
        <v>7530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8235</v>
      </c>
      <c r="C1043" s="2" t="s">
        <v>573</v>
      </c>
      <c r="D1043" s="2" t="str">
        <f t="shared" si="15"/>
        <v>Error?</v>
      </c>
    </row>
    <row r="1044" spans="1:4" x14ac:dyDescent="0.2">
      <c r="A1044" s="5">
        <v>983</v>
      </c>
      <c r="B1044" s="138">
        <f>'Expenditures 15-22'!H73</f>
        <v>245</v>
      </c>
      <c r="D1044" s="2" t="str">
        <f t="shared" si="15"/>
        <v>Error?</v>
      </c>
    </row>
    <row r="1045" spans="1:4" x14ac:dyDescent="0.2">
      <c r="A1045" s="5">
        <v>984</v>
      </c>
      <c r="B1045" s="138">
        <f>'Expenditures 15-22'!H74</f>
        <v>32461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1839459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12322700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945</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102888</v>
      </c>
      <c r="C1105" s="2" t="s">
        <v>573</v>
      </c>
      <c r="D1105" s="2" t="str">
        <f t="shared" si="16"/>
        <v>Error?</v>
      </c>
    </row>
    <row r="1106" spans="1:4" x14ac:dyDescent="0.2">
      <c r="A1106" s="5">
        <v>1045</v>
      </c>
      <c r="B1106" s="138">
        <f>'Expenditures 15-22'!K14</f>
        <v>659188</v>
      </c>
      <c r="C1106" s="2" t="s">
        <v>573</v>
      </c>
      <c r="D1106" s="2" t="str">
        <f t="shared" si="16"/>
        <v>Error?</v>
      </c>
    </row>
    <row r="1107" spans="1:4" x14ac:dyDescent="0.2">
      <c r="A1107" s="5">
        <v>1046</v>
      </c>
      <c r="B1107" s="138">
        <f>'Expenditures 15-22'!K15</f>
        <v>6153</v>
      </c>
      <c r="C1107" s="2" t="s">
        <v>573</v>
      </c>
      <c r="D1107" s="2" t="str">
        <f t="shared" si="16"/>
        <v>Error?</v>
      </c>
    </row>
    <row r="1108" spans="1:4" x14ac:dyDescent="0.2">
      <c r="A1108" s="5">
        <v>1047</v>
      </c>
      <c r="B1108" s="138">
        <f>'Expenditures 15-22'!K33</f>
        <v>23248039</v>
      </c>
      <c r="C1108" s="2" t="s">
        <v>573</v>
      </c>
      <c r="D1108" s="2" t="str">
        <f t="shared" si="16"/>
        <v>Error?</v>
      </c>
    </row>
    <row r="1109" spans="1:4" x14ac:dyDescent="0.2">
      <c r="A1109" s="5">
        <v>1048</v>
      </c>
      <c r="B1109" s="138">
        <f>'Expenditures 15-22'!K36</f>
        <v>1132363</v>
      </c>
      <c r="C1109" s="2" t="s">
        <v>573</v>
      </c>
      <c r="D1109" s="2" t="str">
        <f t="shared" si="16"/>
        <v>Error?</v>
      </c>
    </row>
    <row r="1110" spans="1:4" x14ac:dyDescent="0.2">
      <c r="A1110" s="5">
        <v>1049</v>
      </c>
      <c r="B1110" s="138">
        <f>'Expenditures 15-22'!K37</f>
        <v>306556</v>
      </c>
      <c r="C1110" s="2" t="s">
        <v>573</v>
      </c>
      <c r="D1110" s="2" t="str">
        <f t="shared" si="16"/>
        <v>Error?</v>
      </c>
    </row>
    <row r="1111" spans="1:4" x14ac:dyDescent="0.2">
      <c r="A1111" s="5">
        <v>1050</v>
      </c>
      <c r="B1111" s="138">
        <f>'Expenditures 15-22'!K38</f>
        <v>525196</v>
      </c>
      <c r="C1111" s="2" t="s">
        <v>573</v>
      </c>
      <c r="D1111" s="2" t="str">
        <f t="shared" si="16"/>
        <v>Error?</v>
      </c>
    </row>
    <row r="1112" spans="1:4" x14ac:dyDescent="0.2">
      <c r="A1112" s="5">
        <v>1051</v>
      </c>
      <c r="B1112" s="138">
        <f>'Expenditures 15-22'!K39</f>
        <v>469837</v>
      </c>
      <c r="C1112" s="2" t="s">
        <v>573</v>
      </c>
      <c r="D1112" s="2" t="str">
        <f t="shared" si="16"/>
        <v>Error?</v>
      </c>
    </row>
    <row r="1113" spans="1:4" x14ac:dyDescent="0.2">
      <c r="A1113" s="5">
        <v>1052</v>
      </c>
      <c r="B1113" s="138">
        <f>'Expenditures 15-22'!K40</f>
        <v>420702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2854654</v>
      </c>
      <c r="C1115" s="2" t="s">
        <v>573</v>
      </c>
      <c r="D1115" s="2" t="str">
        <f t="shared" si="16"/>
        <v>Error?</v>
      </c>
    </row>
    <row r="1116" spans="1:4" x14ac:dyDescent="0.2">
      <c r="A1116" s="5">
        <v>1055</v>
      </c>
      <c r="B1116" s="138">
        <f>'Expenditures 15-22'!K44</f>
        <v>1517142</v>
      </c>
      <c r="C1116" s="2" t="s">
        <v>573</v>
      </c>
      <c r="D1116" s="2" t="str">
        <f t="shared" si="16"/>
        <v>Error?</v>
      </c>
    </row>
    <row r="1117" spans="1:4" x14ac:dyDescent="0.2">
      <c r="A1117" s="5">
        <v>1056</v>
      </c>
      <c r="B1117" s="138">
        <f>'Expenditures 15-22'!K45</f>
        <v>32904</v>
      </c>
      <c r="C1117" s="2" t="s">
        <v>573</v>
      </c>
      <c r="D1117" s="2" t="str">
        <f t="shared" si="16"/>
        <v>Error?</v>
      </c>
    </row>
    <row r="1118" spans="1:4" x14ac:dyDescent="0.2">
      <c r="A1118" s="5">
        <v>1057</v>
      </c>
      <c r="B1118" s="138">
        <f>'Expenditures 15-22'!K46</f>
        <v>14646</v>
      </c>
      <c r="C1118" s="2" t="s">
        <v>573</v>
      </c>
      <c r="D1118" s="2" t="str">
        <f t="shared" si="16"/>
        <v>Error?</v>
      </c>
    </row>
    <row r="1119" spans="1:4" x14ac:dyDescent="0.2">
      <c r="A1119" s="5">
        <v>1058</v>
      </c>
      <c r="B1119" s="138">
        <f>'Expenditures 15-22'!K47</f>
        <v>1564692</v>
      </c>
      <c r="C1119" s="2" t="s">
        <v>573</v>
      </c>
      <c r="D1119" s="2" t="str">
        <f t="shared" si="16"/>
        <v>Error?</v>
      </c>
    </row>
    <row r="1120" spans="1:4" x14ac:dyDescent="0.2">
      <c r="A1120" s="5">
        <v>1059</v>
      </c>
      <c r="B1120" s="138">
        <f>'Expenditures 15-22'!K49</f>
        <v>148173</v>
      </c>
      <c r="C1120" s="2" t="s">
        <v>573</v>
      </c>
      <c r="D1120" s="2" t="str">
        <f t="shared" si="16"/>
        <v>Error?</v>
      </c>
    </row>
    <row r="1121" spans="1:4" x14ac:dyDescent="0.2">
      <c r="A1121" s="5">
        <v>1060</v>
      </c>
      <c r="B1121" s="138">
        <f>'Expenditures 15-22'!K50</f>
        <v>363557</v>
      </c>
      <c r="C1121" s="2" t="s">
        <v>573</v>
      </c>
      <c r="D1121" s="2" t="str">
        <f t="shared" si="16"/>
        <v>Error?</v>
      </c>
    </row>
    <row r="1122" spans="1:4" x14ac:dyDescent="0.2">
      <c r="A1122" s="5">
        <v>1061</v>
      </c>
      <c r="B1122" s="138">
        <f>'Expenditures 15-22'!K53</f>
        <v>1318490</v>
      </c>
      <c r="C1122" s="2" t="s">
        <v>573</v>
      </c>
      <c r="D1122" s="2" t="str">
        <f t="shared" si="16"/>
        <v>Error?</v>
      </c>
    </row>
    <row r="1123" spans="1:4" x14ac:dyDescent="0.2">
      <c r="A1123" s="5">
        <v>1062</v>
      </c>
      <c r="B1123" s="138">
        <f>'Expenditures 15-22'!K55</f>
        <v>3185806</v>
      </c>
      <c r="C1123" s="2" t="s">
        <v>573</v>
      </c>
      <c r="D1123" s="2" t="str">
        <f t="shared" si="16"/>
        <v>Error?</v>
      </c>
    </row>
    <row r="1124" spans="1:4" x14ac:dyDescent="0.2">
      <c r="A1124" s="5">
        <v>1063</v>
      </c>
      <c r="B1124" s="138">
        <f>'Expenditures 15-22'!K56</f>
        <v>3893</v>
      </c>
      <c r="C1124" s="2" t="s">
        <v>573</v>
      </c>
      <c r="D1124" s="2" t="str">
        <f t="shared" si="16"/>
        <v>Error?</v>
      </c>
    </row>
    <row r="1125" spans="1:4" x14ac:dyDescent="0.2">
      <c r="A1125" s="5">
        <v>1064</v>
      </c>
      <c r="B1125" s="138">
        <f>'Expenditures 15-22'!K57</f>
        <v>3189699</v>
      </c>
      <c r="C1125" s="2" t="s">
        <v>573</v>
      </c>
      <c r="D1125" s="2" t="str">
        <f t="shared" si="16"/>
        <v>Error?</v>
      </c>
    </row>
    <row r="1126" spans="1:4" x14ac:dyDescent="0.2">
      <c r="A1126" s="5">
        <v>1065</v>
      </c>
      <c r="B1126" s="138">
        <f>'Expenditures 15-22'!K59</f>
        <v>256277</v>
      </c>
      <c r="C1126" s="2" t="s">
        <v>573</v>
      </c>
      <c r="D1126" s="2" t="str">
        <f t="shared" si="16"/>
        <v>Error?</v>
      </c>
    </row>
    <row r="1127" spans="1:4" x14ac:dyDescent="0.2">
      <c r="A1127" s="5">
        <v>1066</v>
      </c>
      <c r="B1127" s="138">
        <f>'Expenditures 15-22'!K60</f>
        <v>470434</v>
      </c>
      <c r="C1127" s="2" t="s">
        <v>573</v>
      </c>
      <c r="D1127" s="2" t="str">
        <f t="shared" si="16"/>
        <v>Error?</v>
      </c>
    </row>
    <row r="1128" spans="1:4" x14ac:dyDescent="0.2">
      <c r="A1128" s="5">
        <v>1067</v>
      </c>
      <c r="B1128" s="138">
        <f>'Expenditures 15-22'!K61</f>
        <v>1675894</v>
      </c>
      <c r="C1128" s="2" t="s">
        <v>573</v>
      </c>
      <c r="D1128" s="2" t="str">
        <f t="shared" si="16"/>
        <v>Error?</v>
      </c>
    </row>
    <row r="1129" spans="1:4" x14ac:dyDescent="0.2">
      <c r="A1129" s="5">
        <v>1068</v>
      </c>
      <c r="B1129" s="138">
        <f>'Expenditures 15-22'!K62</f>
        <v>195202</v>
      </c>
      <c r="C1129" s="2" t="s">
        <v>573</v>
      </c>
      <c r="D1129" s="2" t="str">
        <f t="shared" si="16"/>
        <v>Error?</v>
      </c>
    </row>
    <row r="1130" spans="1:4" x14ac:dyDescent="0.2">
      <c r="A1130" s="5">
        <v>1069</v>
      </c>
      <c r="B1130" s="138">
        <f>'Expenditures 15-22'!K63</f>
        <v>2634463</v>
      </c>
      <c r="C1130" s="2" t="s">
        <v>573</v>
      </c>
      <c r="D1130" s="2" t="str">
        <f t="shared" si="16"/>
        <v>Error?</v>
      </c>
    </row>
    <row r="1131" spans="1:4" x14ac:dyDescent="0.2">
      <c r="A1131" s="5">
        <v>1070</v>
      </c>
      <c r="B1131" s="138">
        <f>'Expenditures 15-22'!K64</f>
        <v>204470</v>
      </c>
      <c r="C1131" s="2" t="s">
        <v>573</v>
      </c>
      <c r="D1131" s="2" t="str">
        <f t="shared" si="16"/>
        <v>Error?</v>
      </c>
    </row>
    <row r="1132" spans="1:4" x14ac:dyDescent="0.2">
      <c r="A1132" s="10">
        <v>1071</v>
      </c>
      <c r="D1132" s="2" t="str">
        <f t="shared" si="16"/>
        <v>OK</v>
      </c>
    </row>
    <row r="1133" spans="1:4" x14ac:dyDescent="0.2">
      <c r="A1133" s="5">
        <v>1072</v>
      </c>
      <c r="B1133" s="138">
        <f>'Expenditures 15-22'!K65</f>
        <v>5436740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150021</v>
      </c>
      <c r="C1135" s="2" t="s">
        <v>573</v>
      </c>
      <c r="D1135" s="2" t="str">
        <f t="shared" si="16"/>
        <v>Error?</v>
      </c>
    </row>
    <row r="1136" spans="1:4" x14ac:dyDescent="0.2">
      <c r="A1136" s="5">
        <v>1075</v>
      </c>
      <c r="B1136" s="138">
        <f>'Expenditures 15-22'!K69</f>
        <v>1013310</v>
      </c>
      <c r="C1136" s="2" t="s">
        <v>573</v>
      </c>
      <c r="D1136" s="2" t="str">
        <f t="shared" si="16"/>
        <v>Error?</v>
      </c>
    </row>
    <row r="1137" spans="1:4" x14ac:dyDescent="0.2">
      <c r="A1137" s="5">
        <v>1076</v>
      </c>
      <c r="B1137" s="138">
        <f>'Expenditures 15-22'!K70</f>
        <v>309024</v>
      </c>
      <c r="C1137" s="2" t="s">
        <v>573</v>
      </c>
      <c r="D1137" s="2" t="str">
        <f t="shared" si="16"/>
        <v>Error?</v>
      </c>
    </row>
    <row r="1138" spans="1:4" x14ac:dyDescent="0.2">
      <c r="A1138" s="10">
        <v>1077</v>
      </c>
      <c r="D1138" s="2" t="str">
        <f t="shared" si="16"/>
        <v>OK</v>
      </c>
    </row>
    <row r="1139" spans="1:4" x14ac:dyDescent="0.2">
      <c r="A1139" s="5">
        <v>1078</v>
      </c>
      <c r="B1139" s="138">
        <f>'Expenditures 15-22'!K71</f>
        <v>56797</v>
      </c>
      <c r="C1139" s="2" t="s">
        <v>573</v>
      </c>
      <c r="D1139" s="2" t="str">
        <f t="shared" si="16"/>
        <v>Error?</v>
      </c>
    </row>
    <row r="1140" spans="1:4" x14ac:dyDescent="0.2">
      <c r="A1140" s="10">
        <v>1079</v>
      </c>
      <c r="D1140" s="2" t="str">
        <f t="shared" si="16"/>
        <v>OK</v>
      </c>
    </row>
    <row r="1141" spans="1:4" x14ac:dyDescent="0.2">
      <c r="A1141" s="5">
        <v>1080</v>
      </c>
      <c r="B1141" s="138">
        <f>'Expenditures 15-22'!K72</f>
        <v>1529152</v>
      </c>
      <c r="C1141" s="2" t="s">
        <v>573</v>
      </c>
      <c r="D1141" s="2" t="str">
        <f t="shared" si="16"/>
        <v>Error?</v>
      </c>
    </row>
    <row r="1142" spans="1:4" x14ac:dyDescent="0.2">
      <c r="A1142" s="5">
        <v>1081</v>
      </c>
      <c r="B1142" s="138">
        <f>'Expenditures 15-22'!K73</f>
        <v>616064</v>
      </c>
      <c r="C1142" s="2" t="s">
        <v>573</v>
      </c>
      <c r="D1142" s="2" t="str">
        <f t="shared" si="16"/>
        <v>Error?</v>
      </c>
    </row>
    <row r="1143" spans="1:4" x14ac:dyDescent="0.2">
      <c r="A1143" s="5">
        <v>1082</v>
      </c>
      <c r="B1143" s="138">
        <f>'Expenditures 15-22'!K74</f>
        <v>16509491</v>
      </c>
      <c r="C1143" s="2" t="s">
        <v>573</v>
      </c>
      <c r="D1143" s="2" t="str">
        <f t="shared" si="16"/>
        <v>Error?</v>
      </c>
    </row>
    <row r="1144" spans="1:4" x14ac:dyDescent="0.2">
      <c r="A1144" s="5">
        <v>1083</v>
      </c>
      <c r="B1144" s="138">
        <f>'Expenditures 15-22'!K75</f>
        <v>400180</v>
      </c>
      <c r="C1144" s="2" t="s">
        <v>573</v>
      </c>
      <c r="D1144" s="2" t="str">
        <f t="shared" si="16"/>
        <v>Error?</v>
      </c>
    </row>
    <row r="1145" spans="1:4" x14ac:dyDescent="0.2">
      <c r="A1145" s="5">
        <v>1084</v>
      </c>
      <c r="B1145" s="138">
        <f>'Expenditures 15-22'!K102</f>
        <v>75876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40233586</v>
      </c>
      <c r="C1152" s="2" t="s">
        <v>573</v>
      </c>
      <c r="D1152" s="2" t="str">
        <f t="shared" si="17"/>
        <v>Error?</v>
      </c>
    </row>
    <row r="1153" spans="1:4" x14ac:dyDescent="0.2">
      <c r="A1153" s="5">
        <v>1092</v>
      </c>
      <c r="B1153" s="138">
        <f>'Expenditures 15-22'!K115</f>
        <v>470008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1113454</v>
      </c>
      <c r="D1221" s="2" t="str">
        <f t="shared" si="18"/>
        <v>Error?</v>
      </c>
    </row>
    <row r="1222" spans="1:4" x14ac:dyDescent="0.2">
      <c r="A1222" s="10">
        <v>1161</v>
      </c>
      <c r="D1222" s="2" t="str">
        <f t="shared" si="18"/>
        <v>OK</v>
      </c>
    </row>
    <row r="1223" spans="1:4" x14ac:dyDescent="0.2">
      <c r="A1223" s="5">
        <v>1162</v>
      </c>
      <c r="B1223" s="138">
        <f>'Expenditures 15-22'!C127</f>
        <v>1113454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1113454</v>
      </c>
      <c r="C1225" s="2" t="s">
        <v>573</v>
      </c>
      <c r="D1225" s="2" t="str">
        <f t="shared" si="18"/>
        <v>Error?</v>
      </c>
    </row>
    <row r="1226" spans="1:4" x14ac:dyDescent="0.2">
      <c r="A1226" s="5">
        <v>1165</v>
      </c>
      <c r="B1226" s="138">
        <f>'Expenditures 15-22'!C151</f>
        <v>1113454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222895</v>
      </c>
      <c r="D1229" s="2" t="str">
        <f t="shared" si="18"/>
        <v>Error?</v>
      </c>
    </row>
    <row r="1230" spans="1:4" x14ac:dyDescent="0.2">
      <c r="A1230" s="10">
        <v>1169</v>
      </c>
      <c r="D1230" s="2" t="str">
        <f t="shared" si="18"/>
        <v>OK</v>
      </c>
    </row>
    <row r="1231" spans="1:4" x14ac:dyDescent="0.2">
      <c r="A1231" s="5">
        <v>1170</v>
      </c>
      <c r="B1231" s="138">
        <f>'Expenditures 15-22'!D127</f>
        <v>222895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222895</v>
      </c>
      <c r="C1233" s="2" t="s">
        <v>573</v>
      </c>
      <c r="D1233" s="2" t="str">
        <f t="shared" si="18"/>
        <v>Error?</v>
      </c>
    </row>
    <row r="1234" spans="1:4" x14ac:dyDescent="0.2">
      <c r="A1234" s="5">
        <v>1173</v>
      </c>
      <c r="B1234" s="138">
        <f>'Expenditures 15-22'!D151</f>
        <v>222895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338621</v>
      </c>
      <c r="D1237" s="2" t="str">
        <f t="shared" si="18"/>
        <v>Error?</v>
      </c>
    </row>
    <row r="1238" spans="1:4" x14ac:dyDescent="0.2">
      <c r="A1238" s="10">
        <v>1177</v>
      </c>
      <c r="D1238" s="2" t="str">
        <f t="shared" si="18"/>
        <v>OK</v>
      </c>
    </row>
    <row r="1239" spans="1:4" x14ac:dyDescent="0.2">
      <c r="A1239" s="5">
        <v>1178</v>
      </c>
      <c r="B1239" s="138">
        <f>'Expenditures 15-22'!E127</f>
        <v>338621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338621</v>
      </c>
      <c r="C1241" s="2" t="s">
        <v>573</v>
      </c>
      <c r="D1241" s="2" t="str">
        <f t="shared" si="18"/>
        <v>Error?</v>
      </c>
    </row>
    <row r="1242" spans="1:4" x14ac:dyDescent="0.2">
      <c r="A1242" s="5">
        <v>1181</v>
      </c>
      <c r="B1242" s="138">
        <f>'Expenditures 15-22'!E151</f>
        <v>338621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975323</v>
      </c>
      <c r="D1245" s="2" t="str">
        <f t="shared" si="18"/>
        <v>Error?</v>
      </c>
    </row>
    <row r="1246" spans="1:4" x14ac:dyDescent="0.2">
      <c r="A1246" s="10">
        <v>1185</v>
      </c>
      <c r="D1246" s="2" t="str">
        <f t="shared" si="18"/>
        <v>OK</v>
      </c>
    </row>
    <row r="1247" spans="1:4" x14ac:dyDescent="0.2">
      <c r="A1247" s="5">
        <v>1186</v>
      </c>
      <c r="B1247" s="138">
        <f>'Expenditures 15-22'!F127</f>
        <v>975323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975323</v>
      </c>
      <c r="C1249" s="2" t="s">
        <v>573</v>
      </c>
      <c r="D1249" s="2" t="str">
        <f t="shared" si="18"/>
        <v>Error?</v>
      </c>
    </row>
    <row r="1250" spans="1:4" x14ac:dyDescent="0.2">
      <c r="A1250" s="5">
        <v>1189</v>
      </c>
      <c r="B1250" s="138">
        <f>'Expenditures 15-22'!F151</f>
        <v>975323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2650293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2650293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2650293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2650293</v>
      </c>
      <c r="C1288" s="2" t="s">
        <v>573</v>
      </c>
      <c r="D1288" s="2" t="str">
        <f t="shared" si="19"/>
        <v>Error?</v>
      </c>
    </row>
    <row r="1289" spans="1:4" x14ac:dyDescent="0.2">
      <c r="A1289" s="5">
        <v>1228</v>
      </c>
      <c r="B1289" s="138">
        <f>'Expenditures 15-22'!K152</f>
        <v>124320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198300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2185000</v>
      </c>
      <c r="D1315" s="2" t="str">
        <f t="shared" si="19"/>
        <v>Error?</v>
      </c>
    </row>
    <row r="1316" spans="1:4" x14ac:dyDescent="0.2">
      <c r="A1316" s="5">
        <v>1255</v>
      </c>
      <c r="B1316" s="138">
        <f>'Expenditures 15-22'!H171</f>
        <v>2475</v>
      </c>
      <c r="D1316" s="2" t="str">
        <f t="shared" si="19"/>
        <v>Error?</v>
      </c>
    </row>
    <row r="1317" spans="1:4" x14ac:dyDescent="0.2">
      <c r="A1317" s="5">
        <v>1256</v>
      </c>
      <c r="B1317" s="138">
        <f>'Expenditures 15-22'!H172</f>
        <v>2385775</v>
      </c>
      <c r="C1317" s="2" t="s">
        <v>573</v>
      </c>
      <c r="D1317" s="2" t="str">
        <f t="shared" si="19"/>
        <v>Error?</v>
      </c>
    </row>
    <row r="1318" spans="1:4" x14ac:dyDescent="0.2">
      <c r="A1318" s="5">
        <v>1257</v>
      </c>
      <c r="B1318" s="138">
        <f>'Expenditures 15-22'!H174</f>
        <v>2385775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198300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2185000</v>
      </c>
      <c r="C1329" s="2" t="s">
        <v>573</v>
      </c>
      <c r="D1329" s="2" t="str">
        <f t="shared" si="19"/>
        <v>Error?</v>
      </c>
    </row>
    <row r="1330" spans="1:4" x14ac:dyDescent="0.2">
      <c r="A1330" s="5">
        <v>1269</v>
      </c>
      <c r="B1330" s="138">
        <f>'Expenditures 15-22'!K171</f>
        <v>2475</v>
      </c>
      <c r="C1330" s="2" t="s">
        <v>573</v>
      </c>
      <c r="D1330" s="2" t="str">
        <f t="shared" si="19"/>
        <v>Error?</v>
      </c>
    </row>
    <row r="1331" spans="1:4" x14ac:dyDescent="0.2">
      <c r="A1331" s="5">
        <v>1270</v>
      </c>
      <c r="B1331" s="138">
        <f>'Expenditures 15-22'!K172</f>
        <v>2385775</v>
      </c>
      <c r="C1331" s="2" t="s">
        <v>573</v>
      </c>
      <c r="D1331" s="2" t="str">
        <f t="shared" si="19"/>
        <v>Error?</v>
      </c>
    </row>
    <row r="1332" spans="1:4" x14ac:dyDescent="0.2">
      <c r="A1332" s="5">
        <v>1271</v>
      </c>
      <c r="B1332" s="138">
        <f>'Expenditures 15-22'!K174</f>
        <v>2385775</v>
      </c>
      <c r="C1332" s="2" t="s">
        <v>573</v>
      </c>
      <c r="D1332" s="2" t="str">
        <f t="shared" si="19"/>
        <v>Error?</v>
      </c>
    </row>
    <row r="1333" spans="1:4" x14ac:dyDescent="0.2">
      <c r="A1333" s="5">
        <v>1272</v>
      </c>
      <c r="B1333" s="138">
        <f>'Expenditures 15-22'!K175</f>
        <v>-65720</v>
      </c>
      <c r="C1333" s="2" t="s">
        <v>573</v>
      </c>
      <c r="D1333" s="2" t="str">
        <f t="shared" si="19"/>
        <v>Error?</v>
      </c>
    </row>
    <row r="1334" spans="1:4" x14ac:dyDescent="0.2">
      <c r="A1334" s="10">
        <v>1273</v>
      </c>
      <c r="D1334" s="2" t="str">
        <f t="shared" si="19"/>
        <v>OK</v>
      </c>
    </row>
    <row r="1335" spans="1:4" x14ac:dyDescent="0.2">
      <c r="A1335" s="5">
        <v>1274</v>
      </c>
      <c r="B1335" s="138">
        <f>'Expenditures 15-22'!C182</f>
        <v>316836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316836</v>
      </c>
      <c r="C1339" s="2" t="s">
        <v>573</v>
      </c>
      <c r="D1339" s="2" t="str">
        <f t="shared" si="19"/>
        <v>Error?</v>
      </c>
    </row>
    <row r="1340" spans="1:4" x14ac:dyDescent="0.2">
      <c r="A1340" s="5">
        <v>1279</v>
      </c>
      <c r="B1340" s="138">
        <f>'Expenditures 15-22'!C210</f>
        <v>316836</v>
      </c>
      <c r="C1340" s="2" t="s">
        <v>573</v>
      </c>
      <c r="D1340" s="2" t="str">
        <f t="shared" si="19"/>
        <v>Error?</v>
      </c>
    </row>
    <row r="1341" spans="1:4" x14ac:dyDescent="0.2">
      <c r="A1341" s="5">
        <v>1280</v>
      </c>
      <c r="B1341" s="138">
        <f>'Expenditures 15-22'!D182</f>
        <v>140657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140657</v>
      </c>
      <c r="C1345" s="2" t="s">
        <v>573</v>
      </c>
      <c r="D1345" s="2" t="str">
        <f t="shared" si="20"/>
        <v>Error?</v>
      </c>
    </row>
    <row r="1346" spans="1:4" x14ac:dyDescent="0.2">
      <c r="A1346" s="5">
        <v>1285</v>
      </c>
      <c r="B1346" s="138">
        <f>'Expenditures 15-22'!D210</f>
        <v>140657</v>
      </c>
      <c r="C1346" s="2" t="s">
        <v>573</v>
      </c>
      <c r="D1346" s="2" t="str">
        <f t="shared" si="20"/>
        <v>Error?</v>
      </c>
    </row>
    <row r="1347" spans="1:4" x14ac:dyDescent="0.2">
      <c r="A1347" s="5">
        <v>1286</v>
      </c>
      <c r="B1347" s="138">
        <f>'Expenditures 15-22'!E182</f>
        <v>2100118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2100118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2100118</v>
      </c>
      <c r="C1353" s="2" t="s">
        <v>573</v>
      </c>
      <c r="D1353" s="2" t="str">
        <f t="shared" si="20"/>
        <v>Error?</v>
      </c>
    </row>
    <row r="1354" spans="1:4" x14ac:dyDescent="0.2">
      <c r="A1354" s="5">
        <v>1293</v>
      </c>
      <c r="B1354" s="138">
        <f>'Expenditures 15-22'!F182</f>
        <v>181423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181423</v>
      </c>
      <c r="C1358" s="2" t="s">
        <v>573</v>
      </c>
      <c r="D1358" s="2" t="str">
        <f t="shared" si="20"/>
        <v>Error?</v>
      </c>
    </row>
    <row r="1359" spans="1:4" x14ac:dyDescent="0.2">
      <c r="A1359" s="5">
        <v>1298</v>
      </c>
      <c r="B1359" s="138">
        <f>'Expenditures 15-22'!F210</f>
        <v>181423</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2739034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2739034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2739034</v>
      </c>
      <c r="C1388" s="2" t="s">
        <v>573</v>
      </c>
      <c r="D1388" s="2" t="str">
        <f t="shared" si="20"/>
        <v>Error?</v>
      </c>
    </row>
    <row r="1389" spans="1:4" x14ac:dyDescent="0.2">
      <c r="A1389" s="5">
        <v>1328</v>
      </c>
      <c r="B1389" s="138">
        <f>'Expenditures 15-22'!K211</f>
        <v>1602554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32273</v>
      </c>
      <c r="D1408" s="2" t="str">
        <f t="shared" si="21"/>
        <v>Error?</v>
      </c>
    </row>
    <row r="1409" spans="1:4" x14ac:dyDescent="0.2">
      <c r="A1409" s="5">
        <v>1348</v>
      </c>
      <c r="B1409" s="138">
        <f>'Expenditures 15-22'!D224</f>
        <v>79</v>
      </c>
      <c r="D1409" s="2" t="str">
        <f t="shared" si="21"/>
        <v>Error?</v>
      </c>
    </row>
    <row r="1410" spans="1:4" x14ac:dyDescent="0.2">
      <c r="A1410" s="5">
        <v>1349</v>
      </c>
      <c r="B1410" s="138">
        <f>'Expenditures 15-22'!D229</f>
        <v>547139</v>
      </c>
      <c r="C1410" s="2" t="s">
        <v>573</v>
      </c>
      <c r="D1410" s="2" t="str">
        <f t="shared" si="21"/>
        <v>Error?</v>
      </c>
    </row>
    <row r="1411" spans="1:4" x14ac:dyDescent="0.2">
      <c r="A1411" s="5">
        <v>1350</v>
      </c>
      <c r="B1411" s="138">
        <f>'Expenditures 15-22'!D232</f>
        <v>88309</v>
      </c>
      <c r="D1411" s="2" t="str">
        <f t="shared" si="21"/>
        <v>Error?</v>
      </c>
    </row>
    <row r="1412" spans="1:4" x14ac:dyDescent="0.2">
      <c r="A1412" s="5">
        <v>1351</v>
      </c>
      <c r="B1412" s="138">
        <f>'Expenditures 15-22'!D233</f>
        <v>4045</v>
      </c>
      <c r="D1412" s="2" t="str">
        <f t="shared" si="21"/>
        <v>Error?</v>
      </c>
    </row>
    <row r="1413" spans="1:4" x14ac:dyDescent="0.2">
      <c r="A1413" s="5">
        <v>1352</v>
      </c>
      <c r="B1413" s="138">
        <f>'Expenditures 15-22'!D234</f>
        <v>63345</v>
      </c>
      <c r="D1413" s="2" t="str">
        <f t="shared" si="21"/>
        <v>Error?</v>
      </c>
    </row>
    <row r="1414" spans="1:4" x14ac:dyDescent="0.2">
      <c r="A1414" s="5">
        <v>1353</v>
      </c>
      <c r="B1414" s="138">
        <f>'Expenditures 15-22'!D235</f>
        <v>5173</v>
      </c>
      <c r="D1414" s="2" t="str">
        <f t="shared" si="21"/>
        <v>Error?</v>
      </c>
    </row>
    <row r="1415" spans="1:4" x14ac:dyDescent="0.2">
      <c r="A1415" s="5">
        <v>1354</v>
      </c>
      <c r="B1415" s="138">
        <f>'Expenditures 15-22'!D236</f>
        <v>4558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165430</v>
      </c>
      <c r="C1417" s="2" t="s">
        <v>573</v>
      </c>
      <c r="D1417" s="2" t="str">
        <f t="shared" si="21"/>
        <v>Error?</v>
      </c>
    </row>
    <row r="1418" spans="1:4" x14ac:dyDescent="0.2">
      <c r="A1418" s="5">
        <v>1357</v>
      </c>
      <c r="B1418" s="138">
        <f>'Expenditures 15-22'!D240</f>
        <v>54622</v>
      </c>
      <c r="D1418" s="2" t="str">
        <f t="shared" si="21"/>
        <v>Error?</v>
      </c>
    </row>
    <row r="1419" spans="1:4" x14ac:dyDescent="0.2">
      <c r="A1419" s="5">
        <v>1358</v>
      </c>
      <c r="B1419" s="138">
        <f>'Expenditures 15-22'!D241</f>
        <v>4161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58783</v>
      </c>
      <c r="C1421" s="2" t="s">
        <v>573</v>
      </c>
      <c r="D1421" s="2" t="str">
        <f t="shared" si="21"/>
        <v>Error?</v>
      </c>
    </row>
    <row r="1422" spans="1:4" x14ac:dyDescent="0.2">
      <c r="A1422" s="5">
        <v>1361</v>
      </c>
      <c r="B1422" s="138">
        <f>'Expenditures 15-22'!D245</f>
        <v>14658</v>
      </c>
      <c r="D1422" s="2" t="str">
        <f t="shared" si="21"/>
        <v>Error?</v>
      </c>
    </row>
    <row r="1423" spans="1:4" x14ac:dyDescent="0.2">
      <c r="A1423" s="5">
        <v>1362</v>
      </c>
      <c r="B1423" s="138">
        <f>'Expenditures 15-22'!D246</f>
        <v>15231</v>
      </c>
      <c r="D1423" s="2" t="str">
        <f t="shared" si="21"/>
        <v>Error?</v>
      </c>
    </row>
    <row r="1424" spans="1:4" x14ac:dyDescent="0.2">
      <c r="A1424" s="5">
        <v>1363</v>
      </c>
      <c r="B1424" s="138">
        <f>'Expenditures 15-22'!D257</f>
        <v>175513</v>
      </c>
      <c r="C1424" s="2" t="s">
        <v>573</v>
      </c>
      <c r="D1424" s="2" t="str">
        <f t="shared" si="21"/>
        <v>Error?</v>
      </c>
    </row>
    <row r="1425" spans="1:4" x14ac:dyDescent="0.2">
      <c r="A1425" s="5">
        <v>1364</v>
      </c>
      <c r="B1425" s="138">
        <f>'Expenditures 15-22'!D259</f>
        <v>171470</v>
      </c>
      <c r="D1425" s="2" t="str">
        <f t="shared" si="21"/>
        <v>Error?</v>
      </c>
    </row>
    <row r="1426" spans="1:4" x14ac:dyDescent="0.2">
      <c r="A1426" s="5">
        <v>1365</v>
      </c>
      <c r="B1426" s="138">
        <f>'Expenditures 15-22'!D260</f>
        <v>753</v>
      </c>
      <c r="D1426" s="2" t="str">
        <f t="shared" si="21"/>
        <v>Error?</v>
      </c>
    </row>
    <row r="1427" spans="1:4" x14ac:dyDescent="0.2">
      <c r="A1427" s="5">
        <v>1366</v>
      </c>
      <c r="B1427" s="138">
        <f>'Expenditures 15-22'!D261</f>
        <v>172223</v>
      </c>
      <c r="C1427" s="2" t="s">
        <v>573</v>
      </c>
      <c r="D1427" s="2" t="str">
        <f t="shared" si="21"/>
        <v>Error?</v>
      </c>
    </row>
    <row r="1428" spans="1:4" x14ac:dyDescent="0.2">
      <c r="A1428" s="5">
        <v>1367</v>
      </c>
      <c r="B1428" s="138">
        <f>'Expenditures 15-22'!D263</f>
        <v>34393</v>
      </c>
      <c r="D1428" s="2" t="str">
        <f t="shared" si="21"/>
        <v>Error?</v>
      </c>
    </row>
    <row r="1429" spans="1:4" x14ac:dyDescent="0.2">
      <c r="A1429" s="5">
        <v>1368</v>
      </c>
      <c r="B1429" s="138">
        <f>'Expenditures 15-22'!D264</f>
        <v>65621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434701</v>
      </c>
      <c r="D1431" s="2" t="str">
        <f t="shared" si="21"/>
        <v>Error?</v>
      </c>
    </row>
    <row r="1432" spans="1:4" x14ac:dyDescent="0.2">
      <c r="A1432" s="5">
        <v>1371</v>
      </c>
      <c r="B1432" s="138">
        <f>'Expenditures 15-22'!D267</f>
        <v>55478</v>
      </c>
      <c r="D1432" s="2" t="str">
        <f t="shared" si="21"/>
        <v>Error?</v>
      </c>
    </row>
    <row r="1433" spans="1:4" x14ac:dyDescent="0.2">
      <c r="A1433" s="5">
        <v>1372</v>
      </c>
      <c r="B1433" s="138">
        <f>'Expenditures 15-22'!D268</f>
        <v>45580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635773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1378</v>
      </c>
      <c r="D1438" s="2" t="str">
        <f t="shared" si="21"/>
        <v>Error?</v>
      </c>
    </row>
    <row r="1439" spans="1:4" x14ac:dyDescent="0.2">
      <c r="A1439" s="5">
        <v>1378</v>
      </c>
      <c r="B1439" s="138">
        <f>'Expenditures 15-22'!D274</f>
        <v>65097</v>
      </c>
      <c r="D1439" s="2" t="str">
        <f t="shared" si="21"/>
        <v>Error?</v>
      </c>
    </row>
    <row r="1440" spans="1:4" x14ac:dyDescent="0.2">
      <c r="A1440" s="5">
        <v>1379</v>
      </c>
      <c r="B1440" s="138">
        <f>'Expenditures 15-22'!D275</f>
        <v>46280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112755</v>
      </c>
      <c r="C1444" s="2" t="s">
        <v>573</v>
      </c>
      <c r="D1444" s="2" t="str">
        <f t="shared" si="21"/>
        <v>Error?</v>
      </c>
    </row>
    <row r="1445" spans="1:4" x14ac:dyDescent="0.2">
      <c r="A1445" s="5">
        <v>1384</v>
      </c>
      <c r="B1445" s="138">
        <f>'Expenditures 15-22'!D278</f>
        <v>49898</v>
      </c>
      <c r="D1445" s="2" t="str">
        <f t="shared" si="21"/>
        <v>Error?</v>
      </c>
    </row>
    <row r="1446" spans="1:4" x14ac:dyDescent="0.2">
      <c r="A1446" s="5">
        <v>1385</v>
      </c>
      <c r="B1446" s="138">
        <f>'Expenditures 15-22'!D279</f>
        <v>1370375</v>
      </c>
      <c r="C1446" s="2" t="s">
        <v>573</v>
      </c>
      <c r="D1446" s="2" t="str">
        <f t="shared" si="21"/>
        <v>Error?</v>
      </c>
    </row>
    <row r="1447" spans="1:4" x14ac:dyDescent="0.2">
      <c r="A1447" s="5">
        <v>1386</v>
      </c>
      <c r="B1447" s="138">
        <f>'Expenditures 15-22'!D280</f>
        <v>40830</v>
      </c>
      <c r="D1447" s="2" t="str">
        <f t="shared" si="21"/>
        <v>Error?</v>
      </c>
    </row>
    <row r="1448" spans="1:4" x14ac:dyDescent="0.2">
      <c r="A1448" s="5">
        <v>1387</v>
      </c>
      <c r="B1448" s="138">
        <f>'Expenditures 15-22'!D295</f>
        <v>1958344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32273</v>
      </c>
      <c r="C1472" s="2" t="s">
        <v>573</v>
      </c>
      <c r="D1472" s="2" t="str">
        <f t="shared" si="22"/>
        <v>Error?</v>
      </c>
    </row>
    <row r="1473" spans="1:4" x14ac:dyDescent="0.2">
      <c r="A1473" s="5">
        <v>1412</v>
      </c>
      <c r="B1473" s="138">
        <f>'Expenditures 15-22'!K224</f>
        <v>79</v>
      </c>
      <c r="C1473" s="2" t="s">
        <v>573</v>
      </c>
      <c r="D1473" s="2" t="str">
        <f t="shared" si="22"/>
        <v>Error?</v>
      </c>
    </row>
    <row r="1474" spans="1:4" x14ac:dyDescent="0.2">
      <c r="A1474" s="5">
        <v>1413</v>
      </c>
      <c r="B1474" s="138">
        <f>'Expenditures 15-22'!K229</f>
        <v>547139</v>
      </c>
      <c r="C1474" s="2" t="s">
        <v>573</v>
      </c>
      <c r="D1474" s="2" t="str">
        <f t="shared" si="22"/>
        <v>Error?</v>
      </c>
    </row>
    <row r="1475" spans="1:4" x14ac:dyDescent="0.2">
      <c r="A1475" s="5">
        <v>1414</v>
      </c>
      <c r="B1475" s="138">
        <f>'Expenditures 15-22'!K232</f>
        <v>88309</v>
      </c>
      <c r="C1475" s="2" t="s">
        <v>573</v>
      </c>
      <c r="D1475" s="2" t="str">
        <f t="shared" si="22"/>
        <v>Error?</v>
      </c>
    </row>
    <row r="1476" spans="1:4" x14ac:dyDescent="0.2">
      <c r="A1476" s="5">
        <v>1415</v>
      </c>
      <c r="B1476" s="138">
        <f>'Expenditures 15-22'!K233</f>
        <v>4045</v>
      </c>
      <c r="C1476" s="2" t="s">
        <v>573</v>
      </c>
      <c r="D1476" s="2" t="str">
        <f t="shared" si="22"/>
        <v>Error?</v>
      </c>
    </row>
    <row r="1477" spans="1:4" x14ac:dyDescent="0.2">
      <c r="A1477" s="5">
        <v>1416</v>
      </c>
      <c r="B1477" s="138">
        <f>'Expenditures 15-22'!K234</f>
        <v>63345</v>
      </c>
      <c r="C1477" s="2" t="s">
        <v>573</v>
      </c>
      <c r="D1477" s="2" t="str">
        <f t="shared" si="22"/>
        <v>Error?</v>
      </c>
    </row>
    <row r="1478" spans="1:4" x14ac:dyDescent="0.2">
      <c r="A1478" s="5">
        <v>1417</v>
      </c>
      <c r="B1478" s="138">
        <f>'Expenditures 15-22'!K235</f>
        <v>5173</v>
      </c>
      <c r="C1478" s="2" t="s">
        <v>573</v>
      </c>
      <c r="D1478" s="2" t="str">
        <f t="shared" si="22"/>
        <v>Error?</v>
      </c>
    </row>
    <row r="1479" spans="1:4" x14ac:dyDescent="0.2">
      <c r="A1479" s="5">
        <v>1418</v>
      </c>
      <c r="B1479" s="138">
        <f>'Expenditures 15-22'!K236</f>
        <v>4558</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165430</v>
      </c>
      <c r="C1481" s="2" t="s">
        <v>573</v>
      </c>
      <c r="D1481" s="2" t="str">
        <f t="shared" si="22"/>
        <v>Error?</v>
      </c>
    </row>
    <row r="1482" spans="1:4" x14ac:dyDescent="0.2">
      <c r="A1482" s="5">
        <v>1421</v>
      </c>
      <c r="B1482" s="138">
        <f>'Expenditures 15-22'!K240</f>
        <v>54622</v>
      </c>
      <c r="C1482" s="2" t="s">
        <v>573</v>
      </c>
      <c r="D1482" s="2" t="str">
        <f t="shared" si="22"/>
        <v>Error?</v>
      </c>
    </row>
    <row r="1483" spans="1:4" x14ac:dyDescent="0.2">
      <c r="A1483" s="5">
        <v>1422</v>
      </c>
      <c r="B1483" s="138">
        <f>'Expenditures 15-22'!K241</f>
        <v>4161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58783</v>
      </c>
      <c r="C1485" s="2" t="s">
        <v>573</v>
      </c>
      <c r="D1485" s="2" t="str">
        <f t="shared" si="22"/>
        <v>Error?</v>
      </c>
    </row>
    <row r="1486" spans="1:4" x14ac:dyDescent="0.2">
      <c r="A1486" s="5">
        <v>1425</v>
      </c>
      <c r="B1486" s="138">
        <f>'Expenditures 15-22'!K245</f>
        <v>14658</v>
      </c>
      <c r="C1486" s="2" t="s">
        <v>573</v>
      </c>
      <c r="D1486" s="2" t="str">
        <f t="shared" si="22"/>
        <v>Error?</v>
      </c>
    </row>
    <row r="1487" spans="1:4" x14ac:dyDescent="0.2">
      <c r="A1487" s="5">
        <v>1426</v>
      </c>
      <c r="B1487" s="138">
        <f>'Expenditures 15-22'!K246</f>
        <v>15231</v>
      </c>
      <c r="C1487" s="2" t="s">
        <v>573</v>
      </c>
      <c r="D1487" s="2" t="str">
        <f t="shared" si="22"/>
        <v>Error?</v>
      </c>
    </row>
    <row r="1488" spans="1:4" x14ac:dyDescent="0.2">
      <c r="A1488" s="5">
        <v>1427</v>
      </c>
      <c r="B1488" s="138">
        <f>'Expenditures 15-22'!K257</f>
        <v>175513</v>
      </c>
      <c r="C1488" s="2" t="s">
        <v>573</v>
      </c>
      <c r="D1488" s="2" t="str">
        <f t="shared" si="22"/>
        <v>Error?</v>
      </c>
    </row>
    <row r="1489" spans="1:4" x14ac:dyDescent="0.2">
      <c r="A1489" s="5">
        <v>1428</v>
      </c>
      <c r="B1489" s="138">
        <f>'Expenditures 15-22'!K259</f>
        <v>171470</v>
      </c>
      <c r="C1489" s="2" t="s">
        <v>573</v>
      </c>
      <c r="D1489" s="2" t="str">
        <f t="shared" si="22"/>
        <v>Error?</v>
      </c>
    </row>
    <row r="1490" spans="1:4" x14ac:dyDescent="0.2">
      <c r="A1490" s="5">
        <v>1429</v>
      </c>
      <c r="B1490" s="138">
        <f>'Expenditures 15-22'!K260</f>
        <v>753</v>
      </c>
      <c r="C1490" s="2" t="s">
        <v>573</v>
      </c>
      <c r="D1490" s="2" t="str">
        <f t="shared" si="22"/>
        <v>Error?</v>
      </c>
    </row>
    <row r="1491" spans="1:4" x14ac:dyDescent="0.2">
      <c r="A1491" s="5">
        <v>1430</v>
      </c>
      <c r="B1491" s="138">
        <f>'Expenditures 15-22'!K261</f>
        <v>172223</v>
      </c>
      <c r="C1491" s="2" t="s">
        <v>573</v>
      </c>
      <c r="D1491" s="2" t="str">
        <f t="shared" si="22"/>
        <v>Error?</v>
      </c>
    </row>
    <row r="1492" spans="1:4" x14ac:dyDescent="0.2">
      <c r="A1492" s="5">
        <v>1431</v>
      </c>
      <c r="B1492" s="138">
        <f>'Expenditures 15-22'!K263</f>
        <v>34393</v>
      </c>
      <c r="C1492" s="2" t="s">
        <v>573</v>
      </c>
      <c r="D1492" s="2" t="str">
        <f t="shared" si="22"/>
        <v>Error?</v>
      </c>
    </row>
    <row r="1493" spans="1:4" x14ac:dyDescent="0.2">
      <c r="A1493" s="5">
        <v>1432</v>
      </c>
      <c r="B1493" s="138">
        <f>'Expenditures 15-22'!K264</f>
        <v>65621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434701</v>
      </c>
      <c r="C1495" s="2" t="s">
        <v>573</v>
      </c>
      <c r="D1495" s="2" t="str">
        <f t="shared" si="22"/>
        <v>Error?</v>
      </c>
    </row>
    <row r="1496" spans="1:4" x14ac:dyDescent="0.2">
      <c r="A1496" s="5">
        <v>1435</v>
      </c>
      <c r="B1496" s="138">
        <f>'Expenditures 15-22'!K267</f>
        <v>55478</v>
      </c>
      <c r="C1496" s="2" t="s">
        <v>573</v>
      </c>
      <c r="D1496" s="2" t="str">
        <f t="shared" si="22"/>
        <v>Error?</v>
      </c>
    </row>
    <row r="1497" spans="1:4" x14ac:dyDescent="0.2">
      <c r="A1497" s="5">
        <v>1436</v>
      </c>
      <c r="B1497" s="138">
        <f>'Expenditures 15-22'!K268</f>
        <v>45580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635773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1378</v>
      </c>
      <c r="C1502" s="2" t="s">
        <v>573</v>
      </c>
      <c r="D1502" s="2" t="str">
        <f t="shared" si="22"/>
        <v>Error?</v>
      </c>
    </row>
    <row r="1503" spans="1:4" x14ac:dyDescent="0.2">
      <c r="A1503" s="5">
        <v>1442</v>
      </c>
      <c r="B1503" s="138">
        <f>'Expenditures 15-22'!K274</f>
        <v>65097</v>
      </c>
      <c r="C1503" s="2" t="s">
        <v>573</v>
      </c>
      <c r="D1503" s="2" t="str">
        <f t="shared" si="22"/>
        <v>Error?</v>
      </c>
    </row>
    <row r="1504" spans="1:4" x14ac:dyDescent="0.2">
      <c r="A1504" s="5">
        <v>1443</v>
      </c>
      <c r="B1504" s="138">
        <f>'Expenditures 15-22'!K275</f>
        <v>46280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112755</v>
      </c>
      <c r="C1508" s="2" t="s">
        <v>573</v>
      </c>
      <c r="D1508" s="2" t="str">
        <f t="shared" si="22"/>
        <v>Error?</v>
      </c>
    </row>
    <row r="1509" spans="1:4" x14ac:dyDescent="0.2">
      <c r="A1509" s="5">
        <v>1448</v>
      </c>
      <c r="B1509" s="138">
        <f>'Expenditures 15-22'!K278</f>
        <v>49898</v>
      </c>
      <c r="C1509" s="2" t="s">
        <v>573</v>
      </c>
      <c r="D1509" s="2" t="str">
        <f t="shared" si="22"/>
        <v>Error?</v>
      </c>
    </row>
    <row r="1510" spans="1:4" x14ac:dyDescent="0.2">
      <c r="A1510" s="5">
        <v>1449</v>
      </c>
      <c r="B1510" s="138">
        <f>'Expenditures 15-22'!K279</f>
        <v>1370375</v>
      </c>
      <c r="C1510" s="2" t="s">
        <v>573</v>
      </c>
      <c r="D1510" s="2" t="str">
        <f t="shared" si="22"/>
        <v>Error?</v>
      </c>
    </row>
    <row r="1511" spans="1:4" x14ac:dyDescent="0.2">
      <c r="A1511" s="5">
        <v>1450</v>
      </c>
      <c r="B1511" s="138">
        <f>'Expenditures 15-22'!K280</f>
        <v>40830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1958344</v>
      </c>
      <c r="C1517" s="2" t="s">
        <v>573</v>
      </c>
      <c r="D1517" s="2" t="str">
        <f t="shared" si="22"/>
        <v>Error?</v>
      </c>
    </row>
    <row r="1518" spans="1:4" x14ac:dyDescent="0.2">
      <c r="A1518" s="5">
        <v>1457</v>
      </c>
      <c r="B1518" s="138">
        <f>'Expenditures 15-22'!K296</f>
        <v>15065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147728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147728</v>
      </c>
      <c r="C1535" s="2" t="s">
        <v>573</v>
      </c>
      <c r="D1535" s="2" t="str">
        <f t="shared" ref="D1535:D1598" si="23">IF(ISBLANK(B1535),"OK",IF(A1535-B1535=0,"OK","Error?"))</f>
        <v>Error?</v>
      </c>
    </row>
    <row r="1536" spans="1:4" x14ac:dyDescent="0.2">
      <c r="A1536" s="5">
        <v>1475</v>
      </c>
      <c r="B1536" s="138">
        <f>'Expenditures 15-22'!E312</f>
        <v>147728</v>
      </c>
      <c r="C1536" s="2" t="s">
        <v>573</v>
      </c>
      <c r="D1536" s="2" t="str">
        <f t="shared" si="23"/>
        <v>Error?</v>
      </c>
    </row>
    <row r="1537" spans="1:4" x14ac:dyDescent="0.2">
      <c r="A1537" s="5">
        <v>1476</v>
      </c>
      <c r="B1537" s="138">
        <f>'Expenditures 15-22'!F301</f>
        <v>51246</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51246</v>
      </c>
      <c r="C1541" s="2" t="s">
        <v>573</v>
      </c>
      <c r="D1541" s="2" t="str">
        <f t="shared" si="23"/>
        <v>Error?</v>
      </c>
    </row>
    <row r="1542" spans="1:4" x14ac:dyDescent="0.2">
      <c r="A1542" s="5">
        <v>1481</v>
      </c>
      <c r="B1542" s="138">
        <f>'Expenditures 15-22'!F312</f>
        <v>51246</v>
      </c>
      <c r="C1542" s="2" t="s">
        <v>573</v>
      </c>
      <c r="D1542" s="2" t="str">
        <f t="shared" si="23"/>
        <v>Error?</v>
      </c>
    </row>
    <row r="1543" spans="1:4" x14ac:dyDescent="0.2">
      <c r="A1543" s="5">
        <v>1482</v>
      </c>
      <c r="B1543" s="138">
        <f>'Expenditures 15-22'!G301</f>
        <v>294319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294319</v>
      </c>
      <c r="C1547" s="2" t="s">
        <v>573</v>
      </c>
      <c r="D1547" s="2" t="str">
        <f t="shared" si="23"/>
        <v>Error?</v>
      </c>
    </row>
    <row r="1548" spans="1:4" x14ac:dyDescent="0.2">
      <c r="A1548" s="5">
        <v>1487</v>
      </c>
      <c r="B1548" s="138">
        <f>'Expenditures 15-22'!G312</f>
        <v>294319</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493293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493293</v>
      </c>
      <c r="C1559" s="2" t="s">
        <v>573</v>
      </c>
      <c r="D1559" s="2" t="str">
        <f t="shared" si="23"/>
        <v>Error?</v>
      </c>
    </row>
    <row r="1560" spans="1:4" x14ac:dyDescent="0.2">
      <c r="A1560" s="5">
        <v>1499</v>
      </c>
      <c r="B1560" s="138">
        <f>'Expenditures 15-22'!K312</f>
        <v>493293</v>
      </c>
      <c r="C1560" s="2" t="s">
        <v>573</v>
      </c>
      <c r="D1560" s="2" t="str">
        <f t="shared" si="23"/>
        <v>Error?</v>
      </c>
    </row>
    <row r="1561" spans="1:4" x14ac:dyDescent="0.2">
      <c r="A1561" s="5">
        <v>1500</v>
      </c>
      <c r="B1561" s="138">
        <f>'Expenditures 15-22'!K313</f>
        <v>116647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5655656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6125664</v>
      </c>
      <c r="C1630" s="2" t="s">
        <v>573</v>
      </c>
      <c r="D1630" s="2" t="str">
        <f t="shared" si="24"/>
        <v>Error?</v>
      </c>
    </row>
    <row r="1631" spans="1:4" x14ac:dyDescent="0.2">
      <c r="A1631" s="5">
        <v>1570</v>
      </c>
      <c r="B1631" s="138">
        <f>'Acct Summary 7-8'!D79</f>
        <v>567461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691781</v>
      </c>
      <c r="C1644" s="2" t="s">
        <v>573</v>
      </c>
      <c r="D1644" s="2" t="str">
        <f t="shared" si="24"/>
        <v>Error?</v>
      </c>
    </row>
    <row r="1645" spans="1:4" x14ac:dyDescent="0.2">
      <c r="A1645" s="5">
        <v>1584</v>
      </c>
      <c r="B1645" s="138">
        <f>'Acct Summary 7-8'!E79</f>
        <v>-312998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-378718</v>
      </c>
      <c r="C1658" s="2" t="s">
        <v>573</v>
      </c>
      <c r="D1658" s="2" t="str">
        <f t="shared" si="24"/>
        <v>Error?</v>
      </c>
    </row>
    <row r="1659" spans="1:4" x14ac:dyDescent="0.2">
      <c r="A1659" s="5">
        <v>1598</v>
      </c>
      <c r="B1659" s="138">
        <f>'Acct Summary 7-8'!F79</f>
        <v>1543114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3145668</v>
      </c>
      <c r="C1672" s="2" t="s">
        <v>573</v>
      </c>
      <c r="D1672" s="2" t="str">
        <f t="shared" si="25"/>
        <v>Error?</v>
      </c>
    </row>
    <row r="1673" spans="1:4" x14ac:dyDescent="0.2">
      <c r="A1673" s="5">
        <v>1612</v>
      </c>
      <c r="B1673" s="138">
        <f>'Acct Summary 7-8'!G79</f>
        <v>990172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1005237</v>
      </c>
      <c r="C1686" s="2" t="s">
        <v>573</v>
      </c>
      <c r="D1686" s="2" t="str">
        <f t="shared" si="25"/>
        <v>Error?</v>
      </c>
    </row>
    <row r="1687" spans="1:4" x14ac:dyDescent="0.2">
      <c r="A1687" s="5">
        <v>1626</v>
      </c>
      <c r="B1687" s="138">
        <f>'Acct Summary 7-8'!H79</f>
        <v>834572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951219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2065686</v>
      </c>
      <c r="C1744" s="2" t="s">
        <v>573</v>
      </c>
      <c r="D1744" s="2" t="str">
        <f t="shared" si="26"/>
        <v>Error?</v>
      </c>
    </row>
    <row r="1745" spans="1:5" x14ac:dyDescent="0.2">
      <c r="A1745" s="5">
        <v>1684</v>
      </c>
      <c r="B1745" s="138">
        <f>'Tax Sched 23'!B5</f>
        <v>300247</v>
      </c>
      <c r="C1745" s="2" t="s">
        <v>573</v>
      </c>
      <c r="D1745" s="2" t="str">
        <f t="shared" si="26"/>
        <v>Error?</v>
      </c>
    </row>
    <row r="1746" spans="1:5" x14ac:dyDescent="0.2">
      <c r="A1746" s="5">
        <v>1685</v>
      </c>
      <c r="B1746" s="138">
        <f>'Tax Sched 23'!B6</f>
        <v>2744550</v>
      </c>
      <c r="C1746" s="2" t="s">
        <v>573</v>
      </c>
      <c r="D1746" s="2" t="str">
        <f t="shared" si="26"/>
        <v>Error?</v>
      </c>
    </row>
    <row r="1747" spans="1:5" x14ac:dyDescent="0.2">
      <c r="A1747" s="5">
        <v>1686</v>
      </c>
      <c r="B1747" s="138">
        <f>'Tax Sched 23'!B7</f>
        <v>160126</v>
      </c>
      <c r="C1747" s="2" t="s">
        <v>573</v>
      </c>
      <c r="D1747" s="2" t="str">
        <f t="shared" si="26"/>
        <v>Error?</v>
      </c>
    </row>
    <row r="1748" spans="1:5" x14ac:dyDescent="0.2">
      <c r="A1748" s="5">
        <v>1687</v>
      </c>
      <c r="B1748" s="138">
        <f>'Tax Sched 23'!B8</f>
        <v>864248</v>
      </c>
      <c r="C1748" s="2" t="s">
        <v>573</v>
      </c>
      <c r="D1748" s="2" t="str">
        <f t="shared" si="26"/>
        <v>Error?</v>
      </c>
    </row>
    <row r="1749" spans="1:5" x14ac:dyDescent="0.2">
      <c r="A1749" s="5">
        <v>1688</v>
      </c>
      <c r="B1749" s="138">
        <f>'Tax Sched 23'!B10</f>
        <v>40030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3288964</v>
      </c>
      <c r="C1752" s="2" t="s">
        <v>573</v>
      </c>
      <c r="D1752" s="2" t="str">
        <f t="shared" si="26"/>
        <v>Error?</v>
      </c>
    </row>
    <row r="1753" spans="1:5" x14ac:dyDescent="0.2">
      <c r="A1753" s="5">
        <v>1692</v>
      </c>
      <c r="B1753" s="138">
        <f>'Tax Sched 23'!B12</f>
        <v>40030</v>
      </c>
      <c r="C1753" s="2" t="s">
        <v>573</v>
      </c>
      <c r="D1753" s="2" t="str">
        <f t="shared" si="26"/>
        <v>Error?</v>
      </c>
    </row>
    <row r="1754" spans="1:5" x14ac:dyDescent="0.2">
      <c r="A1754" s="5">
        <v>1693</v>
      </c>
      <c r="B1754" s="138">
        <f>'Tax Sched 23'!B14</f>
        <v>32028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10205222</v>
      </c>
      <c r="C1759" s="2" t="s">
        <v>573</v>
      </c>
      <c r="D1759" s="2" t="str">
        <f t="shared" si="26"/>
        <v>Error?</v>
      </c>
    </row>
    <row r="1760" spans="1:5" x14ac:dyDescent="0.2">
      <c r="A1760" s="5">
        <v>1699</v>
      </c>
      <c r="B1760" s="138">
        <f>'Tax Sched 23'!D4</f>
        <v>1730154</v>
      </c>
      <c r="C1760" s="2" t="s">
        <v>573</v>
      </c>
      <c r="D1760" s="2" t="str">
        <f t="shared" si="26"/>
        <v>Error?</v>
      </c>
    </row>
    <row r="1761" spans="1:5" x14ac:dyDescent="0.2">
      <c r="A1761" s="5">
        <v>1700</v>
      </c>
      <c r="B1761" s="138">
        <f>'Tax Sched 23'!D5</f>
        <v>251477</v>
      </c>
      <c r="C1761" s="2" t="s">
        <v>573</v>
      </c>
      <c r="D1761" s="2" t="str">
        <f t="shared" si="26"/>
        <v>Error?</v>
      </c>
    </row>
    <row r="1762" spans="1:5" s="8" customFormat="1" x14ac:dyDescent="0.2">
      <c r="A1762" s="5">
        <v>1701</v>
      </c>
      <c r="B1762" s="138">
        <f>'Tax Sched 23'!D6</f>
        <v>2313649</v>
      </c>
      <c r="C1762" s="2" t="s">
        <v>573</v>
      </c>
      <c r="D1762" s="2" t="str">
        <f t="shared" si="26"/>
        <v>Error?</v>
      </c>
      <c r="E1762" s="9"/>
    </row>
    <row r="1763" spans="1:5" x14ac:dyDescent="0.2">
      <c r="A1763" s="5">
        <v>1702</v>
      </c>
      <c r="B1763" s="138">
        <f>'Tax Sched 23'!D7</f>
        <v>134116</v>
      </c>
      <c r="C1763" s="2" t="s">
        <v>573</v>
      </c>
      <c r="D1763" s="2" t="str">
        <f t="shared" si="26"/>
        <v>Error?</v>
      </c>
    </row>
    <row r="1764" spans="1:5" x14ac:dyDescent="0.2">
      <c r="A1764" s="5">
        <v>1703</v>
      </c>
      <c r="B1764" s="138">
        <f>'Tax Sched 23'!D8</f>
        <v>722908</v>
      </c>
      <c r="C1764" s="2" t="s">
        <v>573</v>
      </c>
      <c r="D1764" s="2" t="str">
        <f t="shared" si="26"/>
        <v>Error?</v>
      </c>
    </row>
    <row r="1765" spans="1:5" x14ac:dyDescent="0.2">
      <c r="A1765" s="5">
        <v>1704</v>
      </c>
      <c r="B1765" s="138">
        <f>'Tax Sched 23'!D10</f>
        <v>33527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2751082</v>
      </c>
      <c r="C1768" s="2" t="s">
        <v>573</v>
      </c>
      <c r="D1768" s="2" t="str">
        <f t="shared" si="26"/>
        <v>Error?</v>
      </c>
    </row>
    <row r="1769" spans="1:5" x14ac:dyDescent="0.2">
      <c r="A1769" s="5">
        <v>1708</v>
      </c>
      <c r="B1769" s="138">
        <f>'Tax Sched 23'!D12</f>
        <v>33527</v>
      </c>
      <c r="C1769" s="2" t="s">
        <v>573</v>
      </c>
      <c r="D1769" s="2" t="str">
        <f t="shared" si="26"/>
        <v>Error?</v>
      </c>
    </row>
    <row r="1770" spans="1:5" x14ac:dyDescent="0.2">
      <c r="A1770" s="5">
        <v>1709</v>
      </c>
      <c r="B1770" s="138">
        <f>'Tax Sched 23'!D14</f>
        <v>26827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8557153</v>
      </c>
      <c r="C1775" s="2" t="s">
        <v>573</v>
      </c>
      <c r="D1775" s="2" t="str">
        <f t="shared" si="26"/>
        <v>Error?</v>
      </c>
    </row>
    <row r="1776" spans="1:5" x14ac:dyDescent="0.2">
      <c r="A1776" s="5">
        <v>1715</v>
      </c>
      <c r="B1776" s="138">
        <f>'Tax Sched 23'!C4</f>
        <v>335532</v>
      </c>
      <c r="D1776" s="2" t="str">
        <f t="shared" si="26"/>
        <v>Error?</v>
      </c>
    </row>
    <row r="1777" spans="1:4" x14ac:dyDescent="0.2">
      <c r="A1777" s="5">
        <v>1716</v>
      </c>
      <c r="B1777" s="138">
        <f>'Tax Sched 23'!C5</f>
        <v>48770</v>
      </c>
      <c r="D1777" s="2" t="str">
        <f t="shared" si="26"/>
        <v>Error?</v>
      </c>
    </row>
    <row r="1778" spans="1:4" x14ac:dyDescent="0.2">
      <c r="A1778" s="5">
        <v>1717</v>
      </c>
      <c r="B1778" s="138">
        <f>'Tax Sched 23'!C6</f>
        <v>430901</v>
      </c>
      <c r="D1778" s="2" t="str">
        <f t="shared" si="26"/>
        <v>Error?</v>
      </c>
    </row>
    <row r="1779" spans="1:4" x14ac:dyDescent="0.2">
      <c r="A1779" s="5">
        <v>1718</v>
      </c>
      <c r="B1779" s="138">
        <f>'Tax Sched 23'!C7</f>
        <v>26010</v>
      </c>
      <c r="D1779" s="2" t="str">
        <f t="shared" si="26"/>
        <v>Error?</v>
      </c>
    </row>
    <row r="1780" spans="1:4" x14ac:dyDescent="0.2">
      <c r="A1780" s="5">
        <v>1719</v>
      </c>
      <c r="B1780" s="138">
        <f>'Tax Sched 23'!C8</f>
        <v>141340</v>
      </c>
      <c r="D1780" s="2" t="str">
        <f t="shared" si="26"/>
        <v>Error?</v>
      </c>
    </row>
    <row r="1781" spans="1:4" x14ac:dyDescent="0.2">
      <c r="A1781" s="5">
        <v>1720</v>
      </c>
      <c r="B1781" s="138">
        <f>'Tax Sched 23'!C10</f>
        <v>6503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537882</v>
      </c>
      <c r="D1784" s="2" t="str">
        <f t="shared" si="26"/>
        <v>Error?</v>
      </c>
    </row>
    <row r="1785" spans="1:4" x14ac:dyDescent="0.2">
      <c r="A1785" s="5">
        <v>1724</v>
      </c>
      <c r="B1785" s="138">
        <f>'Tax Sched 23'!C12</f>
        <v>6503</v>
      </c>
      <c r="D1785" s="2" t="str">
        <f t="shared" si="26"/>
        <v>Error?</v>
      </c>
    </row>
    <row r="1786" spans="1:4" x14ac:dyDescent="0.2">
      <c r="A1786" s="5">
        <v>1725</v>
      </c>
      <c r="B1786" s="138">
        <f>'Tax Sched 23'!C14</f>
        <v>5201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1648069</v>
      </c>
      <c r="C1791" s="2" t="s">
        <v>573</v>
      </c>
      <c r="D1791" s="2" t="str">
        <f t="shared" ref="D1791:D1854" si="27">IF(ISBLANK(B1791),"OK",IF(A1791-B1791=0,"OK","Error?"))</f>
        <v>Error?</v>
      </c>
    </row>
    <row r="1792" spans="1:4" x14ac:dyDescent="0.2">
      <c r="A1792" s="5">
        <v>1731</v>
      </c>
      <c r="B1792" s="138">
        <f>'Tax Sched 23'!F4</f>
        <v>1436572</v>
      </c>
      <c r="C1792" s="2" t="s">
        <v>573</v>
      </c>
      <c r="D1792" s="2" t="str">
        <f t="shared" si="27"/>
        <v>Error?</v>
      </c>
    </row>
    <row r="1793" spans="1:4" x14ac:dyDescent="0.2">
      <c r="A1793" s="5">
        <v>1732</v>
      </c>
      <c r="B1793" s="138">
        <f>'Tax Sched 23'!F5</f>
        <v>208803</v>
      </c>
      <c r="C1793" s="2" t="s">
        <v>573</v>
      </c>
      <c r="D1793" s="2" t="str">
        <f t="shared" si="27"/>
        <v>Error?</v>
      </c>
    </row>
    <row r="1794" spans="1:4" x14ac:dyDescent="0.2">
      <c r="A1794" s="5">
        <v>1733</v>
      </c>
      <c r="B1794" s="138">
        <f>'Tax Sched 23'!F6</f>
        <v>1844879</v>
      </c>
      <c r="C1794" s="2" t="s">
        <v>573</v>
      </c>
      <c r="D1794" s="2" t="str">
        <f t="shared" si="27"/>
        <v>Error?</v>
      </c>
    </row>
    <row r="1795" spans="1:4" x14ac:dyDescent="0.2">
      <c r="A1795" s="5">
        <v>1734</v>
      </c>
      <c r="B1795" s="138">
        <f>'Tax Sched 23'!F7</f>
        <v>111362</v>
      </c>
      <c r="C1795" s="2" t="s">
        <v>573</v>
      </c>
      <c r="D1795" s="2" t="str">
        <f t="shared" si="27"/>
        <v>Error?</v>
      </c>
    </row>
    <row r="1796" spans="1:4" x14ac:dyDescent="0.2">
      <c r="A1796" s="5">
        <v>1735</v>
      </c>
      <c r="B1796" s="138">
        <f>'Tax Sched 23'!F8</f>
        <v>605142</v>
      </c>
      <c r="C1796" s="2" t="s">
        <v>573</v>
      </c>
      <c r="D1796" s="2" t="str">
        <f t="shared" si="27"/>
        <v>Error?</v>
      </c>
    </row>
    <row r="1797" spans="1:4" x14ac:dyDescent="0.2">
      <c r="A1797" s="5">
        <v>1736</v>
      </c>
      <c r="B1797" s="138">
        <f>'Tax Sched 23'!F10</f>
        <v>27840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2302910</v>
      </c>
      <c r="C1800" s="2" t="s">
        <v>573</v>
      </c>
      <c r="D1800" s="2" t="str">
        <f t="shared" si="27"/>
        <v>Error?</v>
      </c>
    </row>
    <row r="1801" spans="1:4" x14ac:dyDescent="0.2">
      <c r="A1801" s="5">
        <v>1740</v>
      </c>
      <c r="B1801" s="138">
        <f>'Tax Sched 23'!F12</f>
        <v>27840</v>
      </c>
      <c r="C1801" s="2" t="s">
        <v>573</v>
      </c>
      <c r="D1801" s="2" t="str">
        <f t="shared" si="27"/>
        <v>Error?</v>
      </c>
    </row>
    <row r="1802" spans="1:4" x14ac:dyDescent="0.2">
      <c r="A1802" s="5">
        <v>1741</v>
      </c>
      <c r="B1802" s="138">
        <f>'Tax Sched 23'!F14</f>
        <v>22273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7056120</v>
      </c>
      <c r="C1807" s="2" t="s">
        <v>573</v>
      </c>
      <c r="D1807" s="2" t="str">
        <f t="shared" si="27"/>
        <v>Error?</v>
      </c>
    </row>
    <row r="1808" spans="1:4" x14ac:dyDescent="0.2">
      <c r="A1808" s="5">
        <v>1747</v>
      </c>
      <c r="B1808" s="138">
        <f>'Tax Sched 23'!E4</f>
        <v>1772104</v>
      </c>
      <c r="D1808" s="2" t="str">
        <f t="shared" si="27"/>
        <v>Error?</v>
      </c>
    </row>
    <row r="1809" spans="1:4" x14ac:dyDescent="0.2">
      <c r="A1809" s="5">
        <v>1748</v>
      </c>
      <c r="B1809" s="138">
        <f>'Tax Sched 23'!E5</f>
        <v>257573</v>
      </c>
      <c r="D1809" s="2" t="str">
        <f t="shared" si="27"/>
        <v>Error?</v>
      </c>
    </row>
    <row r="1810" spans="1:4" x14ac:dyDescent="0.2">
      <c r="A1810" s="5">
        <v>1749</v>
      </c>
      <c r="B1810" s="138">
        <f>'Tax Sched 23'!E6</f>
        <v>2275780</v>
      </c>
      <c r="D1810" s="2" t="str">
        <f t="shared" si="27"/>
        <v>Error?</v>
      </c>
    </row>
    <row r="1811" spans="1:4" x14ac:dyDescent="0.2">
      <c r="A1811" s="5">
        <v>1750</v>
      </c>
      <c r="B1811" s="138">
        <f>'Tax Sched 23'!E7</f>
        <v>137372</v>
      </c>
      <c r="D1811" s="2" t="str">
        <f t="shared" si="27"/>
        <v>Error?</v>
      </c>
    </row>
    <row r="1812" spans="1:4" x14ac:dyDescent="0.2">
      <c r="A1812" s="5">
        <v>1751</v>
      </c>
      <c r="B1812" s="138">
        <f>'Tax Sched 23'!E8</f>
        <v>746482</v>
      </c>
      <c r="D1812" s="2" t="str">
        <f t="shared" si="27"/>
        <v>Error?</v>
      </c>
    </row>
    <row r="1813" spans="1:4" x14ac:dyDescent="0.2">
      <c r="A1813" s="5">
        <v>1752</v>
      </c>
      <c r="B1813" s="138">
        <f>'Tax Sched 23'!E10</f>
        <v>34343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2840792</v>
      </c>
      <c r="D1816" s="2" t="str">
        <f t="shared" si="27"/>
        <v>Error?</v>
      </c>
    </row>
    <row r="1817" spans="1:4" x14ac:dyDescent="0.2">
      <c r="A1817" s="5">
        <v>1756</v>
      </c>
      <c r="B1817" s="138">
        <f>'Tax Sched 23'!E12</f>
        <v>34343</v>
      </c>
      <c r="D1817" s="2" t="str">
        <f t="shared" si="27"/>
        <v>Error?</v>
      </c>
    </row>
    <row r="1818" spans="1:4" x14ac:dyDescent="0.2">
      <c r="A1818" s="5">
        <v>1757</v>
      </c>
      <c r="B1818" s="138">
        <f>'Tax Sched 23'!E14</f>
        <v>27474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8704189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9505531</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26827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26827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26827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530288</v>
      </c>
      <c r="D2008" s="2" t="str">
        <f t="shared" si="30"/>
        <v>Error?</v>
      </c>
    </row>
    <row r="2009" spans="1:4" x14ac:dyDescent="0.2">
      <c r="A2009" s="5">
        <v>1948</v>
      </c>
      <c r="B2009" s="138">
        <f>'Cap Outlay Deprec 26'!C8</f>
        <v>30672323</v>
      </c>
      <c r="D2009" s="2" t="str">
        <f t="shared" si="30"/>
        <v>Error?</v>
      </c>
    </row>
    <row r="2010" spans="1:4" x14ac:dyDescent="0.2">
      <c r="A2010" s="5">
        <v>1949</v>
      </c>
      <c r="B2010" s="138">
        <f>'Cap Outlay Deprec 26'!C10</f>
        <v>8195670</v>
      </c>
      <c r="D2010" s="2" t="str">
        <f t="shared" si="30"/>
        <v>Error?</v>
      </c>
    </row>
    <row r="2011" spans="1:4" x14ac:dyDescent="0.2">
      <c r="A2011" s="5">
        <v>1950</v>
      </c>
      <c r="B2011" s="138">
        <f>'Cap Outlay Deprec 26'!C12</f>
        <v>1463824</v>
      </c>
      <c r="D2011" s="2" t="str">
        <f t="shared" si="30"/>
        <v>Error?</v>
      </c>
    </row>
    <row r="2012" spans="1:4" x14ac:dyDescent="0.2">
      <c r="A2012" s="5">
        <v>1951</v>
      </c>
      <c r="B2012" s="138">
        <f>'Cap Outlay Deprec 26'!C13</f>
        <v>148905</v>
      </c>
      <c r="D2012" s="2" t="str">
        <f t="shared" si="30"/>
        <v>Error?</v>
      </c>
    </row>
    <row r="2013" spans="1:4" x14ac:dyDescent="0.2">
      <c r="A2013" s="5">
        <v>1952</v>
      </c>
      <c r="B2013" s="138">
        <f>'Cap Outlay Deprec 26'!C16</f>
        <v>41011010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40059</v>
      </c>
      <c r="D2016" s="2" t="str">
        <f t="shared" si="30"/>
        <v>Error?</v>
      </c>
    </row>
    <row r="2017" spans="1:4" x14ac:dyDescent="0.2">
      <c r="A2017" s="5">
        <v>1956</v>
      </c>
      <c r="B2017" s="138">
        <f>'Cap Outlay Deprec 26'!D12</f>
        <v>298821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338880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328961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328961</v>
      </c>
      <c r="C2025" s="2" t="s">
        <v>573</v>
      </c>
      <c r="D2025" s="2" t="str">
        <f t="shared" si="30"/>
        <v>Error?</v>
      </c>
    </row>
    <row r="2026" spans="1:4" x14ac:dyDescent="0.2">
      <c r="A2026" s="5">
        <v>1965</v>
      </c>
      <c r="B2026" s="138">
        <f>'Cap Outlay Deprec 26'!F5</f>
        <v>530288</v>
      </c>
      <c r="C2026" s="2" t="s">
        <v>573</v>
      </c>
      <c r="D2026" s="2" t="str">
        <f t="shared" si="30"/>
        <v>Error?</v>
      </c>
    </row>
    <row r="2027" spans="1:4" x14ac:dyDescent="0.2">
      <c r="A2027" s="5">
        <v>1966</v>
      </c>
      <c r="B2027" s="138">
        <f>'Cap Outlay Deprec 26'!F8</f>
        <v>30672323</v>
      </c>
      <c r="C2027" s="2" t="s">
        <v>573</v>
      </c>
      <c r="D2027" s="2" t="str">
        <f t="shared" si="30"/>
        <v>Error?</v>
      </c>
    </row>
    <row r="2028" spans="1:4" x14ac:dyDescent="0.2">
      <c r="A2028" s="5">
        <v>1967</v>
      </c>
      <c r="B2028" s="138">
        <f>'Cap Outlay Deprec 26'!F10</f>
        <v>8235729</v>
      </c>
      <c r="C2028" s="2" t="s">
        <v>573</v>
      </c>
      <c r="D2028" s="2" t="str">
        <f t="shared" si="30"/>
        <v>Error?</v>
      </c>
    </row>
    <row r="2029" spans="1:4" x14ac:dyDescent="0.2">
      <c r="A2029" s="5">
        <v>1968</v>
      </c>
      <c r="B2029" s="138">
        <f>'Cap Outlay Deprec 26'!F12</f>
        <v>1433684</v>
      </c>
      <c r="C2029" s="2" t="s">
        <v>573</v>
      </c>
      <c r="D2029" s="2" t="str">
        <f t="shared" si="30"/>
        <v>Error?</v>
      </c>
    </row>
    <row r="2030" spans="1:4" x14ac:dyDescent="0.2">
      <c r="A2030" s="5">
        <v>1969</v>
      </c>
      <c r="B2030" s="138">
        <f>'Cap Outlay Deprec 26'!F13</f>
        <v>148905</v>
      </c>
      <c r="C2030" s="2" t="s">
        <v>573</v>
      </c>
      <c r="D2030" s="2" t="str">
        <f t="shared" si="30"/>
        <v>Error?</v>
      </c>
    </row>
    <row r="2031" spans="1:4" x14ac:dyDescent="0.2">
      <c r="A2031" s="5">
        <v>1970</v>
      </c>
      <c r="B2031" s="138">
        <f>'Cap Outlay Deprec 26'!F16</f>
        <v>41020929</v>
      </c>
      <c r="C2031" s="2" t="s">
        <v>573</v>
      </c>
      <c r="D2031" s="2" t="str">
        <f t="shared" si="30"/>
        <v>Error?</v>
      </c>
    </row>
    <row r="2032" spans="1:4" x14ac:dyDescent="0.2">
      <c r="A2032" s="10">
        <v>1971</v>
      </c>
      <c r="D2032" s="2" t="str">
        <f t="shared" si="30"/>
        <v>OK</v>
      </c>
    </row>
    <row r="2033" spans="1:4" x14ac:dyDescent="0.2">
      <c r="A2033" s="5">
        <v>1972</v>
      </c>
      <c r="B2033" s="138">
        <f>'Cap Outlay Deprec 26'!H8</f>
        <v>9269265</v>
      </c>
      <c r="D2033" s="2" t="str">
        <f t="shared" si="30"/>
        <v>Error?</v>
      </c>
    </row>
    <row r="2034" spans="1:4" x14ac:dyDescent="0.2">
      <c r="A2034" s="5">
        <v>1973</v>
      </c>
      <c r="B2034" s="138">
        <f>'Cap Outlay Deprec 26'!H10</f>
        <v>2900582</v>
      </c>
      <c r="D2034" s="2" t="str">
        <f t="shared" si="30"/>
        <v>Error?</v>
      </c>
    </row>
    <row r="2035" spans="1:4" x14ac:dyDescent="0.2">
      <c r="A2035" s="5">
        <v>1974</v>
      </c>
      <c r="B2035" s="138">
        <f>'Cap Outlay Deprec 26'!H12</f>
        <v>1035670</v>
      </c>
      <c r="D2035" s="2" t="str">
        <f t="shared" si="30"/>
        <v>Error?</v>
      </c>
    </row>
    <row r="2036" spans="1:4" x14ac:dyDescent="0.2">
      <c r="A2036" s="5">
        <v>1975</v>
      </c>
      <c r="B2036" s="138">
        <f>'Cap Outlay Deprec 26'!H13</f>
        <v>66929</v>
      </c>
      <c r="D2036" s="2" t="str">
        <f t="shared" si="30"/>
        <v>Error?</v>
      </c>
    </row>
    <row r="2037" spans="1:4" x14ac:dyDescent="0.2">
      <c r="A2037" s="5">
        <v>1976</v>
      </c>
      <c r="B2037" s="138">
        <f>'Cap Outlay Deprec 26'!H16</f>
        <v>13272446</v>
      </c>
      <c r="C2037" s="2" t="s">
        <v>573</v>
      </c>
      <c r="D2037" s="2" t="str">
        <f t="shared" si="30"/>
        <v>Error?</v>
      </c>
    </row>
    <row r="2038" spans="1:4" x14ac:dyDescent="0.2">
      <c r="A2038" s="10">
        <v>1977</v>
      </c>
      <c r="D2038" s="2" t="str">
        <f t="shared" si="30"/>
        <v>OK</v>
      </c>
    </row>
    <row r="2039" spans="1:4" x14ac:dyDescent="0.2">
      <c r="A2039" s="5">
        <v>1978</v>
      </c>
      <c r="B2039" s="138">
        <f>'Cap Outlay Deprec 26'!I8</f>
        <v>396558</v>
      </c>
      <c r="D2039" s="2" t="str">
        <f t="shared" si="30"/>
        <v>Error?</v>
      </c>
    </row>
    <row r="2040" spans="1:4" x14ac:dyDescent="0.2">
      <c r="A2040" s="5">
        <v>1979</v>
      </c>
      <c r="B2040" s="138">
        <f>'Cap Outlay Deprec 26'!I10</f>
        <v>215400</v>
      </c>
      <c r="D2040" s="2" t="str">
        <f t="shared" si="30"/>
        <v>Error?</v>
      </c>
    </row>
    <row r="2041" spans="1:4" x14ac:dyDescent="0.2">
      <c r="A2041" s="5">
        <v>1980</v>
      </c>
      <c r="B2041" s="138">
        <f>'Cap Outlay Deprec 26'!I12</f>
        <v>53087</v>
      </c>
      <c r="D2041" s="2" t="str">
        <f t="shared" si="30"/>
        <v>Error?</v>
      </c>
    </row>
    <row r="2042" spans="1:4" x14ac:dyDescent="0.2">
      <c r="A2042" s="5">
        <v>1981</v>
      </c>
      <c r="B2042" s="138">
        <f>'Cap Outlay Deprec 26'!I13</f>
        <v>22029</v>
      </c>
      <c r="D2042" s="2" t="str">
        <f t="shared" si="30"/>
        <v>Error?</v>
      </c>
    </row>
    <row r="2043" spans="1:4" x14ac:dyDescent="0.2">
      <c r="A2043" s="5">
        <v>1982</v>
      </c>
      <c r="B2043" s="138">
        <f>'Cap Outlay Deprec 26'!I16</f>
        <v>687074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282219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282219</v>
      </c>
      <c r="C2049" s="2" t="s">
        <v>573</v>
      </c>
      <c r="D2049" s="2" t="str">
        <f t="shared" si="31"/>
        <v>Error?</v>
      </c>
    </row>
    <row r="2050" spans="1:4" x14ac:dyDescent="0.2">
      <c r="A2050" s="10">
        <v>1989</v>
      </c>
      <c r="D2050" s="2" t="str">
        <f t="shared" si="31"/>
        <v>OK</v>
      </c>
    </row>
    <row r="2051" spans="1:4" x14ac:dyDescent="0.2">
      <c r="A2051" s="5">
        <v>1990</v>
      </c>
      <c r="B2051" s="138">
        <f>'Cap Outlay Deprec 26'!K8</f>
        <v>9665823</v>
      </c>
      <c r="C2051" s="2" t="s">
        <v>573</v>
      </c>
      <c r="D2051" s="2" t="str">
        <f t="shared" si="31"/>
        <v>Error?</v>
      </c>
    </row>
    <row r="2052" spans="1:4" x14ac:dyDescent="0.2">
      <c r="A2052" s="5">
        <v>1991</v>
      </c>
      <c r="B2052" s="138">
        <f>'Cap Outlay Deprec 26'!K10</f>
        <v>3115982</v>
      </c>
      <c r="C2052" s="2" t="s">
        <v>573</v>
      </c>
      <c r="D2052" s="2" t="str">
        <f t="shared" si="31"/>
        <v>Error?</v>
      </c>
    </row>
    <row r="2053" spans="1:4" x14ac:dyDescent="0.2">
      <c r="A2053" s="5">
        <v>1992</v>
      </c>
      <c r="B2053" s="138">
        <f>'Cap Outlay Deprec 26'!K12</f>
        <v>806538</v>
      </c>
      <c r="C2053" s="2" t="s">
        <v>573</v>
      </c>
      <c r="D2053" s="2" t="str">
        <f t="shared" si="31"/>
        <v>Error?</v>
      </c>
    </row>
    <row r="2054" spans="1:4" x14ac:dyDescent="0.2">
      <c r="A2054" s="5">
        <v>1993</v>
      </c>
      <c r="B2054" s="138">
        <f>'Cap Outlay Deprec 26'!K13</f>
        <v>88958</v>
      </c>
      <c r="C2054" s="2" t="s">
        <v>573</v>
      </c>
      <c r="D2054" s="2" t="str">
        <f t="shared" si="31"/>
        <v>Error?</v>
      </c>
    </row>
    <row r="2055" spans="1:4" x14ac:dyDescent="0.2">
      <c r="A2055" s="5">
        <v>1994</v>
      </c>
      <c r="B2055" s="138">
        <f>'Cap Outlay Deprec 26'!K16</f>
        <v>13677301</v>
      </c>
      <c r="C2055" s="2" t="s">
        <v>573</v>
      </c>
      <c r="D2055" s="2" t="str">
        <f t="shared" si="31"/>
        <v>Error?</v>
      </c>
    </row>
    <row r="2056" spans="1:4" x14ac:dyDescent="0.2">
      <c r="A2056" s="5">
        <v>1995</v>
      </c>
      <c r="B2056" s="138">
        <f>'Cap Outlay Deprec 26'!L5</f>
        <v>530288</v>
      </c>
      <c r="C2056" s="2" t="s">
        <v>573</v>
      </c>
      <c r="D2056" s="2" t="str">
        <f t="shared" si="31"/>
        <v>Error?</v>
      </c>
    </row>
    <row r="2057" spans="1:4" x14ac:dyDescent="0.2">
      <c r="A2057" s="5">
        <v>1996</v>
      </c>
      <c r="B2057" s="138">
        <f>'Cap Outlay Deprec 26'!L8</f>
        <v>21006500</v>
      </c>
      <c r="C2057" s="2" t="s">
        <v>573</v>
      </c>
      <c r="D2057" s="2" t="str">
        <f t="shared" si="31"/>
        <v>Error?</v>
      </c>
    </row>
    <row r="2058" spans="1:4" x14ac:dyDescent="0.2">
      <c r="A2058" s="5">
        <v>1997</v>
      </c>
      <c r="B2058" s="138">
        <f>'Cap Outlay Deprec 26'!L10</f>
        <v>5119747</v>
      </c>
      <c r="C2058" s="2" t="s">
        <v>573</v>
      </c>
      <c r="D2058" s="2" t="str">
        <f t="shared" si="31"/>
        <v>Error?</v>
      </c>
    </row>
    <row r="2059" spans="1:4" x14ac:dyDescent="0.2">
      <c r="A2059" s="5">
        <v>1998</v>
      </c>
      <c r="B2059" s="138">
        <f>'Cap Outlay Deprec 26'!L12</f>
        <v>627146</v>
      </c>
      <c r="C2059" s="2" t="s">
        <v>573</v>
      </c>
      <c r="D2059" s="2" t="str">
        <f t="shared" si="31"/>
        <v>Error?</v>
      </c>
    </row>
    <row r="2060" spans="1:4" x14ac:dyDescent="0.2">
      <c r="A2060" s="5">
        <v>1999</v>
      </c>
      <c r="B2060" s="138">
        <f>'Cap Outlay Deprec 26'!L13</f>
        <v>59947</v>
      </c>
      <c r="C2060" s="2" t="s">
        <v>573</v>
      </c>
      <c r="D2060" s="2" t="str">
        <f t="shared" si="31"/>
        <v>Error?</v>
      </c>
    </row>
    <row r="2061" spans="1:4" x14ac:dyDescent="0.2">
      <c r="A2061" s="5">
        <v>2000</v>
      </c>
      <c r="B2061" s="138">
        <f>'Cap Outlay Deprec 26'!L16</f>
        <v>27343628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75876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6125664</v>
      </c>
      <c r="D2435" s="2" t="str">
        <f t="shared" si="37"/>
        <v>Error?</v>
      </c>
    </row>
    <row r="2436" spans="1:4" x14ac:dyDescent="0.2">
      <c r="A2436" s="10">
        <v>2375</v>
      </c>
      <c r="D2436" s="2" t="str">
        <f t="shared" si="37"/>
        <v>OK</v>
      </c>
    </row>
    <row r="2437" spans="1:4" x14ac:dyDescent="0.2">
      <c r="A2437" s="5">
        <v>2376</v>
      </c>
      <c r="B2437" s="138">
        <f>'Assets-Liab 5-6'!D38</f>
        <v>691781</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3145668</v>
      </c>
      <c r="D2475" s="2" t="str">
        <f t="shared" si="37"/>
        <v>Error?</v>
      </c>
    </row>
    <row r="2476" spans="1:4" x14ac:dyDescent="0.2">
      <c r="A2476" s="10">
        <v>2415</v>
      </c>
      <c r="D2476" s="2" t="str">
        <f t="shared" si="37"/>
        <v>OK</v>
      </c>
    </row>
    <row r="2477" spans="1:4" x14ac:dyDescent="0.2">
      <c r="A2477" s="5">
        <v>2416</v>
      </c>
      <c r="B2477" s="138">
        <f>'Assets-Liab 5-6'!G38</f>
        <v>1005237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-378718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951219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3495594</v>
      </c>
      <c r="C2551" s="2" t="s">
        <v>573</v>
      </c>
      <c r="D2551" s="2" t="str">
        <f t="shared" si="38"/>
        <v>Error?</v>
      </c>
    </row>
    <row r="2552" spans="1:4" x14ac:dyDescent="0.2">
      <c r="A2552" s="10">
        <v>2491</v>
      </c>
      <c r="D2552" s="2" t="str">
        <f t="shared" si="38"/>
        <v>OK</v>
      </c>
    </row>
    <row r="2553" spans="1:4" x14ac:dyDescent="0.2">
      <c r="A2553" s="5">
        <v>2492</v>
      </c>
      <c r="B2553" s="138">
        <f>'Acct Summary 7-8'!C6</f>
        <v>27674420</v>
      </c>
      <c r="C2553" s="2" t="s">
        <v>573</v>
      </c>
      <c r="D2553" s="2" t="str">
        <f t="shared" si="38"/>
        <v>Error?</v>
      </c>
    </row>
    <row r="2554" spans="1:4" x14ac:dyDescent="0.2">
      <c r="A2554" s="5">
        <v>2493</v>
      </c>
      <c r="B2554" s="138">
        <f>'Acct Summary 7-8'!C7</f>
        <v>9533580</v>
      </c>
      <c r="C2554" s="2" t="s">
        <v>573</v>
      </c>
      <c r="D2554" s="2" t="str">
        <f t="shared" si="38"/>
        <v>Error?</v>
      </c>
    </row>
    <row r="2555" spans="1:4" x14ac:dyDescent="0.2">
      <c r="A2555" s="5">
        <v>2494</v>
      </c>
      <c r="B2555" s="138">
        <f>'Acct Summary 7-8'!C8</f>
        <v>40703594</v>
      </c>
      <c r="C2555" s="2" t="s">
        <v>573</v>
      </c>
      <c r="D2555" s="2" t="str">
        <f t="shared" si="38"/>
        <v>Error?</v>
      </c>
    </row>
    <row r="2556" spans="1:4" x14ac:dyDescent="0.2">
      <c r="A2556" s="5">
        <v>2495</v>
      </c>
      <c r="B2556" s="138">
        <f>'Acct Summary 7-8'!C12</f>
        <v>23248039</v>
      </c>
      <c r="C2556" s="2" t="s">
        <v>573</v>
      </c>
      <c r="D2556" s="2" t="str">
        <f t="shared" si="38"/>
        <v>Error?</v>
      </c>
    </row>
    <row r="2557" spans="1:4" x14ac:dyDescent="0.2">
      <c r="A2557" s="5">
        <v>2496</v>
      </c>
      <c r="B2557" s="138">
        <f>'Acct Summary 7-8'!C13</f>
        <v>16509491</v>
      </c>
      <c r="C2557" s="2" t="s">
        <v>573</v>
      </c>
      <c r="D2557" s="2" t="str">
        <f t="shared" si="38"/>
        <v>Error?</v>
      </c>
    </row>
    <row r="2558" spans="1:4" x14ac:dyDescent="0.2">
      <c r="A2558" s="5">
        <v>2497</v>
      </c>
      <c r="B2558" s="138">
        <f>'Acct Summary 7-8'!C14</f>
        <v>400180</v>
      </c>
      <c r="C2558" s="2" t="s">
        <v>573</v>
      </c>
      <c r="D2558" s="2" t="str">
        <f t="shared" si="38"/>
        <v>Error?</v>
      </c>
    </row>
    <row r="2559" spans="1:4" x14ac:dyDescent="0.2">
      <c r="A2559" s="5">
        <v>2498</v>
      </c>
      <c r="B2559" s="138">
        <f>'Acct Summary 7-8'!C15</f>
        <v>75876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40233586</v>
      </c>
      <c r="C2561" s="2" t="s">
        <v>573</v>
      </c>
      <c r="D2561" s="2" t="str">
        <f t="shared" si="39"/>
        <v>Error?</v>
      </c>
    </row>
    <row r="2562" spans="1:4" x14ac:dyDescent="0.2">
      <c r="A2562" s="5">
        <v>2501</v>
      </c>
      <c r="B2562" s="138">
        <f>'Acct Summary 7-8'!C20</f>
        <v>470008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274613</v>
      </c>
      <c r="C2564" s="2" t="s">
        <v>573</v>
      </c>
      <c r="D2564" s="2" t="str">
        <f t="shared" si="39"/>
        <v>Error?</v>
      </c>
    </row>
    <row r="2565" spans="1:4" x14ac:dyDescent="0.2">
      <c r="A2565" s="10">
        <v>2504</v>
      </c>
      <c r="D2565" s="2" t="str">
        <f t="shared" si="39"/>
        <v>OK</v>
      </c>
    </row>
    <row r="2566" spans="1:4" x14ac:dyDescent="0.2">
      <c r="A2566" s="5">
        <v>2505</v>
      </c>
      <c r="B2566" s="138">
        <f>'Acct Summary 7-8'!D6</f>
        <v>2500000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2774613</v>
      </c>
      <c r="C2568" s="2" t="s">
        <v>573</v>
      </c>
      <c r="D2568" s="2" t="str">
        <f t="shared" si="39"/>
        <v>Error?</v>
      </c>
    </row>
    <row r="2569" spans="1:4" x14ac:dyDescent="0.2">
      <c r="A2569" s="5">
        <v>2508</v>
      </c>
      <c r="B2569" s="138">
        <f>'Acct Summary 7-8'!D13</f>
        <v>2650293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2650293</v>
      </c>
      <c r="C2573" s="2" t="s">
        <v>573</v>
      </c>
      <c r="D2573" s="2" t="str">
        <f t="shared" si="39"/>
        <v>Error?</v>
      </c>
    </row>
    <row r="2574" spans="1:4" x14ac:dyDescent="0.2">
      <c r="A2574" s="5">
        <v>2513</v>
      </c>
      <c r="B2574" s="138">
        <f>'Acct Summary 7-8'!D20</f>
        <v>124320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474947</v>
      </c>
      <c r="C2591" s="2" t="s">
        <v>573</v>
      </c>
      <c r="D2591" s="2" t="str">
        <f t="shared" si="39"/>
        <v>Error?</v>
      </c>
    </row>
    <row r="2592" spans="1:4" x14ac:dyDescent="0.2">
      <c r="A2592" s="10">
        <v>2531</v>
      </c>
      <c r="D2592" s="2" t="str">
        <f t="shared" si="39"/>
        <v>OK</v>
      </c>
    </row>
    <row r="2593" spans="1:4" x14ac:dyDescent="0.2">
      <c r="A2593" s="5">
        <v>2532</v>
      </c>
      <c r="B2593" s="138">
        <f>'Acct Summary 7-8'!F6</f>
        <v>3866641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4341588</v>
      </c>
      <c r="C2595" s="2" t="s">
        <v>573</v>
      </c>
      <c r="D2595" s="2" t="str">
        <f t="shared" si="39"/>
        <v>Error?</v>
      </c>
    </row>
    <row r="2596" spans="1:4" x14ac:dyDescent="0.2">
      <c r="A2596" s="5">
        <v>2535</v>
      </c>
      <c r="B2596" s="138">
        <f>'Acct Summary 7-8'!F13</f>
        <v>2739034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2739034</v>
      </c>
      <c r="C2600" s="2" t="s">
        <v>573</v>
      </c>
      <c r="D2600" s="2" t="str">
        <f t="shared" si="39"/>
        <v>Error?</v>
      </c>
    </row>
    <row r="2601" spans="1:4" x14ac:dyDescent="0.2">
      <c r="A2601" s="5">
        <v>2540</v>
      </c>
      <c r="B2601" s="138">
        <f>'Acct Summary 7-8'!F20</f>
        <v>1602554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1656490</v>
      </c>
      <c r="C2603" s="2" t="s">
        <v>573</v>
      </c>
      <c r="D2603" s="2" t="str">
        <f t="shared" si="39"/>
        <v>Error?</v>
      </c>
    </row>
    <row r="2604" spans="1:4" x14ac:dyDescent="0.2">
      <c r="A2604" s="5">
        <v>2543</v>
      </c>
      <c r="B2604" s="138">
        <f>'Acct Summary 7-8'!G6</f>
        <v>3405</v>
      </c>
      <c r="C2604" s="2" t="s">
        <v>573</v>
      </c>
      <c r="D2604" s="2" t="str">
        <f t="shared" si="39"/>
        <v>Error?</v>
      </c>
    </row>
    <row r="2605" spans="1:4" x14ac:dyDescent="0.2">
      <c r="A2605" s="5">
        <v>2544</v>
      </c>
      <c r="B2605" s="138">
        <f>'Acct Summary 7-8'!G7</f>
        <v>313514</v>
      </c>
      <c r="C2605" s="2" t="s">
        <v>573</v>
      </c>
      <c r="D2605" s="2" t="str">
        <f t="shared" si="39"/>
        <v>Error?</v>
      </c>
    </row>
    <row r="2606" spans="1:4" x14ac:dyDescent="0.2">
      <c r="A2606" s="5">
        <v>2545</v>
      </c>
      <c r="B2606" s="138">
        <f>'Acct Summary 7-8'!G8</f>
        <v>1973409</v>
      </c>
      <c r="C2606" s="2" t="s">
        <v>573</v>
      </c>
      <c r="D2606" s="2" t="str">
        <f t="shared" si="39"/>
        <v>Error?</v>
      </c>
    </row>
    <row r="2607" spans="1:4" x14ac:dyDescent="0.2">
      <c r="A2607" s="5">
        <v>2546</v>
      </c>
      <c r="B2607" s="138">
        <f>'Acct Summary 7-8'!G12</f>
        <v>547139</v>
      </c>
      <c r="C2607" s="2" t="s">
        <v>573</v>
      </c>
      <c r="D2607" s="2" t="str">
        <f t="shared" si="39"/>
        <v>Error?</v>
      </c>
    </row>
    <row r="2608" spans="1:4" x14ac:dyDescent="0.2">
      <c r="A2608" s="5">
        <v>2547</v>
      </c>
      <c r="B2608" s="138">
        <f>'Acct Summary 7-8'!G13</f>
        <v>1370375</v>
      </c>
      <c r="C2608" s="2" t="s">
        <v>573</v>
      </c>
      <c r="D2608" s="2" t="str">
        <f t="shared" si="39"/>
        <v>Error?</v>
      </c>
    </row>
    <row r="2609" spans="1:4" x14ac:dyDescent="0.2">
      <c r="A2609" s="5">
        <v>2548</v>
      </c>
      <c r="B2609" s="138">
        <f>'Acct Summary 7-8'!G14</f>
        <v>40830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1958344</v>
      </c>
      <c r="C2612" s="2" t="s">
        <v>573</v>
      </c>
      <c r="D2612" s="2" t="str">
        <f t="shared" si="39"/>
        <v>Error?</v>
      </c>
    </row>
    <row r="2613" spans="1:4" x14ac:dyDescent="0.2">
      <c r="A2613" s="5">
        <v>2552</v>
      </c>
      <c r="B2613" s="138">
        <f>'Acct Summary 7-8'!G20</f>
        <v>15065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2320055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2320055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2385775</v>
      </c>
      <c r="C2634" s="2" t="s">
        <v>573</v>
      </c>
      <c r="D2634" s="2" t="str">
        <f t="shared" si="40"/>
        <v>Error?</v>
      </c>
    </row>
    <row r="2635" spans="1:4" x14ac:dyDescent="0.2">
      <c r="A2635" s="5">
        <v>2574</v>
      </c>
      <c r="B2635" s="138">
        <f>'Acct Summary 7-8'!E17</f>
        <v>2385775</v>
      </c>
      <c r="C2635" s="2" t="s">
        <v>573</v>
      </c>
      <c r="D2635" s="2" t="str">
        <f t="shared" si="40"/>
        <v>Error?</v>
      </c>
    </row>
    <row r="2636" spans="1:4" x14ac:dyDescent="0.2">
      <c r="A2636" s="5">
        <v>2575</v>
      </c>
      <c r="B2636" s="138">
        <f>'Acct Summary 7-8'!E20</f>
        <v>-65720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609940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609940</v>
      </c>
      <c r="C2658" s="2" t="s">
        <v>573</v>
      </c>
      <c r="D2658" s="2" t="str">
        <f t="shared" si="40"/>
        <v>Error?</v>
      </c>
    </row>
    <row r="2659" spans="1:4" x14ac:dyDescent="0.2">
      <c r="A2659" s="5">
        <v>2598</v>
      </c>
      <c r="B2659" s="138">
        <f>'Acct Summary 7-8'!H13</f>
        <v>493293</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493293</v>
      </c>
      <c r="C2661" s="2" t="s">
        <v>573</v>
      </c>
      <c r="D2661" s="2" t="str">
        <f t="shared" si="40"/>
        <v>Error?</v>
      </c>
    </row>
    <row r="2662" spans="1:4" x14ac:dyDescent="0.2">
      <c r="A2662" s="5">
        <v>2601</v>
      </c>
      <c r="B2662" s="138">
        <f>'Acct Summary 7-8'!H20</f>
        <v>116647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539698</v>
      </c>
      <c r="D2718" s="2" t="str">
        <f t="shared" si="41"/>
        <v>Error?</v>
      </c>
    </row>
    <row r="2719" spans="1:4" x14ac:dyDescent="0.2">
      <c r="A2719" s="5">
        <v>2658</v>
      </c>
      <c r="B2719" s="138">
        <f>'Expenditures 15-22'!D51</f>
        <v>138962</v>
      </c>
      <c r="D2719" s="2" t="str">
        <f t="shared" si="41"/>
        <v>Error?</v>
      </c>
    </row>
    <row r="2720" spans="1:4" x14ac:dyDescent="0.2">
      <c r="A2720" s="5">
        <v>2659</v>
      </c>
      <c r="B2720" s="138">
        <f>'Expenditures 15-22'!E51</f>
        <v>95610</v>
      </c>
      <c r="D2720" s="2" t="str">
        <f t="shared" si="41"/>
        <v>Error?</v>
      </c>
    </row>
    <row r="2721" spans="1:4" x14ac:dyDescent="0.2">
      <c r="A2721" s="5">
        <v>2660</v>
      </c>
      <c r="B2721" s="138">
        <f>'Expenditures 15-22'!F51</f>
        <v>23579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4820</v>
      </c>
      <c r="D2723" s="2" t="str">
        <f t="shared" si="41"/>
        <v>Error?</v>
      </c>
    </row>
    <row r="2724" spans="1:4" x14ac:dyDescent="0.2">
      <c r="A2724" s="5">
        <v>2663</v>
      </c>
      <c r="B2724" s="138">
        <f>'Expenditures 15-22'!K51</f>
        <v>806760</v>
      </c>
      <c r="C2724" s="2" t="s">
        <v>573</v>
      </c>
      <c r="D2724" s="2" t="str">
        <f t="shared" si="41"/>
        <v>Error?</v>
      </c>
    </row>
    <row r="2725" spans="1:4" x14ac:dyDescent="0.2">
      <c r="A2725" s="5">
        <v>2664</v>
      </c>
      <c r="B2725" s="138">
        <f>'Expenditures 15-22'!D247</f>
        <v>30831</v>
      </c>
      <c r="D2725" s="2" t="str">
        <f t="shared" si="41"/>
        <v>Error?</v>
      </c>
    </row>
    <row r="2726" spans="1:4" x14ac:dyDescent="0.2">
      <c r="A2726" s="5">
        <v>2665</v>
      </c>
      <c r="B2726" s="138">
        <f>'Expenditures 15-22'!K247</f>
        <v>30831</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75876</v>
      </c>
      <c r="C2789" s="2" t="s">
        <v>573</v>
      </c>
      <c r="D2789" s="2" t="str">
        <f t="shared" si="42"/>
        <v>Error?</v>
      </c>
    </row>
    <row r="2790" spans="1:4" x14ac:dyDescent="0.2">
      <c r="A2790" s="5">
        <v>2729</v>
      </c>
      <c r="B2790" s="138">
        <f>'Expenditures 15-22'!E102</f>
        <v>75876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27840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3246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4242654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76309</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253021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34343</v>
      </c>
      <c r="D2908" s="2" t="str">
        <f t="shared" si="44"/>
        <v>Error?</v>
      </c>
    </row>
    <row r="2909" spans="1:4" x14ac:dyDescent="0.2">
      <c r="A2909" s="10">
        <v>2848</v>
      </c>
      <c r="D2909" s="2" t="str">
        <f t="shared" si="44"/>
        <v>OK</v>
      </c>
    </row>
    <row r="2910" spans="1:4" x14ac:dyDescent="0.2">
      <c r="A2910" s="5">
        <v>2849</v>
      </c>
      <c r="B2910" s="138">
        <f>'Assets-Liab 5-6'!I34</f>
        <v>34343</v>
      </c>
      <c r="C2910" s="2" t="s">
        <v>573</v>
      </c>
      <c r="D2910" s="2" t="str">
        <f t="shared" si="44"/>
        <v>Error?</v>
      </c>
    </row>
    <row r="2911" spans="1:4" x14ac:dyDescent="0.2">
      <c r="A2911" s="5">
        <v>2850</v>
      </c>
      <c r="B2911" s="138">
        <f>'Assets-Liab 5-6'!I38</f>
        <v>4208311</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4242654</v>
      </c>
      <c r="C2913" s="2" t="s">
        <v>573</v>
      </c>
      <c r="D2913" s="2" t="str">
        <f t="shared" si="44"/>
        <v>Error?</v>
      </c>
    </row>
    <row r="2914" spans="1:4" x14ac:dyDescent="0.2">
      <c r="A2914" s="5">
        <v>2853</v>
      </c>
      <c r="B2914" s="138">
        <f>'Assets-Liab 5-6'!L33</f>
        <v>253021</v>
      </c>
      <c r="D2914" s="2" t="str">
        <f t="shared" si="44"/>
        <v>Error?</v>
      </c>
    </row>
    <row r="2915" spans="1:4" x14ac:dyDescent="0.2">
      <c r="A2915" s="10">
        <v>2854</v>
      </c>
      <c r="D2915" s="2" t="str">
        <f t="shared" si="44"/>
        <v>OK</v>
      </c>
    </row>
    <row r="2916" spans="1:4" x14ac:dyDescent="0.2">
      <c r="A2916" s="5">
        <v>2855</v>
      </c>
      <c r="B2916" s="138">
        <f>'Assets-Liab 5-6'!L34</f>
        <v>253021</v>
      </c>
      <c r="C2916" s="2" t="s">
        <v>573</v>
      </c>
      <c r="D2916" s="2" t="str">
        <f t="shared" si="44"/>
        <v>Error?</v>
      </c>
    </row>
    <row r="2917" spans="1:4" x14ac:dyDescent="0.2">
      <c r="A2917" s="5">
        <v>2856</v>
      </c>
      <c r="B2917" s="138">
        <f>'Assets-Liab 5-6'!L41</f>
        <v>253021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75876</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75876</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1393251</v>
      </c>
      <c r="D3055" s="2" t="str">
        <f t="shared" si="46"/>
        <v>Error?</v>
      </c>
    </row>
    <row r="3056" spans="1:4" x14ac:dyDescent="0.2">
      <c r="A3056" s="5">
        <v>2995</v>
      </c>
      <c r="B3056" s="138">
        <f>'Expenditures 15-22'!D10</f>
        <v>422761</v>
      </c>
      <c r="D3056" s="2" t="str">
        <f t="shared" si="46"/>
        <v>Error?</v>
      </c>
    </row>
    <row r="3057" spans="1:4" x14ac:dyDescent="0.2">
      <c r="A3057" s="5">
        <v>2996</v>
      </c>
      <c r="B3057" s="138">
        <f>'Expenditures 15-22'!E10</f>
        <v>176881</v>
      </c>
      <c r="D3057" s="2" t="str">
        <f t="shared" si="46"/>
        <v>Error?</v>
      </c>
    </row>
    <row r="3058" spans="1:4" x14ac:dyDescent="0.2">
      <c r="A3058" s="5">
        <v>2997</v>
      </c>
      <c r="B3058" s="138">
        <f>'Expenditures 15-22'!F10</f>
        <v>438080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2477745</v>
      </c>
      <c r="C3062" s="2" t="s">
        <v>573</v>
      </c>
      <c r="D3062" s="2" t="str">
        <f t="shared" si="46"/>
        <v>Error?</v>
      </c>
    </row>
    <row r="3063" spans="1:4" x14ac:dyDescent="0.2">
      <c r="A3063" s="10">
        <v>3002</v>
      </c>
      <c r="D3063" s="2" t="str">
        <f t="shared" si="46"/>
        <v>OK</v>
      </c>
    </row>
    <row r="3064" spans="1:4" x14ac:dyDescent="0.2">
      <c r="A3064" s="5">
        <v>3003</v>
      </c>
      <c r="B3064" s="138">
        <f>'Expenditures 15-22'!D219</f>
        <v>95057</v>
      </c>
      <c r="D3064" s="2" t="str">
        <f t="shared" si="46"/>
        <v>Error?</v>
      </c>
    </row>
    <row r="3065" spans="1:4" x14ac:dyDescent="0.2">
      <c r="A3065" s="5">
        <v>3004</v>
      </c>
      <c r="B3065" s="138">
        <f>'Expenditures 15-22'!K219</f>
        <v>95057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85900</v>
      </c>
      <c r="C3225" s="2" t="s">
        <v>573</v>
      </c>
      <c r="D3225" s="2" t="str">
        <f t="shared" si="49"/>
        <v>Error?</v>
      </c>
    </row>
    <row r="3226" spans="1:4" x14ac:dyDescent="0.2">
      <c r="A3226" s="5">
        <v>3165</v>
      </c>
      <c r="B3226" s="138">
        <f>'Acct Summary 7-8'!I8</f>
        <v>85900</v>
      </c>
      <c r="C3226" s="2" t="s">
        <v>573</v>
      </c>
      <c r="D3226" s="2" t="str">
        <f t="shared" si="49"/>
        <v>Error?</v>
      </c>
    </row>
    <row r="3227" spans="1:4" x14ac:dyDescent="0.2">
      <c r="A3227" s="5">
        <v>3166</v>
      </c>
      <c r="B3227" s="138">
        <f>'Acct Summary 7-8'!I20</f>
        <v>85900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470008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124320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1602554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15065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-65720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116647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85900</v>
      </c>
      <c r="C3320" s="2" t="s">
        <v>573</v>
      </c>
      <c r="D3320" s="2" t="str">
        <f t="shared" si="50"/>
        <v>Error?</v>
      </c>
    </row>
    <row r="3321" spans="1:4" x14ac:dyDescent="0.2">
      <c r="A3321" s="5">
        <v>3260</v>
      </c>
      <c r="B3321" s="138">
        <f>'Acct Summary 7-8'!I79</f>
        <v>4122411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4208311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4074358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1251990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25648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75589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5450238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172398</v>
      </c>
      <c r="D3387" s="2" t="str">
        <f t="shared" si="51"/>
        <v>Error?</v>
      </c>
    </row>
    <row r="3388" spans="1:4" x14ac:dyDescent="0.2">
      <c r="A3388" s="5">
        <v>3327</v>
      </c>
      <c r="B3388" s="138">
        <f>'Expenditures 15-22'!D217</f>
        <v>247332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172398</v>
      </c>
      <c r="C3390" s="2" t="s">
        <v>573</v>
      </c>
      <c r="D3390" s="2" t="str">
        <f t="shared" si="51"/>
        <v>Error?</v>
      </c>
    </row>
    <row r="3391" spans="1:4" x14ac:dyDescent="0.2">
      <c r="A3391" s="5">
        <v>3330</v>
      </c>
      <c r="B3391" s="138">
        <f>'Expenditures 15-22'!K217</f>
        <v>247332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6104278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727626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52184</v>
      </c>
      <c r="D3417" s="2" t="str">
        <f t="shared" si="52"/>
        <v>Error?</v>
      </c>
    </row>
    <row r="3418" spans="1:4" x14ac:dyDescent="0.2">
      <c r="A3418" s="10">
        <v>3357</v>
      </c>
      <c r="D3418" s="2" t="str">
        <f t="shared" si="52"/>
        <v>OK</v>
      </c>
    </row>
    <row r="3419" spans="1:4" x14ac:dyDescent="0.2">
      <c r="A3419" s="5">
        <v>3358</v>
      </c>
      <c r="B3419" s="138">
        <f>'Assets-Liab 5-6'!F4</f>
        <v>2677987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1290946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982751</v>
      </c>
      <c r="D3425" s="2" t="str">
        <f t="shared" si="52"/>
        <v>Error?</v>
      </c>
    </row>
    <row r="3426" spans="1:4" x14ac:dyDescent="0.2">
      <c r="A3426" s="10">
        <v>3365</v>
      </c>
      <c r="D3426" s="2" t="str">
        <f t="shared" si="52"/>
        <v>OK</v>
      </c>
    </row>
    <row r="3427" spans="1:4" x14ac:dyDescent="0.2">
      <c r="A3427" s="5">
        <v>3366</v>
      </c>
      <c r="B3427" s="138">
        <f>'Assets-Liab 5-6'!I4</f>
        <v>4211568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176712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629283</v>
      </c>
      <c r="C3446" s="2" t="s">
        <v>573</v>
      </c>
      <c r="D3446" s="2" t="str">
        <f t="shared" si="52"/>
        <v>Error?</v>
      </c>
    </row>
    <row r="3447" spans="1:4" x14ac:dyDescent="0.2">
      <c r="A3447" s="5">
        <v>3386</v>
      </c>
      <c r="B3447" s="138">
        <f>'Tax Sched 23'!D16</f>
        <v>526359</v>
      </c>
      <c r="C3447" s="2" t="s">
        <v>573</v>
      </c>
      <c r="D3447" s="2" t="str">
        <f t="shared" si="52"/>
        <v>Error?</v>
      </c>
    </row>
    <row r="3448" spans="1:4" x14ac:dyDescent="0.2">
      <c r="A3448" s="5">
        <v>3387</v>
      </c>
      <c r="B3448" s="138">
        <f>'Tax Sched 23'!C16</f>
        <v>102924</v>
      </c>
      <c r="D3448" s="2" t="str">
        <f t="shared" si="52"/>
        <v>Error?</v>
      </c>
    </row>
    <row r="3449" spans="1:4" x14ac:dyDescent="0.2">
      <c r="A3449" s="5">
        <v>3388</v>
      </c>
      <c r="B3449" s="138">
        <f>'Tax Sched 23'!F16</f>
        <v>440659</v>
      </c>
      <c r="C3449" s="2" t="s">
        <v>573</v>
      </c>
      <c r="D3449" s="2" t="str">
        <f t="shared" si="52"/>
        <v>Error?</v>
      </c>
    </row>
    <row r="3450" spans="1:4" x14ac:dyDescent="0.2">
      <c r="A3450" s="5">
        <v>3389</v>
      </c>
      <c r="B3450" s="138">
        <f>'Tax Sched 23'!E16</f>
        <v>543583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954235</v>
      </c>
      <c r="D3546" s="2" t="str">
        <f t="shared" si="54"/>
        <v>Error?</v>
      </c>
    </row>
    <row r="3547" spans="1:4" x14ac:dyDescent="0.2">
      <c r="A3547" s="10">
        <v>3486</v>
      </c>
      <c r="D3547" s="2" t="str">
        <f t="shared" si="54"/>
        <v>OK</v>
      </c>
    </row>
    <row r="3548" spans="1:4" x14ac:dyDescent="0.2">
      <c r="A3548" s="5">
        <v>3487</v>
      </c>
      <c r="B3548" s="138">
        <f>'Assets-Liab 5-6'!K6</f>
        <v>27840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982075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34343</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34343</v>
      </c>
      <c r="C3565" s="2" t="s">
        <v>573</v>
      </c>
      <c r="D3565" s="2" t="str">
        <f t="shared" si="54"/>
        <v>Error?</v>
      </c>
    </row>
    <row r="3566" spans="1:4" x14ac:dyDescent="0.2">
      <c r="A3566" s="5">
        <v>3505</v>
      </c>
      <c r="B3566" s="138">
        <f>'Assets-Liab 5-6'!K38</f>
        <v>947732</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982075</v>
      </c>
      <c r="C3568" s="2" t="s">
        <v>573</v>
      </c>
      <c r="D3568" s="2" t="str">
        <f t="shared" si="54"/>
        <v>Error?</v>
      </c>
    </row>
    <row r="3569" spans="1:4" x14ac:dyDescent="0.2">
      <c r="A3569" s="5">
        <v>3508</v>
      </c>
      <c r="B3569" s="138">
        <f>'Acct Summary 7-8'!K4</f>
        <v>45631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45631</v>
      </c>
      <c r="C3571" s="2" t="s">
        <v>573</v>
      </c>
      <c r="D3571" s="2" t="str">
        <f t="shared" si="54"/>
        <v>Error?</v>
      </c>
    </row>
    <row r="3572" spans="1:4" x14ac:dyDescent="0.2">
      <c r="A3572" s="5">
        <v>3511</v>
      </c>
      <c r="B3572" s="138">
        <f>'Acct Summary 7-8'!K13</f>
        <v>41059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41059</v>
      </c>
      <c r="C3575" s="2" t="s">
        <v>573</v>
      </c>
      <c r="D3575" s="2" t="str">
        <f t="shared" si="54"/>
        <v>Error?</v>
      </c>
    </row>
    <row r="3576" spans="1:4" x14ac:dyDescent="0.2">
      <c r="A3576" s="5">
        <v>3515</v>
      </c>
      <c r="B3576" s="138">
        <f>'Acct Summary 7-8'!K20</f>
        <v>4572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4572</v>
      </c>
      <c r="C3588" s="2" t="s">
        <v>573</v>
      </c>
      <c r="D3588" s="2" t="str">
        <f t="shared" si="55"/>
        <v>Error?</v>
      </c>
    </row>
    <row r="3589" spans="1:4" x14ac:dyDescent="0.2">
      <c r="A3589" s="5">
        <v>3528</v>
      </c>
      <c r="B3589" s="138">
        <f>'Acct Summary 7-8'!K79</f>
        <v>943160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947732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40735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40735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40735</v>
      </c>
      <c r="C3636" s="2" t="s">
        <v>573</v>
      </c>
      <c r="D3636" s="2" t="str">
        <f t="shared" si="55"/>
        <v>Error?</v>
      </c>
    </row>
    <row r="3637" spans="1:4" x14ac:dyDescent="0.2">
      <c r="A3637" s="10">
        <v>3576</v>
      </c>
      <c r="D3637" s="2" t="str">
        <f t="shared" si="55"/>
        <v>OK</v>
      </c>
    </row>
    <row r="3638" spans="1:4" x14ac:dyDescent="0.2">
      <c r="A3638" s="5">
        <v>3577</v>
      </c>
      <c r="B3638" s="138">
        <f>'Expenditures 15-22'!F348</f>
        <v>324</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324</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324</v>
      </c>
      <c r="C3642" s="2" t="s">
        <v>573</v>
      </c>
      <c r="D3642" s="2" t="str">
        <f t="shared" si="55"/>
        <v>Error?</v>
      </c>
    </row>
    <row r="3643" spans="1:4" x14ac:dyDescent="0.2">
      <c r="A3643" s="5">
        <v>3582</v>
      </c>
      <c r="B3643" s="138">
        <f>'Expenditures 15-22'!F367</f>
        <v>324</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41059</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41059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41059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41059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4572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40030</v>
      </c>
      <c r="C3725" s="2" t="s">
        <v>573</v>
      </c>
      <c r="D3725" s="2" t="str">
        <f t="shared" si="57"/>
        <v>Error?</v>
      </c>
    </row>
    <row r="3726" spans="1:4" x14ac:dyDescent="0.2">
      <c r="A3726" s="5">
        <v>3665</v>
      </c>
      <c r="B3726" s="138">
        <f>'Tax Sched 23'!D13</f>
        <v>33527</v>
      </c>
      <c r="C3726" s="2" t="s">
        <v>573</v>
      </c>
      <c r="D3726" s="2" t="str">
        <f t="shared" si="57"/>
        <v>Error?</v>
      </c>
    </row>
    <row r="3727" spans="1:4" x14ac:dyDescent="0.2">
      <c r="A3727" s="5">
        <v>3666</v>
      </c>
      <c r="B3727" s="138">
        <f>'Tax Sched 23'!C13</f>
        <v>6503</v>
      </c>
      <c r="D3727" s="2" t="str">
        <f t="shared" si="57"/>
        <v>Error?</v>
      </c>
    </row>
    <row r="3728" spans="1:4" x14ac:dyDescent="0.2">
      <c r="A3728" s="5">
        <v>3667</v>
      </c>
      <c r="B3728" s="138">
        <f>'Tax Sched 23'!F13</f>
        <v>27840</v>
      </c>
      <c r="C3728" s="2" t="s">
        <v>573</v>
      </c>
      <c r="D3728" s="2" t="str">
        <f t="shared" si="57"/>
        <v>Error?</v>
      </c>
    </row>
    <row r="3729" spans="1:4" x14ac:dyDescent="0.2">
      <c r="A3729" s="5">
        <v>3668</v>
      </c>
      <c r="B3729" s="138">
        <f>'Tax Sched 23'!E13</f>
        <v>34343</v>
      </c>
      <c r="D3729" s="2" t="str">
        <f t="shared" si="57"/>
        <v>Error?</v>
      </c>
    </row>
    <row r="3730" spans="1:4" x14ac:dyDescent="0.2">
      <c r="A3730" s="5">
        <v>3669</v>
      </c>
      <c r="B3730" s="138">
        <f>'ICR Computation 30'!E10</f>
        <v>1838318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13915633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54619227</v>
      </c>
      <c r="C4122" s="2" t="s">
        <v>573</v>
      </c>
      <c r="D4122" s="2" t="str">
        <f t="shared" si="63"/>
        <v>Error?</v>
      </c>
    </row>
    <row r="4123" spans="1:4" x14ac:dyDescent="0.2">
      <c r="A4123" s="5">
        <v>4062</v>
      </c>
      <c r="B4123" s="138">
        <f>'Acct Summary 7-8'!D10</f>
        <v>2774613</v>
      </c>
      <c r="C4123" s="2" t="s">
        <v>573</v>
      </c>
      <c r="D4123" s="2" t="str">
        <f t="shared" si="63"/>
        <v>Error?</v>
      </c>
    </row>
    <row r="4124" spans="1:4" x14ac:dyDescent="0.2">
      <c r="A4124" s="5">
        <v>4063</v>
      </c>
      <c r="B4124" s="138">
        <f>'Acct Summary 7-8'!E10</f>
        <v>2320055</v>
      </c>
      <c r="C4124" s="2" t="s">
        <v>573</v>
      </c>
      <c r="D4124" s="2" t="str">
        <f t="shared" si="63"/>
        <v>Error?</v>
      </c>
    </row>
    <row r="4125" spans="1:4" x14ac:dyDescent="0.2">
      <c r="A4125" s="5">
        <v>4064</v>
      </c>
      <c r="B4125" s="138">
        <f>'Acct Summary 7-8'!F10</f>
        <v>4341588</v>
      </c>
      <c r="C4125" s="2" t="s">
        <v>573</v>
      </c>
      <c r="D4125" s="2" t="str">
        <f t="shared" si="63"/>
        <v>Error?</v>
      </c>
    </row>
    <row r="4126" spans="1:4" x14ac:dyDescent="0.2">
      <c r="A4126" s="5">
        <v>4065</v>
      </c>
      <c r="B4126" s="138">
        <f>'Acct Summary 7-8'!G10</f>
        <v>1973409</v>
      </c>
      <c r="C4126" s="2" t="s">
        <v>573</v>
      </c>
      <c r="D4126" s="2" t="str">
        <f t="shared" si="63"/>
        <v>Error?</v>
      </c>
    </row>
    <row r="4127" spans="1:4" x14ac:dyDescent="0.2">
      <c r="A4127" s="5">
        <v>4066</v>
      </c>
      <c r="B4127" s="138">
        <f>'Acct Summary 7-8'!H10</f>
        <v>609940</v>
      </c>
      <c r="C4127" s="2" t="s">
        <v>573</v>
      </c>
      <c r="D4127" s="2" t="str">
        <f t="shared" si="63"/>
        <v>Error?</v>
      </c>
    </row>
    <row r="4128" spans="1:4" x14ac:dyDescent="0.2">
      <c r="A4128" s="5">
        <v>4067</v>
      </c>
      <c r="B4128" s="138">
        <f>'Acct Summary 7-8'!I10</f>
        <v>85900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45631</v>
      </c>
      <c r="C4130" s="2" t="s">
        <v>573</v>
      </c>
      <c r="D4130" s="2" t="str">
        <f t="shared" si="63"/>
        <v>Error?</v>
      </c>
    </row>
    <row r="4131" spans="1:4" x14ac:dyDescent="0.2">
      <c r="A4131" s="5">
        <v>4070</v>
      </c>
      <c r="B4131" s="138">
        <f>'Acct Summary 7-8'!C18</f>
        <v>13915633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54149219</v>
      </c>
      <c r="C4136" s="2" t="s">
        <v>573</v>
      </c>
      <c r="D4136" s="2" t="str">
        <f t="shared" si="63"/>
        <v>Error?</v>
      </c>
    </row>
    <row r="4137" spans="1:4" x14ac:dyDescent="0.2">
      <c r="A4137" s="5">
        <v>4076</v>
      </c>
      <c r="B4137" s="138">
        <f>'Acct Summary 7-8'!D19</f>
        <v>2650293</v>
      </c>
      <c r="C4137" s="2" t="s">
        <v>573</v>
      </c>
      <c r="D4137" s="2" t="str">
        <f t="shared" si="63"/>
        <v>Error?</v>
      </c>
    </row>
    <row r="4138" spans="1:4" x14ac:dyDescent="0.2">
      <c r="A4138" s="5">
        <v>4077</v>
      </c>
      <c r="B4138" s="138">
        <f>'Acct Summary 7-8'!E19</f>
        <v>2385775</v>
      </c>
      <c r="C4138" s="2" t="s">
        <v>573</v>
      </c>
      <c r="D4138" s="2" t="str">
        <f t="shared" si="63"/>
        <v>Error?</v>
      </c>
    </row>
    <row r="4139" spans="1:4" x14ac:dyDescent="0.2">
      <c r="A4139" s="5">
        <v>4078</v>
      </c>
      <c r="B4139" s="138">
        <f>'Acct Summary 7-8'!F19</f>
        <v>2739034</v>
      </c>
      <c r="C4139" s="2" t="s">
        <v>573</v>
      </c>
      <c r="D4139" s="2" t="str">
        <f t="shared" si="63"/>
        <v>Error?</v>
      </c>
    </row>
    <row r="4140" spans="1:4" x14ac:dyDescent="0.2">
      <c r="A4140" s="5">
        <v>4079</v>
      </c>
      <c r="B4140" s="138">
        <f>'Acct Summary 7-8'!G19</f>
        <v>1958344</v>
      </c>
      <c r="C4140" s="2" t="s">
        <v>573</v>
      </c>
      <c r="D4140" s="2" t="str">
        <f t="shared" si="63"/>
        <v>Error?</v>
      </c>
    </row>
    <row r="4141" spans="1:4" x14ac:dyDescent="0.2">
      <c r="A4141" s="5">
        <v>4080</v>
      </c>
      <c r="B4141" s="138">
        <f>'Acct Summary 7-8'!H19</f>
        <v>493293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41059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7320531</v>
      </c>
      <c r="C4171" s="2" t="s">
        <v>573</v>
      </c>
      <c r="D4171" s="2" t="str">
        <f t="shared" si="64"/>
        <v>Error?</v>
      </c>
    </row>
    <row r="4172" spans="1:4" x14ac:dyDescent="0.2">
      <c r="A4172" s="5">
        <v>4111</v>
      </c>
      <c r="B4172" s="138">
        <f>'Short-Term Long-Term Debt 24'!J49</f>
        <v>7320531</v>
      </c>
      <c r="C4172" s="2" t="s">
        <v>573</v>
      </c>
      <c r="D4172" s="2" t="str">
        <f t="shared" si="64"/>
        <v>Error?</v>
      </c>
    </row>
    <row r="4173" spans="1:4" x14ac:dyDescent="0.2">
      <c r="A4173" s="5">
        <v>4112</v>
      </c>
      <c r="B4173" s="138">
        <f>'Short-Term Long-Term Debt 24'!H49</f>
        <v>2185000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2580</v>
      </c>
      <c r="C4265" s="2" t="s">
        <v>573</v>
      </c>
      <c r="D4265" s="2" t="str">
        <f t="shared" si="65"/>
        <v>Error?</v>
      </c>
      <c r="E4265" s="128"/>
    </row>
    <row r="4266" spans="1:5" x14ac:dyDescent="0.2">
      <c r="A4266" s="12">
        <v>4205</v>
      </c>
      <c r="B4266" s="138">
        <f>('FP Info 3'!F10)*100000</f>
        <v>375</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3155</v>
      </c>
      <c r="C4268" s="2" t="s">
        <v>573</v>
      </c>
      <c r="D4268" s="2" t="str">
        <f t="shared" si="65"/>
        <v>Error?</v>
      </c>
    </row>
    <row r="4269" spans="1:5" x14ac:dyDescent="0.2">
      <c r="A4269" s="12">
        <v>4208</v>
      </c>
      <c r="B4269" s="138">
        <f>'FP Info 3'!J16</f>
        <v>14171424</v>
      </c>
      <c r="C4269" s="2" t="s">
        <v>573</v>
      </c>
      <c r="D4269" s="2" t="str">
        <f t="shared" si="65"/>
        <v>Error?</v>
      </c>
    </row>
    <row r="4270" spans="1:5" x14ac:dyDescent="0.2">
      <c r="A4270" s="12">
        <v>4209</v>
      </c>
      <c r="B4270" s="138">
        <f>'FP Info 3'!D24</f>
        <v>1550005</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144086</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82</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120437</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137785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235438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936136</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22582</v>
      </c>
      <c r="D4410" s="2" t="str">
        <f t="shared" si="67"/>
        <v>Error?</v>
      </c>
    </row>
    <row r="4411" spans="1:5" x14ac:dyDescent="0.2">
      <c r="A4411" s="5">
        <v>4350</v>
      </c>
      <c r="B4411" s="138">
        <f>'Revenues 9-14'!C209</f>
        <v>1074025</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29510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289412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3012</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91913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177391</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73414009</v>
      </c>
      <c r="D4995" s="2" t="str">
        <f t="shared" si="77"/>
        <v>Error?</v>
      </c>
    </row>
    <row r="4996" spans="1:4" x14ac:dyDescent="0.2">
      <c r="A4996" s="12">
        <v>4935</v>
      </c>
      <c r="B4996" s="138">
        <f>'FP Info 3'!H31</f>
        <v>10131133.242000001</v>
      </c>
      <c r="D4996" s="2" t="str">
        <f t="shared" si="77"/>
        <v>Error?</v>
      </c>
    </row>
    <row r="4997" spans="1:4" x14ac:dyDescent="0.2">
      <c r="A4997" s="12">
        <v>4936</v>
      </c>
      <c r="B4997" s="138">
        <f>'FP Info 3'!H37</f>
        <v>7320531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33527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1730153</v>
      </c>
      <c r="D5061" s="2" t="str">
        <f t="shared" si="78"/>
        <v>Error?</v>
      </c>
    </row>
    <row r="5062" spans="1:4" x14ac:dyDescent="0.2">
      <c r="A5062" s="10">
        <v>5001</v>
      </c>
      <c r="D5062" s="2" t="str">
        <f t="shared" si="78"/>
        <v>OK</v>
      </c>
    </row>
    <row r="5063" spans="1:4" x14ac:dyDescent="0.2">
      <c r="A5063" s="5">
        <v>5002</v>
      </c>
      <c r="B5063" s="138">
        <f>'Revenues 9-14'!C7</f>
        <v>26827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1790507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1325836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1325836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3980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3980</v>
      </c>
      <c r="C5087" s="2" t="s">
        <v>573</v>
      </c>
      <c r="D5087" s="2" t="str">
        <f t="shared" si="78"/>
        <v>Error?</v>
      </c>
    </row>
    <row r="5088" spans="1:4" x14ac:dyDescent="0.2">
      <c r="A5088" s="5">
        <v>5027</v>
      </c>
      <c r="B5088" s="138">
        <f>'Revenues 9-14'!C65</f>
        <v>56539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56539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5167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5167</v>
      </c>
      <c r="C5096" s="2" t="s">
        <v>573</v>
      </c>
      <c r="D5096" s="2" t="str">
        <f t="shared" si="78"/>
        <v>Error?</v>
      </c>
    </row>
    <row r="5097" spans="1:4" x14ac:dyDescent="0.2">
      <c r="A5097" s="5">
        <v>5036</v>
      </c>
      <c r="B5097" s="138">
        <f>'Revenues 9-14'!C77</f>
        <v>8036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8036</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124518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175821</v>
      </c>
      <c r="D5119" s="2" t="str">
        <f t="shared" ref="D5119:D5182" si="79">IF(ISBLANK(B5119),"OK",IF(A5119-B5119=0,"OK","Error?"))</f>
        <v>Error?</v>
      </c>
    </row>
    <row r="5120" spans="1:4" x14ac:dyDescent="0.2">
      <c r="A5120" s="5">
        <v>5059</v>
      </c>
      <c r="B5120" s="138">
        <f>'Revenues 9-14'!C108</f>
        <v>305529</v>
      </c>
      <c r="C5120" s="2" t="s">
        <v>573</v>
      </c>
      <c r="D5120" s="2" t="str">
        <f t="shared" si="79"/>
        <v>Error?</v>
      </c>
    </row>
    <row r="5121" spans="1:4" x14ac:dyDescent="0.2">
      <c r="A5121" s="5">
        <v>5060</v>
      </c>
      <c r="B5121" s="138">
        <f>'Revenues 9-14'!C109</f>
        <v>3495594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26387399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26387399</v>
      </c>
      <c r="C5132" s="2" t="s">
        <v>573</v>
      </c>
      <c r="D5132" s="2" t="str">
        <f t="shared" si="79"/>
        <v>Error?</v>
      </c>
    </row>
    <row r="5133" spans="1:4" x14ac:dyDescent="0.2">
      <c r="A5133" s="5">
        <v>5072</v>
      </c>
      <c r="B5133" s="138">
        <f>'Revenues 9-14'!C125</f>
        <v>722867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172272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895139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22939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41564</v>
      </c>
      <c r="D5167" s="2" t="str">
        <f t="shared" si="79"/>
        <v>Error?</v>
      </c>
    </row>
    <row r="5168" spans="1:4" x14ac:dyDescent="0.2">
      <c r="A5168" s="5">
        <v>5107</v>
      </c>
      <c r="B5168" s="138">
        <f>'Revenues 9-14'!C148</f>
        <v>22705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65201</v>
      </c>
      <c r="D5194" s="2" t="str">
        <f t="shared" si="80"/>
        <v>Error?</v>
      </c>
    </row>
    <row r="5195" spans="1:5" x14ac:dyDescent="0.2">
      <c r="A5195" s="10">
        <v>5134</v>
      </c>
      <c r="D5195" s="2" t="str">
        <f t="shared" si="80"/>
        <v>OK</v>
      </c>
    </row>
    <row r="5196" spans="1:5" x14ac:dyDescent="0.2">
      <c r="A5196" s="5">
        <v>5135</v>
      </c>
      <c r="B5196" s="138">
        <f>'Revenues 9-14'!C159</f>
        <v>147560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1287021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27674420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1548300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657973</v>
      </c>
      <c r="D5241" s="2" t="str">
        <f t="shared" si="80"/>
        <v>Error?</v>
      </c>
    </row>
    <row r="5242" spans="1:4" x14ac:dyDescent="0.2">
      <c r="A5242" s="5">
        <v>5181</v>
      </c>
      <c r="B5242" s="138">
        <f>'Revenues 9-14'!C194</f>
        <v>41639</v>
      </c>
      <c r="D5242" s="2" t="str">
        <f t="shared" si="80"/>
        <v>Error?</v>
      </c>
    </row>
    <row r="5243" spans="1:4" x14ac:dyDescent="0.2">
      <c r="A5243" s="5">
        <v>5182</v>
      </c>
      <c r="B5243" s="138">
        <f>'Revenues 9-14'!C195</f>
        <v>173965</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2461705</v>
      </c>
      <c r="C5246" s="2" t="s">
        <v>573</v>
      </c>
      <c r="D5246" s="2" t="str">
        <f t="shared" si="80"/>
        <v>Error?</v>
      </c>
    </row>
    <row r="5247" spans="1:4" x14ac:dyDescent="0.2">
      <c r="A5247" s="5">
        <v>5186</v>
      </c>
      <c r="B5247" s="138">
        <f>'Revenues 9-14'!C200</f>
        <v>3307574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137889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3451660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28058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870676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898734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120437</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9533580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9533580</v>
      </c>
      <c r="C5326" s="2" t="s">
        <v>573</v>
      </c>
      <c r="D5326" s="2" t="str">
        <f t="shared" si="82"/>
        <v>Error?</v>
      </c>
    </row>
    <row r="5327" spans="1:5" x14ac:dyDescent="0.2">
      <c r="A5327" s="5">
        <v>5266</v>
      </c>
      <c r="B5327" s="138">
        <f>'Revenues 9-14'!C268</f>
        <v>40703594</v>
      </c>
      <c r="C5327" s="2" t="s">
        <v>573</v>
      </c>
      <c r="D5327" s="2" t="str">
        <f t="shared" si="82"/>
        <v>Error?</v>
      </c>
    </row>
    <row r="5328" spans="1:5" x14ac:dyDescent="0.2">
      <c r="A5328" s="5">
        <v>5267</v>
      </c>
      <c r="B5328" s="138">
        <f>'Revenues 9-14'!D5</f>
        <v>251478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251478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22230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22230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905</v>
      </c>
      <c r="D5354" s="2" t="str">
        <f t="shared" si="82"/>
        <v>Error?</v>
      </c>
    </row>
    <row r="5355" spans="1:4" x14ac:dyDescent="0.2">
      <c r="A5355" s="5">
        <v>5294</v>
      </c>
      <c r="B5355" s="138">
        <f>'Revenues 9-14'!D108</f>
        <v>905</v>
      </c>
      <c r="C5355" s="2" t="s">
        <v>573</v>
      </c>
      <c r="D5355" s="2" t="str">
        <f t="shared" si="82"/>
        <v>Error?</v>
      </c>
    </row>
    <row r="5356" spans="1:4" x14ac:dyDescent="0.2">
      <c r="A5356" s="5">
        <v>5295</v>
      </c>
      <c r="B5356" s="138">
        <f>'Revenues 9-14'!D109</f>
        <v>274613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2500000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2500000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2500000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2774613</v>
      </c>
      <c r="C5508" s="2" t="s">
        <v>573</v>
      </c>
      <c r="D5508" s="2" t="str">
        <f t="shared" si="85"/>
        <v>Error?</v>
      </c>
    </row>
    <row r="5509" spans="1:4" x14ac:dyDescent="0.2">
      <c r="A5509" s="5">
        <v>5448</v>
      </c>
      <c r="B5509" s="138">
        <f>'Revenues 9-14'!E5</f>
        <v>2313648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2313648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6407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6407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2320055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2320055</v>
      </c>
      <c r="C5552" s="2" t="s">
        <v>573</v>
      </c>
      <c r="D5552" s="2" t="str">
        <f t="shared" si="85"/>
        <v>Error?</v>
      </c>
    </row>
    <row r="5553" spans="1:4" x14ac:dyDescent="0.2">
      <c r="A5553" s="5">
        <v>5492</v>
      </c>
      <c r="B5553" s="138">
        <f>'Revenues 9-14'!F5</f>
        <v>134116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134116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200000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200000</v>
      </c>
      <c r="C5562" s="2" t="s">
        <v>573</v>
      </c>
      <c r="D5562" s="2" t="str">
        <f t="shared" si="85"/>
        <v>Error?</v>
      </c>
    </row>
    <row r="5563" spans="1:4" x14ac:dyDescent="0.2">
      <c r="A5563" s="5">
        <v>5502</v>
      </c>
      <c r="B5563" s="138">
        <f>'Revenues 9-14'!F42</f>
        <v>48572</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48572</v>
      </c>
      <c r="C5579" s="2" t="s">
        <v>573</v>
      </c>
      <c r="D5579" s="2" t="str">
        <f t="shared" si="86"/>
        <v>Error?</v>
      </c>
    </row>
    <row r="5580" spans="1:4" x14ac:dyDescent="0.2">
      <c r="A5580" s="5">
        <v>5519</v>
      </c>
      <c r="B5580" s="138">
        <f>'Revenues 9-14'!F65</f>
        <v>36276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36276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55983</v>
      </c>
      <c r="D5586" s="2" t="str">
        <f t="shared" si="86"/>
        <v>Error?</v>
      </c>
    </row>
    <row r="5587" spans="1:4" x14ac:dyDescent="0.2">
      <c r="A5587" s="5">
        <v>5526</v>
      </c>
      <c r="B5587" s="138">
        <f>'Revenues 9-14'!F108</f>
        <v>55983</v>
      </c>
      <c r="C5587" s="2" t="s">
        <v>573</v>
      </c>
      <c r="D5587" s="2" t="str">
        <f t="shared" si="86"/>
        <v>Error?</v>
      </c>
    </row>
    <row r="5588" spans="1:4" x14ac:dyDescent="0.2">
      <c r="A5588" s="5">
        <v>5527</v>
      </c>
      <c r="B5588" s="138">
        <f>'Revenues 9-14'!F109</f>
        <v>474947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1390000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1390000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1724628</v>
      </c>
      <c r="D5615" s="2" t="str">
        <f t="shared" si="86"/>
        <v>Error?</v>
      </c>
    </row>
    <row r="5616" spans="1:4" x14ac:dyDescent="0.2">
      <c r="A5616" s="10">
        <v>5555</v>
      </c>
      <c r="D5616" s="2" t="str">
        <f t="shared" si="86"/>
        <v>OK</v>
      </c>
    </row>
    <row r="5617" spans="1:5" x14ac:dyDescent="0.2">
      <c r="A5617" s="5">
        <v>5556</v>
      </c>
      <c r="B5617" s="138">
        <f>'Revenues 9-14'!F153</f>
        <v>752013</v>
      </c>
      <c r="D5617" s="2" t="str">
        <f t="shared" si="86"/>
        <v>Error?</v>
      </c>
    </row>
    <row r="5618" spans="1:5" x14ac:dyDescent="0.2">
      <c r="A5618" s="5">
        <v>5557</v>
      </c>
      <c r="B5618" s="138">
        <f>'Revenues 9-14'!F155</f>
        <v>2476641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2476641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3866641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4341588</v>
      </c>
      <c r="C5720" s="2" t="s">
        <v>573</v>
      </c>
      <c r="D5720" s="2" t="str">
        <f t="shared" si="88"/>
        <v>Error?</v>
      </c>
    </row>
    <row r="5721" spans="1:4" x14ac:dyDescent="0.2">
      <c r="A5721" s="5">
        <v>5660</v>
      </c>
      <c r="B5721" s="138">
        <f>'Revenues 9-14'!G5</f>
        <v>722908</v>
      </c>
      <c r="D5721" s="2" t="str">
        <f t="shared" si="88"/>
        <v>Error?</v>
      </c>
    </row>
    <row r="5722" spans="1:4" x14ac:dyDescent="0.2">
      <c r="A5722" s="5">
        <v>5661</v>
      </c>
      <c r="B5722" s="138">
        <f>'Revenues 9-14'!G7</f>
        <v>0</v>
      </c>
      <c r="D5722" s="2" t="str">
        <f t="shared" si="88"/>
        <v>Error?</v>
      </c>
    </row>
    <row r="5723" spans="1:4" x14ac:dyDescent="0.2">
      <c r="A5723" s="5">
        <v>5662</v>
      </c>
      <c r="B5723" s="138">
        <f>'Revenues 9-14'!G8</f>
        <v>526359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1249267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396000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396000</v>
      </c>
      <c r="C5730" s="2" t="s">
        <v>573</v>
      </c>
      <c r="D5730" s="2" t="str">
        <f t="shared" si="88"/>
        <v>Error?</v>
      </c>
    </row>
    <row r="5731" spans="1:4" x14ac:dyDescent="0.2">
      <c r="A5731" s="5">
        <v>5670</v>
      </c>
      <c r="B5731" s="138">
        <f>'Revenues 9-14'!G65</f>
        <v>11223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11223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3405</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3405</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3405</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161355</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6928</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161437</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3396</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77208</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80604</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313514</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313514</v>
      </c>
      <c r="C5869" s="2" t="s">
        <v>573</v>
      </c>
      <c r="D5869" s="2" t="str">
        <f t="shared" si="90"/>
        <v>Error?</v>
      </c>
    </row>
    <row r="5870" spans="1:4" x14ac:dyDescent="0.2">
      <c r="A5870" s="5">
        <v>5809</v>
      </c>
      <c r="B5870" s="138">
        <f>'Revenues 9-14'!G268</f>
        <v>1973409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9940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9940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600000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609940</v>
      </c>
      <c r="C5915" s="2" t="s">
        <v>573</v>
      </c>
      <c r="D5915" s="2" t="str">
        <f t="shared" si="91"/>
        <v>Error?</v>
      </c>
    </row>
    <row r="5916" spans="1:4" x14ac:dyDescent="0.2">
      <c r="A5916" s="5">
        <v>5855</v>
      </c>
      <c r="B5916" s="138">
        <f>'Revenues 9-14'!I5</f>
        <v>33527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33527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52373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52373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85900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33527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33527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12104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12104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45631</v>
      </c>
      <c r="C6023" s="2" t="s">
        <v>573</v>
      </c>
      <c r="D6023" s="2" t="str">
        <f t="shared" si="93"/>
        <v>Error?</v>
      </c>
    </row>
    <row r="6024" spans="1:5" x14ac:dyDescent="0.2">
      <c r="A6024" s="5">
        <v>5963</v>
      </c>
      <c r="B6024" s="138">
        <f>'Revenues 9-14'!G109</f>
        <v>1656490</v>
      </c>
      <c r="C6024" s="2" t="s">
        <v>573</v>
      </c>
      <c r="D6024" s="2" t="str">
        <f t="shared" si="93"/>
        <v>Error?</v>
      </c>
    </row>
    <row r="6025" spans="1:5" x14ac:dyDescent="0.2">
      <c r="A6025" s="5">
        <v>5964</v>
      </c>
      <c r="B6025" s="138">
        <f>'Revenues 9-14'!H109</f>
        <v>609940</v>
      </c>
      <c r="C6025" s="2" t="s">
        <v>573</v>
      </c>
      <c r="D6025" s="2" t="str">
        <f t="shared" si="93"/>
        <v>Error?</v>
      </c>
    </row>
    <row r="6026" spans="1:5" x14ac:dyDescent="0.2">
      <c r="A6026" s="5">
        <v>5965</v>
      </c>
      <c r="B6026" s="138">
        <f>'Revenues 9-14'!I109</f>
        <v>85900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45631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144377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2928.8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1801492</v>
      </c>
      <c r="D6076" s="2" t="str">
        <f t="shared" si="93"/>
        <v>Error?</v>
      </c>
      <c r="E6076" s="2" t="s">
        <v>930</v>
      </c>
    </row>
    <row r="6077" spans="1:5" x14ac:dyDescent="0.2">
      <c r="A6077">
        <v>6016</v>
      </c>
      <c r="B6077" s="138">
        <f>'Short-Term Long-Term Debt 24'!D27</f>
        <v>408214</v>
      </c>
      <c r="D6077" s="2" t="str">
        <f t="shared" si="93"/>
        <v>Error?</v>
      </c>
      <c r="E6077" s="2" t="s">
        <v>930</v>
      </c>
    </row>
    <row r="6078" spans="1:5" x14ac:dyDescent="0.2">
      <c r="A6078">
        <v>6017</v>
      </c>
      <c r="B6078" s="138">
        <f>'Short-Term Long-Term Debt 24'!E27</f>
        <v>659701</v>
      </c>
      <c r="D6078" s="2" t="str">
        <f t="shared" si="93"/>
        <v>Error?</v>
      </c>
      <c r="E6078" s="2" t="s">
        <v>930</v>
      </c>
    </row>
    <row r="6079" spans="1:5" x14ac:dyDescent="0.2">
      <c r="A6079">
        <v>6018</v>
      </c>
      <c r="B6079" s="138">
        <f>'Short-Term Long-Term Debt 24'!F27</f>
        <v>1550005</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2415857</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496021</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18875</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3396989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276130</v>
      </c>
      <c r="D6142" s="2" t="str">
        <f t="shared" si="94"/>
        <v>Error?</v>
      </c>
      <c r="E6142" s="2" t="s">
        <v>190</v>
      </c>
    </row>
    <row r="6143" spans="1:5" x14ac:dyDescent="0.2">
      <c r="A6143">
        <v>6082</v>
      </c>
      <c r="B6143" s="138">
        <f>'Assets-Liab 5-6'!D27</f>
        <v>61847</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2331</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31532</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34173</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1053155</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5192</v>
      </c>
      <c r="D6180" s="2" t="str">
        <f t="shared" si="95"/>
        <v>Error?</v>
      </c>
      <c r="E6180" s="2" t="s">
        <v>190</v>
      </c>
    </row>
    <row r="6181" spans="1:5" x14ac:dyDescent="0.2">
      <c r="A6181">
        <v>6120</v>
      </c>
      <c r="B6181" s="138">
        <f>'Assets-Liab 5-6'!J32</f>
        <v>2840792</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2880157</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516832</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3396989</v>
      </c>
      <c r="D6216" s="2" t="str">
        <f t="shared" si="96"/>
        <v>Error?</v>
      </c>
      <c r="E6216" s="2" t="s">
        <v>190</v>
      </c>
    </row>
    <row r="6217" spans="1:5" x14ac:dyDescent="0.2">
      <c r="A6217">
        <v>6156</v>
      </c>
      <c r="B6217" s="138">
        <f>'Assets-Liab 5-6'!J4</f>
        <v>1075204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2302910</v>
      </c>
      <c r="D6219" s="2" t="str">
        <f t="shared" si="96"/>
        <v>Error?</v>
      </c>
      <c r="E6219" s="2" t="s">
        <v>190</v>
      </c>
    </row>
    <row r="6220" spans="1:5" x14ac:dyDescent="0.2">
      <c r="A6220">
        <v>6159</v>
      </c>
      <c r="B6220" s="138">
        <f>'Acct Summary 7-8'!J4</f>
        <v>2839344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2839344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2839344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2087100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2087100</v>
      </c>
      <c r="D6229" s="2" t="str">
        <f t="shared" si="96"/>
        <v>Error?</v>
      </c>
      <c r="E6229" s="2" t="s">
        <v>190</v>
      </c>
    </row>
    <row r="6230" spans="1:5" x14ac:dyDescent="0.2">
      <c r="A6230">
        <v>6169</v>
      </c>
      <c r="B6230" s="138">
        <f>'Acct Summary 7-8'!J20</f>
        <v>752244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752244</v>
      </c>
      <c r="D6263" s="2" t="str">
        <f t="shared" si="96"/>
        <v>Error?</v>
      </c>
      <c r="E6263" s="2" t="s">
        <v>190</v>
      </c>
    </row>
    <row r="6264" spans="1:5" x14ac:dyDescent="0.2">
      <c r="A6264">
        <v>6203</v>
      </c>
      <c r="B6264" s="138">
        <f>'Acct Summary 7-8'!J79</f>
        <v>-235412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516832</v>
      </c>
      <c r="D6266" s="2" t="str">
        <f t="shared" si="96"/>
        <v>Error?</v>
      </c>
      <c r="E6266" s="2" t="s">
        <v>190</v>
      </c>
    </row>
    <row r="6267" spans="1:5" x14ac:dyDescent="0.2">
      <c r="A6267">
        <v>6206</v>
      </c>
      <c r="B6267" s="138">
        <f>'Acct Summary 7-8'!C82</f>
        <v>470008</v>
      </c>
      <c r="D6267" s="2" t="str">
        <f t="shared" si="96"/>
        <v>Error?</v>
      </c>
      <c r="E6267" s="2" t="s">
        <v>190</v>
      </c>
    </row>
    <row r="6268" spans="1:5" x14ac:dyDescent="0.2">
      <c r="A6268">
        <v>6207</v>
      </c>
      <c r="B6268" s="138">
        <f>'Acct Summary 7-8'!D82</f>
        <v>124320</v>
      </c>
      <c r="D6268" s="2" t="str">
        <f t="shared" si="96"/>
        <v>Error?</v>
      </c>
      <c r="E6268" s="2" t="s">
        <v>190</v>
      </c>
    </row>
    <row r="6269" spans="1:5" x14ac:dyDescent="0.2">
      <c r="A6269">
        <v>6208</v>
      </c>
      <c r="B6269" s="138">
        <f>'Acct Summary 7-8'!E82</f>
        <v>-65720</v>
      </c>
      <c r="D6269" s="2" t="str">
        <f t="shared" si="96"/>
        <v>Error?</v>
      </c>
      <c r="E6269" s="2" t="s">
        <v>190</v>
      </c>
    </row>
    <row r="6270" spans="1:5" x14ac:dyDescent="0.2">
      <c r="A6270">
        <v>6209</v>
      </c>
      <c r="B6270" s="138">
        <f>'Acct Summary 7-8'!F82</f>
        <v>1602554</v>
      </c>
      <c r="D6270" s="2" t="str">
        <f t="shared" si="96"/>
        <v>Error?</v>
      </c>
      <c r="E6270" s="2" t="s">
        <v>190</v>
      </c>
    </row>
    <row r="6271" spans="1:5" x14ac:dyDescent="0.2">
      <c r="A6271">
        <v>6210</v>
      </c>
      <c r="B6271" s="138">
        <f>'Acct Summary 7-8'!G82</f>
        <v>15065</v>
      </c>
      <c r="D6271" s="2" t="str">
        <f t="shared" ref="D6271:D6334" si="97">IF(ISBLANK(B6271),"OK",IF(A6271-B6271=0,"OK","Error?"))</f>
        <v>Error?</v>
      </c>
      <c r="E6271" s="2" t="s">
        <v>190</v>
      </c>
    </row>
    <row r="6272" spans="1:5" x14ac:dyDescent="0.2">
      <c r="A6272">
        <v>6211</v>
      </c>
      <c r="B6272" s="138">
        <f>'Acct Summary 7-8'!H82</f>
        <v>116647</v>
      </c>
      <c r="D6272" s="2" t="str">
        <f t="shared" si="97"/>
        <v>Error?</v>
      </c>
      <c r="E6272" s="2" t="s">
        <v>190</v>
      </c>
    </row>
    <row r="6273" spans="1:5" x14ac:dyDescent="0.2">
      <c r="A6273">
        <v>6212</v>
      </c>
      <c r="B6273" s="138">
        <f>'Acct Summary 7-8'!I82</f>
        <v>85900</v>
      </c>
      <c r="D6273" s="2" t="str">
        <f t="shared" si="97"/>
        <v>Error?</v>
      </c>
      <c r="E6273" s="2" t="s">
        <v>190</v>
      </c>
    </row>
    <row r="6274" spans="1:5" x14ac:dyDescent="0.2">
      <c r="A6274">
        <v>6213</v>
      </c>
      <c r="B6274" s="138">
        <f>'Acct Summary 7-8'!J82</f>
        <v>752244</v>
      </c>
      <c r="D6274" s="2" t="str">
        <f t="shared" si="97"/>
        <v>Error?</v>
      </c>
      <c r="E6274" s="2" t="s">
        <v>190</v>
      </c>
    </row>
    <row r="6275" spans="1:5" x14ac:dyDescent="0.2">
      <c r="A6275">
        <v>6214</v>
      </c>
      <c r="B6275" s="138">
        <f>'Acct Summary 7-8'!K82</f>
        <v>4572</v>
      </c>
      <c r="D6275" s="2" t="str">
        <f t="shared" si="97"/>
        <v>Error?</v>
      </c>
      <c r="E6275" s="2" t="s">
        <v>190</v>
      </c>
    </row>
    <row r="6276" spans="1:5" x14ac:dyDescent="0.2">
      <c r="A6276">
        <v>6215</v>
      </c>
      <c r="B6276" s="138">
        <f>'Acct Summary 7-8'!C83</f>
        <v>7.6727682092912697E-2</v>
      </c>
      <c r="D6276" s="2" t="str">
        <f t="shared" si="97"/>
        <v>Error?</v>
      </c>
      <c r="E6276" s="2" t="s">
        <v>190</v>
      </c>
    </row>
    <row r="6277" spans="1:5" x14ac:dyDescent="0.2">
      <c r="A6277">
        <v>6216</v>
      </c>
      <c r="B6277" s="138">
        <f>'Acct Summary 7-8'!D83</f>
        <v>0.17971005274790722</v>
      </c>
      <c r="D6277" s="2" t="str">
        <f t="shared" si="97"/>
        <v>Error?</v>
      </c>
      <c r="E6277" s="2" t="s">
        <v>190</v>
      </c>
    </row>
    <row r="6278" spans="1:5" x14ac:dyDescent="0.2">
      <c r="A6278">
        <v>6217</v>
      </c>
      <c r="B6278" s="138">
        <f>'Acct Summary 7-8'!E83</f>
        <v>0.17353281333340376</v>
      </c>
      <c r="D6278" s="2" t="str">
        <f t="shared" si="97"/>
        <v>Error?</v>
      </c>
      <c r="E6278" s="2" t="s">
        <v>190</v>
      </c>
    </row>
    <row r="6279" spans="1:5" x14ac:dyDescent="0.2">
      <c r="A6279">
        <v>6218</v>
      </c>
      <c r="B6279" s="138">
        <f>'Acct Summary 7-8'!F83</f>
        <v>0.50944791376585197</v>
      </c>
      <c r="D6279" s="2" t="str">
        <f t="shared" si="97"/>
        <v>Error?</v>
      </c>
      <c r="E6279" s="2" t="s">
        <v>190</v>
      </c>
    </row>
    <row r="6280" spans="1:5" x14ac:dyDescent="0.2">
      <c r="A6280">
        <v>6219</v>
      </c>
      <c r="B6280" s="138">
        <f>'Acct Summary 7-8'!G83</f>
        <v>1.4986515617710052E-2</v>
      </c>
      <c r="D6280" s="2" t="str">
        <f t="shared" si="97"/>
        <v>Error?</v>
      </c>
      <c r="E6280" s="2" t="s">
        <v>190</v>
      </c>
    </row>
    <row r="6281" spans="1:5" x14ac:dyDescent="0.2">
      <c r="A6281">
        <v>6220</v>
      </c>
      <c r="B6281" s="138">
        <f>'Acct Summary 7-8'!H83</f>
        <v>0.12262896346687777</v>
      </c>
      <c r="D6281" s="2" t="str">
        <f t="shared" si="97"/>
        <v>Error?</v>
      </c>
      <c r="E6281" s="2" t="s">
        <v>190</v>
      </c>
    </row>
    <row r="6282" spans="1:5" x14ac:dyDescent="0.2">
      <c r="A6282">
        <v>6221</v>
      </c>
      <c r="B6282" s="138">
        <f>'Acct Summary 7-8'!I83</f>
        <v>2.0411989513132466E-2</v>
      </c>
      <c r="D6282" s="2" t="str">
        <f t="shared" si="97"/>
        <v>Error?</v>
      </c>
      <c r="E6282" s="2" t="s">
        <v>190</v>
      </c>
    </row>
    <row r="6283" spans="1:5" x14ac:dyDescent="0.2">
      <c r="A6283">
        <v>6222</v>
      </c>
      <c r="B6283" s="138">
        <f>'Acct Summary 7-8'!J83</f>
        <v>1.4554903721131818</v>
      </c>
      <c r="D6283" s="2" t="str">
        <f t="shared" si="97"/>
        <v>Error?</v>
      </c>
      <c r="E6283" s="2" t="s">
        <v>190</v>
      </c>
    </row>
    <row r="6284" spans="1:5" x14ac:dyDescent="0.2">
      <c r="A6284">
        <v>6223</v>
      </c>
      <c r="B6284" s="138">
        <f>'Acct Summary 7-8'!K83</f>
        <v>4.8241485989710172E-3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2751081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2751081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12205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12205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600000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5190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76058</v>
      </c>
      <c r="D6350" s="2" t="str">
        <f t="shared" si="98"/>
        <v>Error?</v>
      </c>
      <c r="E6350" s="2" t="s">
        <v>190</v>
      </c>
    </row>
    <row r="6351" spans="1:5" x14ac:dyDescent="0.2">
      <c r="A6351">
        <v>6290</v>
      </c>
      <c r="B6351" s="138">
        <f>'Revenues 9-14'!J108</f>
        <v>76058</v>
      </c>
      <c r="D6351" s="2" t="str">
        <f t="shared" si="98"/>
        <v>Error?</v>
      </c>
      <c r="E6351" s="2" t="s">
        <v>190</v>
      </c>
    </row>
    <row r="6352" spans="1:5" x14ac:dyDescent="0.2">
      <c r="A6352">
        <v>6291</v>
      </c>
      <c r="B6352" s="138">
        <f>'Revenues 9-14'!J109</f>
        <v>2839344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22939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22653</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36345</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446477</v>
      </c>
      <c r="D6853" s="2" t="str">
        <f t="shared" si="106"/>
        <v>Error?</v>
      </c>
    </row>
    <row r="6854" spans="1:4" x14ac:dyDescent="0.2">
      <c r="A6854">
        <v>6793</v>
      </c>
      <c r="B6854" s="138">
        <f>'Expenditures 15-22'!I10</f>
        <v>46772</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9636</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9500</v>
      </c>
      <c r="D6876" s="2" t="str">
        <f t="shared" si="106"/>
        <v>Error?</v>
      </c>
    </row>
    <row r="6877" spans="1:4" x14ac:dyDescent="0.2">
      <c r="A6877">
        <v>6816</v>
      </c>
      <c r="B6877" s="138">
        <f>'Expenditures 15-22'!K20</f>
        <v>9500</v>
      </c>
      <c r="D6877" s="2" t="str">
        <f t="shared" si="106"/>
        <v>Error?</v>
      </c>
    </row>
    <row r="6878" spans="1:4" x14ac:dyDescent="0.2">
      <c r="A6878">
        <v>6817</v>
      </c>
      <c r="B6878" s="138">
        <f>'Expenditures 15-22'!H21</f>
        <v>32010</v>
      </c>
      <c r="D6878" s="2" t="str">
        <f t="shared" si="106"/>
        <v>Error?</v>
      </c>
    </row>
    <row r="6879" spans="1:4" x14ac:dyDescent="0.2">
      <c r="A6879">
        <v>6818</v>
      </c>
      <c r="B6879" s="138">
        <f>'Expenditures 15-22'!K21</f>
        <v>32010</v>
      </c>
      <c r="D6879" s="2" t="str">
        <f t="shared" si="106"/>
        <v>Error?</v>
      </c>
    </row>
    <row r="6880" spans="1:4" x14ac:dyDescent="0.2">
      <c r="A6880">
        <v>6819</v>
      </c>
      <c r="B6880" s="138">
        <f>'Expenditures 15-22'!H22</f>
        <v>1615728</v>
      </c>
      <c r="D6880" s="2" t="str">
        <f t="shared" si="106"/>
        <v>Error?</v>
      </c>
    </row>
    <row r="6881" spans="1:4" x14ac:dyDescent="0.2">
      <c r="A6881">
        <v>6820</v>
      </c>
      <c r="B6881" s="138">
        <f>'Expenditures 15-22'!K22</f>
        <v>1615728</v>
      </c>
      <c r="D6881" s="2" t="str">
        <f t="shared" si="106"/>
        <v>Error?</v>
      </c>
    </row>
    <row r="6882" spans="1:4" x14ac:dyDescent="0.2">
      <c r="A6882">
        <v>6821</v>
      </c>
      <c r="B6882" s="138">
        <f>'Expenditures 15-22'!H23</f>
        <v>124467</v>
      </c>
      <c r="D6882" s="2" t="str">
        <f t="shared" si="106"/>
        <v>Error?</v>
      </c>
    </row>
    <row r="6883" spans="1:4" x14ac:dyDescent="0.2">
      <c r="A6883">
        <v>6822</v>
      </c>
      <c r="B6883" s="138">
        <f>'Expenditures 15-22'!K23</f>
        <v>124467</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115406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4091</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4091</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849</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5148</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5997</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10088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899</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126393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2087100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2839344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24859</v>
      </c>
      <c r="D7089" s="2" t="str">
        <f t="shared" si="109"/>
        <v>Error?</v>
      </c>
    </row>
    <row r="7090" spans="1:4" x14ac:dyDescent="0.2">
      <c r="A7090">
        <v>7029</v>
      </c>
      <c r="B7090" s="138">
        <f>'Expenditures 15-22'!K252</f>
        <v>24859</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89934</v>
      </c>
      <c r="D7093" s="2" t="str">
        <f t="shared" si="109"/>
        <v>Error?</v>
      </c>
    </row>
    <row r="7094" spans="1:4" x14ac:dyDescent="0.2">
      <c r="A7094">
        <v>7033</v>
      </c>
      <c r="B7094" s="138">
        <f>'Expenditures 15-22'!K254</f>
        <v>89934</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45222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45222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855662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855662</v>
      </c>
      <c r="D7153" s="2" t="str">
        <f t="shared" si="110"/>
        <v>Error?</v>
      </c>
    </row>
    <row r="7154" spans="1:4" x14ac:dyDescent="0.2">
      <c r="A7154">
        <v>7093</v>
      </c>
      <c r="B7154" s="138">
        <f>'Expenditures 15-22'!C323</f>
        <v>139637</v>
      </c>
      <c r="D7154" s="2" t="str">
        <f t="shared" si="110"/>
        <v>Error?</v>
      </c>
    </row>
    <row r="7155" spans="1:4" x14ac:dyDescent="0.2">
      <c r="A7155">
        <v>7094</v>
      </c>
      <c r="B7155" s="138">
        <f>'Expenditures 15-22'!D323</f>
        <v>20830</v>
      </c>
      <c r="D7155" s="2" t="str">
        <f t="shared" si="110"/>
        <v>Error?</v>
      </c>
    </row>
    <row r="7156" spans="1:4" x14ac:dyDescent="0.2">
      <c r="A7156">
        <v>7095</v>
      </c>
      <c r="B7156" s="138">
        <f>'Expenditures 15-22'!E323</f>
        <v>5304</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165771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553890</v>
      </c>
      <c r="D7172" s="2" t="str">
        <f t="shared" si="111"/>
        <v>Error?</v>
      </c>
    </row>
    <row r="7173" spans="1:4" x14ac:dyDescent="0.2">
      <c r="A7173">
        <v>7112</v>
      </c>
      <c r="B7173" s="138">
        <f>'Expenditures 15-22'!D325</f>
        <v>125488</v>
      </c>
      <c r="D7173" s="2" t="str">
        <f t="shared" si="111"/>
        <v>Error?</v>
      </c>
    </row>
    <row r="7174" spans="1:4" x14ac:dyDescent="0.2">
      <c r="A7174">
        <v>7113</v>
      </c>
      <c r="B7174" s="138">
        <f>'Expenditures 15-22'!E325</f>
        <v>107826</v>
      </c>
      <c r="D7174" s="2" t="str">
        <f t="shared" si="111"/>
        <v>Error?</v>
      </c>
    </row>
    <row r="7175" spans="1:4" x14ac:dyDescent="0.2">
      <c r="A7175">
        <v>7114</v>
      </c>
      <c r="B7175" s="138">
        <f>'Expenditures 15-22'!F325</f>
        <v>18148</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805352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215093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215093</v>
      </c>
      <c r="D7198" s="2" t="str">
        <f t="shared" si="111"/>
        <v>Error?</v>
      </c>
    </row>
    <row r="7199" spans="1:4" x14ac:dyDescent="0.2">
      <c r="A7199">
        <v>7138</v>
      </c>
      <c r="B7199" s="138">
        <f>'Expenditures 15-22'!C330</f>
        <v>693527</v>
      </c>
      <c r="D7199" s="2" t="str">
        <f t="shared" si="111"/>
        <v>Error?</v>
      </c>
    </row>
    <row r="7200" spans="1:4" x14ac:dyDescent="0.2">
      <c r="A7200">
        <v>7139</v>
      </c>
      <c r="B7200" s="138">
        <f>'Expenditures 15-22'!D330</f>
        <v>146318</v>
      </c>
      <c r="D7200" s="2" t="str">
        <f t="shared" si="111"/>
        <v>Error?</v>
      </c>
    </row>
    <row r="7201" spans="1:4" x14ac:dyDescent="0.2">
      <c r="A7201">
        <v>7140</v>
      </c>
      <c r="B7201" s="138">
        <f>'Expenditures 15-22'!E330</f>
        <v>1229107</v>
      </c>
      <c r="D7201" s="2" t="str">
        <f t="shared" si="111"/>
        <v>Error?</v>
      </c>
    </row>
    <row r="7202" spans="1:4" x14ac:dyDescent="0.2">
      <c r="A7202">
        <v>7141</v>
      </c>
      <c r="B7202" s="138">
        <f>'Expenditures 15-22'!F330</f>
        <v>18148</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2087100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693527</v>
      </c>
      <c r="D7216" s="2" t="str">
        <f t="shared" si="111"/>
        <v>Error?</v>
      </c>
    </row>
    <row r="7217" spans="1:4" x14ac:dyDescent="0.2">
      <c r="A7217">
        <v>7156</v>
      </c>
      <c r="B7217" s="138">
        <f>'Expenditures 15-22'!D342</f>
        <v>146318</v>
      </c>
      <c r="D7217" s="2" t="str">
        <f t="shared" si="111"/>
        <v>Error?</v>
      </c>
    </row>
    <row r="7218" spans="1:4" x14ac:dyDescent="0.2">
      <c r="A7218">
        <v>7157</v>
      </c>
      <c r="B7218" s="138">
        <f>'Expenditures 15-22'!E342</f>
        <v>1229107</v>
      </c>
      <c r="D7218" s="2" t="str">
        <f t="shared" si="111"/>
        <v>Error?</v>
      </c>
    </row>
    <row r="7219" spans="1:4" x14ac:dyDescent="0.2">
      <c r="A7219">
        <v>7158</v>
      </c>
      <c r="B7219" s="138">
        <f>'Expenditures 15-22'!F342</f>
        <v>18148</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2087100</v>
      </c>
      <c r="D7224" s="2" t="str">
        <f t="shared" si="111"/>
        <v>Error?</v>
      </c>
    </row>
    <row r="7225" spans="1:4" x14ac:dyDescent="0.2">
      <c r="A7225">
        <v>7164</v>
      </c>
      <c r="B7225" s="138">
        <f>'Expenditures 15-22'!K343</f>
        <v>752244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308748</v>
      </c>
      <c r="D7251" s="2" t="str">
        <f t="shared" si="112"/>
        <v>Error?</v>
      </c>
    </row>
    <row r="7252" spans="1:4" x14ac:dyDescent="0.2">
      <c r="A7252">
        <f t="shared" si="113"/>
        <v>7191</v>
      </c>
      <c r="B7252" s="138">
        <f>'Expenditures 15-22'!D9</f>
        <v>94261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7123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126393</v>
      </c>
      <c r="D7624" s="2" t="str">
        <f t="shared" si="124"/>
        <v>Error?</v>
      </c>
      <c r="E7624" s="2" t="s">
        <v>19</v>
      </c>
    </row>
    <row r="7625" spans="1:5" x14ac:dyDescent="0.2">
      <c r="A7625">
        <f t="shared" si="123"/>
        <v>7564</v>
      </c>
      <c r="B7625" s="138">
        <f>'Cap Outlay Deprec 26'!I17</f>
        <v>12639.3</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699713.3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39828</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5190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5190</v>
      </c>
      <c r="D7719" s="2" t="str">
        <f t="shared" si="126"/>
        <v>Error?</v>
      </c>
      <c r="E7719" s="2" t="s">
        <v>827</v>
      </c>
    </row>
    <row r="7720" spans="1:6" x14ac:dyDescent="0.2">
      <c r="A7720">
        <v>7659</v>
      </c>
      <c r="B7720" s="138">
        <f>'Rest Tax Levies-Tort Im 25'!H14</f>
        <v>26827</v>
      </c>
      <c r="D7720" s="2" t="str">
        <f t="shared" si="126"/>
        <v>Error?</v>
      </c>
      <c r="E7720" s="2" t="s">
        <v>827</v>
      </c>
    </row>
    <row r="7721" spans="1:6" x14ac:dyDescent="0.2">
      <c r="A7721">
        <v>7660</v>
      </c>
      <c r="B7721" s="138">
        <f>'Rest Tax Levies-Tort Im 25'!K14</f>
        <v>5190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686993</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38951</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4291548</v>
      </c>
      <c r="D7797" s="2" t="str">
        <f t="shared" si="127"/>
        <v>Error?</v>
      </c>
      <c r="E7797" s="4" t="s">
        <v>1900</v>
      </c>
    </row>
    <row r="7798" spans="1:5" x14ac:dyDescent="0.2">
      <c r="A7798">
        <v>7737</v>
      </c>
      <c r="B7798" s="138">
        <f>'Contracts Paid in CY 29'!F142</f>
        <v>150000</v>
      </c>
      <c r="D7798" s="2" t="str">
        <f t="shared" si="127"/>
        <v>Error?</v>
      </c>
      <c r="E7798" s="4" t="s">
        <v>1900</v>
      </c>
    </row>
    <row r="7799" spans="1:5" x14ac:dyDescent="0.2">
      <c r="A7799">
        <v>7738</v>
      </c>
      <c r="B7799" s="138">
        <f>'Contracts Paid in CY 29'!G142</f>
        <v>4141548</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2" zoomScale="110" zoomScaleNormal="110" workbookViewId="0">
      <selection activeCell="B5" sqref="B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519" t="s">
        <v>1191</v>
      </c>
      <c r="B2" s="2519"/>
      <c r="C2" s="2519"/>
      <c r="D2" s="2519"/>
      <c r="E2" s="2519"/>
      <c r="F2" s="2519"/>
      <c r="G2" s="2519"/>
      <c r="H2" s="2519"/>
      <c r="I2" s="2519"/>
      <c r="J2" s="2519"/>
      <c r="K2" s="2519"/>
      <c r="L2" s="2519"/>
    </row>
    <row r="3" spans="1:29" ht="13.5" customHeight="1" x14ac:dyDescent="0.2">
      <c r="A3" s="2505" t="s">
        <v>1190</v>
      </c>
      <c r="B3" s="2505"/>
      <c r="C3" s="2505"/>
      <c r="D3" s="2505"/>
      <c r="E3" s="2505"/>
      <c r="F3" s="2505"/>
      <c r="G3" s="2505"/>
      <c r="H3" s="2505"/>
      <c r="I3" s="2505"/>
      <c r="J3" s="2505"/>
      <c r="K3" s="2505"/>
      <c r="L3" s="2505"/>
    </row>
    <row r="4" spans="1:29" ht="13.5" customHeight="1" x14ac:dyDescent="0.2">
      <c r="A4" s="2519" t="s">
        <v>1984</v>
      </c>
      <c r="B4" s="2536"/>
      <c r="C4" s="2536"/>
      <c r="D4" s="2536"/>
      <c r="E4" s="2536"/>
      <c r="F4" s="2536"/>
      <c r="G4" s="2536"/>
      <c r="H4" s="2536"/>
      <c r="I4" s="2536"/>
      <c r="J4" s="2536"/>
      <c r="K4" s="2536"/>
      <c r="L4" s="253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99" t="str">
        <f>COVER!A17</f>
        <v>Cahokia CUSD 187</v>
      </c>
      <c r="B7" s="2500"/>
      <c r="C7" s="2500"/>
      <c r="D7" s="2537"/>
      <c r="E7" s="2538">
        <f>COVER!A13</f>
        <v>50082187026</v>
      </c>
      <c r="F7" s="2539"/>
      <c r="G7" s="2506" t="str">
        <f>COVER!T23</f>
        <v>065-26956</v>
      </c>
      <c r="H7" s="2507"/>
      <c r="I7" s="2507"/>
      <c r="J7" s="2507"/>
      <c r="K7" s="2507"/>
      <c r="L7" s="250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509"/>
      <c r="B9" s="2510"/>
      <c r="C9" s="2510"/>
      <c r="D9" s="2510"/>
      <c r="E9" s="2510"/>
      <c r="F9" s="2511"/>
      <c r="G9" s="2512" t="str">
        <f>COVER!T13</f>
        <v>SCHEFFEL BOYLE</v>
      </c>
      <c r="H9" s="2513"/>
      <c r="I9" s="2513"/>
      <c r="J9" s="2513"/>
      <c r="K9" s="2513"/>
      <c r="L9" s="2514"/>
    </row>
    <row r="10" spans="1:29" ht="13.5" customHeight="1" x14ac:dyDescent="0.2">
      <c r="A10" s="2496" t="str">
        <f>COVER!A38</f>
        <v>ARNETT HARVEY</v>
      </c>
      <c r="B10" s="2497"/>
      <c r="C10" s="2497"/>
      <c r="D10" s="2497"/>
      <c r="E10" s="2497"/>
      <c r="F10" s="2498"/>
      <c r="G10" s="2512" t="str">
        <f>COVER!T17</f>
        <v>222 EAST MAIN STREET</v>
      </c>
      <c r="H10" s="2525"/>
      <c r="I10" s="2525"/>
      <c r="J10" s="2525"/>
      <c r="K10" s="2525"/>
      <c r="L10" s="2526"/>
    </row>
    <row r="11" spans="1:29" ht="13.5" customHeight="1" x14ac:dyDescent="0.2">
      <c r="A11" s="1184" t="s">
        <v>1519</v>
      </c>
      <c r="B11" s="1185"/>
      <c r="C11" s="1186"/>
      <c r="D11" s="1191"/>
      <c r="E11" s="1186"/>
      <c r="F11" s="1190"/>
      <c r="G11" s="2512" t="str">
        <f>COVER!T19</f>
        <v>BELLEVILLE</v>
      </c>
      <c r="H11" s="2525"/>
      <c r="I11" s="2525"/>
      <c r="J11" s="2525"/>
      <c r="K11" s="2525"/>
      <c r="L11" s="2526"/>
    </row>
    <row r="12" spans="1:29" ht="13.5" customHeight="1" x14ac:dyDescent="0.2">
      <c r="A12" s="2530" t="s">
        <v>1518</v>
      </c>
      <c r="B12" s="2531"/>
      <c r="C12" s="2531"/>
      <c r="D12" s="2531"/>
      <c r="E12" s="2531"/>
      <c r="F12" s="2532"/>
      <c r="G12" s="2527"/>
      <c r="H12" s="2528"/>
      <c r="I12" s="2528"/>
      <c r="J12" s="2528"/>
      <c r="K12" s="2528"/>
      <c r="L12" s="2529"/>
    </row>
    <row r="13" spans="1:29" ht="13.5" customHeight="1" x14ac:dyDescent="0.2">
      <c r="A13" s="2512"/>
      <c r="B13" s="2525"/>
      <c r="C13" s="2525"/>
      <c r="D13" s="2525"/>
      <c r="E13" s="2525"/>
      <c r="F13" s="2526"/>
      <c r="G13" s="2520" t="s">
        <v>1520</v>
      </c>
      <c r="H13" s="2521"/>
      <c r="I13" s="2533" t="str">
        <f>COVER!T25</f>
        <v>dale.holtmann@scheffelboyle.com</v>
      </c>
      <c r="J13" s="2534"/>
      <c r="K13" s="2534"/>
      <c r="L13" s="2535"/>
    </row>
    <row r="14" spans="1:29" ht="13.5" customHeight="1" x14ac:dyDescent="0.2">
      <c r="A14" s="2512" t="str">
        <f>COVER!A19</f>
        <v>1700 JEROME LANE</v>
      </c>
      <c r="B14" s="2525"/>
      <c r="C14" s="2525"/>
      <c r="D14" s="2525"/>
      <c r="E14" s="2525"/>
      <c r="F14" s="2526"/>
      <c r="G14" s="1195" t="s">
        <v>1185</v>
      </c>
      <c r="H14" s="1193"/>
      <c r="I14" s="1193"/>
      <c r="J14" s="1193"/>
      <c r="K14" s="1193"/>
      <c r="L14" s="1194"/>
    </row>
    <row r="15" spans="1:29" ht="13.5" customHeight="1" x14ac:dyDescent="0.2">
      <c r="A15" s="2512" t="str">
        <f>COVER!A21</f>
        <v>CAHOKIA</v>
      </c>
      <c r="B15" s="2525"/>
      <c r="C15" s="2525"/>
      <c r="D15" s="2525"/>
      <c r="E15" s="2525"/>
      <c r="F15" s="2526"/>
      <c r="G15" s="2522" t="str">
        <f>COVER!T15</f>
        <v>DALE HOLTMANN</v>
      </c>
      <c r="H15" s="2523"/>
      <c r="I15" s="2523"/>
      <c r="J15" s="2523"/>
      <c r="K15" s="2523"/>
      <c r="L15" s="2524"/>
    </row>
    <row r="16" spans="1:29" ht="12.2" customHeight="1" x14ac:dyDescent="0.2">
      <c r="A16" s="2502">
        <f>COVER!A25</f>
        <v>62206</v>
      </c>
      <c r="B16" s="2503"/>
      <c r="C16" s="2503"/>
      <c r="D16" s="2503"/>
      <c r="E16" s="2503"/>
      <c r="F16" s="2504"/>
      <c r="G16" s="2515"/>
      <c r="H16" s="2516"/>
      <c r="I16" s="2516"/>
      <c r="J16" s="2516"/>
      <c r="K16" s="2516"/>
      <c r="L16" s="2517"/>
    </row>
    <row r="17" spans="1:13" ht="12.2" customHeight="1" x14ac:dyDescent="0.2">
      <c r="A17" s="2518"/>
      <c r="B17" s="2503"/>
      <c r="C17" s="2503"/>
      <c r="D17" s="2503"/>
      <c r="E17" s="2503"/>
      <c r="F17" s="2504"/>
      <c r="G17" s="1195" t="s">
        <v>1184</v>
      </c>
      <c r="H17" s="1193"/>
      <c r="I17" s="1193"/>
      <c r="J17" s="1193"/>
      <c r="K17" s="1197" t="s">
        <v>1183</v>
      </c>
      <c r="L17" s="1190"/>
      <c r="M17" s="1183"/>
    </row>
    <row r="18" spans="1:13" ht="12.2" customHeight="1" x14ac:dyDescent="0.2">
      <c r="A18" s="2496"/>
      <c r="B18" s="2497"/>
      <c r="C18" s="2497"/>
      <c r="D18" s="2497"/>
      <c r="E18" s="2497"/>
      <c r="F18" s="2498"/>
      <c r="G18" s="2499" t="str">
        <f>COVER!T21</f>
        <v>618-277-8100</v>
      </c>
      <c r="H18" s="2500"/>
      <c r="I18" s="2500"/>
      <c r="J18" s="2500"/>
      <c r="K18" s="2499" t="str">
        <f>COVER!X21</f>
        <v>618-277-9307</v>
      </c>
      <c r="L18" s="250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3"/>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6" zoomScale="125" zoomScaleNormal="125" workbookViewId="0">
      <selection activeCell="B5" sqref="B5"/>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540" t="str">
        <f>'Single Audit Cover'!A7</f>
        <v>Cahokia CUSD 187</v>
      </c>
      <c r="B1" s="2536"/>
      <c r="C1" s="2536"/>
      <c r="D1" s="2536"/>
    </row>
    <row r="2" spans="1:11" s="1212" customFormat="1" ht="12.75" x14ac:dyDescent="0.2">
      <c r="A2" s="2541">
        <f>'Single Audit Cover'!E7</f>
        <v>50082187026</v>
      </c>
      <c r="B2" s="2542"/>
      <c r="C2" s="2542"/>
      <c r="D2" s="2542"/>
    </row>
    <row r="3" spans="1:11" s="1212" customFormat="1" ht="12.75" x14ac:dyDescent="0.2">
      <c r="A3" s="2540" t="s">
        <v>1513</v>
      </c>
      <c r="B3" s="2536"/>
      <c r="C3" s="2536"/>
      <c r="D3" s="2536"/>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5" sqref="A5:E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544" t="str">
        <f>'Single Audit Cover'!A7</f>
        <v>Cahokia CUSD 187</v>
      </c>
      <c r="B1" s="2544"/>
      <c r="C1" s="2544"/>
      <c r="D1" s="2544"/>
      <c r="E1" s="2544"/>
    </row>
    <row r="2" spans="1:5" x14ac:dyDescent="0.2">
      <c r="A2" s="2545">
        <f>'Single Audit Cover'!E7</f>
        <v>50082187026</v>
      </c>
      <c r="B2" s="2545"/>
      <c r="C2" s="2545"/>
      <c r="D2" s="2545"/>
      <c r="E2" s="2545"/>
    </row>
    <row r="3" spans="1:5" ht="4.5" customHeight="1" x14ac:dyDescent="0.2"/>
    <row r="4" spans="1:5" x14ac:dyDescent="0.2">
      <c r="A4" s="2544" t="s">
        <v>1245</v>
      </c>
      <c r="B4" s="2544"/>
      <c r="C4" s="2544"/>
      <c r="D4" s="2544"/>
      <c r="E4" s="2544"/>
    </row>
    <row r="5" spans="1:5" x14ac:dyDescent="0.2">
      <c r="A5" s="2547" t="str">
        <f>'Single Audit Cover'!A4</f>
        <v>Year Ending June 30, 2019</v>
      </c>
      <c r="B5" s="2547"/>
      <c r="C5" s="2547"/>
      <c r="D5" s="2547"/>
      <c r="E5" s="2547"/>
    </row>
    <row r="6" spans="1:5" x14ac:dyDescent="0.2">
      <c r="A6" s="2544" t="s">
        <v>1244</v>
      </c>
      <c r="B6" s="2544"/>
      <c r="C6" s="2544"/>
      <c r="D6" s="2544"/>
      <c r="E6" s="2544"/>
    </row>
    <row r="8" spans="1:5" x14ac:dyDescent="0.2">
      <c r="A8" s="1257" t="s">
        <v>1243</v>
      </c>
    </row>
    <row r="10" spans="1:5" x14ac:dyDescent="0.2">
      <c r="A10" s="1258" t="s">
        <v>1242</v>
      </c>
      <c r="B10" s="1259" t="s">
        <v>1241</v>
      </c>
      <c r="C10" s="1259"/>
      <c r="D10" s="1260">
        <f>SUM('Acct Summary 7-8'!C7:K7)</f>
        <v>9847094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144377</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-235438</v>
      </c>
    </row>
    <row r="19" spans="1:4" ht="13.5" thickBot="1" x14ac:dyDescent="0.25">
      <c r="A19" s="1262" t="s">
        <v>1235</v>
      </c>
      <c r="D19" s="1263">
        <f>SUM(D10:D17)</f>
        <v>9756033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546"/>
      <c r="B24" s="2546"/>
      <c r="D24" s="1265"/>
    </row>
    <row r="25" spans="1:4" x14ac:dyDescent="0.2">
      <c r="A25" s="2543"/>
      <c r="B25" s="2543"/>
      <c r="D25" s="1265"/>
    </row>
    <row r="26" spans="1:4" x14ac:dyDescent="0.2">
      <c r="A26" s="2543"/>
      <c r="B26" s="2543"/>
      <c r="D26" s="1265"/>
    </row>
    <row r="27" spans="1:4" x14ac:dyDescent="0.2">
      <c r="A27" s="2543"/>
      <c r="B27" s="2543"/>
      <c r="D27" s="1265"/>
    </row>
    <row r="28" spans="1:4" x14ac:dyDescent="0.2">
      <c r="A28" s="2543"/>
      <c r="B28" s="2543"/>
      <c r="D28" s="1265"/>
    </row>
    <row r="29" spans="1:4" x14ac:dyDescent="0.2">
      <c r="A29" s="2543"/>
      <c r="B29" s="2543"/>
      <c r="D29" s="1265"/>
    </row>
    <row r="30" spans="1:4" x14ac:dyDescent="0.2">
      <c r="A30" s="2543"/>
      <c r="B30" s="2543"/>
      <c r="D30" s="1265"/>
    </row>
    <row r="32" spans="1:4" x14ac:dyDescent="0.2">
      <c r="A32" s="1257" t="s">
        <v>1233</v>
      </c>
      <c r="D32" s="1260">
        <f>SUM(D19:D30)</f>
        <v>9756033</v>
      </c>
    </row>
    <row r="33" spans="1:4" x14ac:dyDescent="0.2">
      <c r="D33" s="1266"/>
    </row>
    <row r="34" spans="1:4" x14ac:dyDescent="0.2">
      <c r="A34" s="317" t="s">
        <v>1232</v>
      </c>
    </row>
    <row r="35" spans="1:4" x14ac:dyDescent="0.2">
      <c r="A35" s="317" t="s">
        <v>1231</v>
      </c>
      <c r="B35" s="1255" t="s">
        <v>1230</v>
      </c>
      <c r="D35" s="1267">
        <v>9756033</v>
      </c>
    </row>
    <row r="37" spans="1:4" x14ac:dyDescent="0.2">
      <c r="A37" s="1257" t="s">
        <v>1229</v>
      </c>
    </row>
    <row r="39" spans="1:4" ht="13.35" customHeight="1" x14ac:dyDescent="0.2">
      <c r="A39" s="1264" t="s">
        <v>1228</v>
      </c>
    </row>
    <row r="40" spans="1:4" x14ac:dyDescent="0.2">
      <c r="A40" s="2543"/>
      <c r="B40" s="2543"/>
      <c r="D40" s="1265"/>
    </row>
    <row r="41" spans="1:4" x14ac:dyDescent="0.2">
      <c r="A41" s="2543"/>
      <c r="B41" s="2543"/>
      <c r="D41" s="1268"/>
    </row>
    <row r="42" spans="1:4" x14ac:dyDescent="0.2">
      <c r="A42" s="2543"/>
      <c r="B42" s="2543"/>
      <c r="D42" s="1268"/>
    </row>
    <row r="43" spans="1:4" x14ac:dyDescent="0.2">
      <c r="A43" s="2543"/>
      <c r="B43" s="2543"/>
      <c r="D43" s="1268"/>
    </row>
    <row r="44" spans="1:4" x14ac:dyDescent="0.2">
      <c r="A44" s="2543"/>
      <c r="B44" s="2543"/>
      <c r="D44" s="1268"/>
    </row>
    <row r="45" spans="1:4" x14ac:dyDescent="0.2">
      <c r="A45" s="2543"/>
      <c r="B45" s="2543"/>
      <c r="D45" s="1268"/>
    </row>
    <row r="47" spans="1:4" x14ac:dyDescent="0.2">
      <c r="B47" s="1269" t="s">
        <v>1227</v>
      </c>
      <c r="C47" s="1269"/>
      <c r="D47" s="1270">
        <f>SUM(D35:D45)</f>
        <v>9756033</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34DC0-5E93-4097-A0EB-54889B0B3399}">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505" t="str">
        <f>'Single Audit Cover'!A7</f>
        <v>Cahokia CUSD 187</v>
      </c>
      <c r="C1" s="2548"/>
      <c r="D1" s="2548"/>
      <c r="E1" s="2548"/>
      <c r="F1" s="2548"/>
      <c r="G1" s="2548"/>
      <c r="H1" s="2548"/>
      <c r="I1" s="2548"/>
      <c r="J1" s="2548"/>
      <c r="K1" s="2548"/>
      <c r="L1" s="2548"/>
      <c r="M1" s="2548"/>
    </row>
    <row r="2" spans="2:14" ht="15" x14ac:dyDescent="0.2">
      <c r="B2" s="2549">
        <f>'Single Audit Cover'!E7</f>
        <v>50082187026</v>
      </c>
      <c r="C2" s="2549"/>
      <c r="D2" s="2549"/>
      <c r="E2" s="2549"/>
      <c r="F2" s="2549"/>
      <c r="G2" s="2549"/>
      <c r="H2" s="2549"/>
      <c r="I2" s="2549"/>
      <c r="J2" s="2549"/>
      <c r="K2" s="2549"/>
      <c r="L2" s="2549"/>
      <c r="M2" s="2549"/>
      <c r="N2" s="1299"/>
    </row>
    <row r="3" spans="2:14" ht="15" x14ac:dyDescent="0.2">
      <c r="B3" s="2550" t="s">
        <v>1219</v>
      </c>
      <c r="C3" s="2550"/>
      <c r="D3" s="2550"/>
      <c r="E3" s="2550"/>
      <c r="F3" s="2550"/>
      <c r="G3" s="2550"/>
      <c r="H3" s="2550"/>
      <c r="I3" s="2550"/>
      <c r="J3" s="2550"/>
      <c r="K3" s="2550"/>
      <c r="L3" s="2550"/>
      <c r="M3" s="2550"/>
      <c r="N3" s="1299"/>
    </row>
    <row r="4" spans="2:14" ht="15" x14ac:dyDescent="0.2">
      <c r="B4" s="2551" t="str">
        <f>'Single Audit Cover'!A4</f>
        <v>Year Ending June 30, 2019</v>
      </c>
      <c r="C4" s="2551"/>
      <c r="D4" s="2551"/>
      <c r="E4" s="2551"/>
      <c r="F4" s="2551"/>
      <c r="G4" s="2551"/>
      <c r="H4" s="2551"/>
      <c r="I4" s="2551"/>
      <c r="J4" s="2551"/>
      <c r="K4" s="2551"/>
      <c r="L4" s="2551"/>
      <c r="M4" s="2551"/>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2062</v>
      </c>
      <c r="C11" s="1335"/>
      <c r="D11" s="1336"/>
      <c r="E11" s="1337"/>
      <c r="F11" s="1337"/>
      <c r="G11" s="1337"/>
      <c r="H11" s="1337"/>
      <c r="I11" s="1337"/>
      <c r="J11" s="1337"/>
      <c r="K11" s="1337"/>
      <c r="L11" s="1337" t="s">
        <v>1169</v>
      </c>
      <c r="M11" s="1337"/>
    </row>
    <row r="12" spans="2:14" ht="20.100000000000001" customHeight="1" x14ac:dyDescent="0.2">
      <c r="B12" s="1334" t="s">
        <v>2063</v>
      </c>
      <c r="C12" s="1338">
        <v>10.555</v>
      </c>
      <c r="D12" s="1339" t="s">
        <v>2067</v>
      </c>
      <c r="E12" s="1340"/>
      <c r="F12" s="1340">
        <v>1238090</v>
      </c>
      <c r="G12" s="1340"/>
      <c r="H12" s="1340"/>
      <c r="I12" s="1340">
        <v>1238090</v>
      </c>
      <c r="J12" s="1340"/>
      <c r="K12" s="1340"/>
      <c r="L12" s="1337">
        <f>+I12+G12</f>
        <v>1238090</v>
      </c>
      <c r="M12" s="1340" t="s">
        <v>2076</v>
      </c>
    </row>
    <row r="13" spans="2:14" ht="20.100000000000001" customHeight="1" x14ac:dyDescent="0.2">
      <c r="B13" s="1334" t="s">
        <v>2064</v>
      </c>
      <c r="C13" s="1338">
        <v>10.555</v>
      </c>
      <c r="D13" s="1339" t="s">
        <v>2068</v>
      </c>
      <c r="E13" s="1340">
        <v>1177944</v>
      </c>
      <c r="F13" s="1340">
        <v>310210</v>
      </c>
      <c r="G13" s="1340">
        <v>1177944</v>
      </c>
      <c r="H13" s="1340"/>
      <c r="I13" s="1340">
        <v>310210</v>
      </c>
      <c r="J13" s="1340"/>
      <c r="K13" s="1340"/>
      <c r="L13" s="1337">
        <f t="shared" ref="L13:L24" si="0">+G13+I13+K13</f>
        <v>1488154</v>
      </c>
      <c r="M13" s="1340" t="s">
        <v>2076</v>
      </c>
    </row>
    <row r="14" spans="2:14" ht="20.100000000000001" customHeight="1" x14ac:dyDescent="0.2">
      <c r="B14" s="1334" t="s">
        <v>2065</v>
      </c>
      <c r="C14" s="1338">
        <v>10.553000000000001</v>
      </c>
      <c r="D14" s="1339" t="s">
        <v>2069</v>
      </c>
      <c r="E14" s="1340"/>
      <c r="F14" s="1340">
        <v>523613</v>
      </c>
      <c r="G14" s="1340"/>
      <c r="H14" s="1340"/>
      <c r="I14" s="1340">
        <v>523613</v>
      </c>
      <c r="J14" s="1340"/>
      <c r="K14" s="1340"/>
      <c r="L14" s="1337">
        <f t="shared" si="0"/>
        <v>523613</v>
      </c>
      <c r="M14" s="1340" t="s">
        <v>2076</v>
      </c>
    </row>
    <row r="15" spans="2:14" ht="20.100000000000001" customHeight="1" x14ac:dyDescent="0.2">
      <c r="B15" s="1334" t="s">
        <v>2066</v>
      </c>
      <c r="C15" s="1338">
        <v>10.553000000000001</v>
      </c>
      <c r="D15" s="1339" t="s">
        <v>2070</v>
      </c>
      <c r="E15" s="1340">
        <v>469978</v>
      </c>
      <c r="F15" s="1340">
        <v>134360</v>
      </c>
      <c r="G15" s="1340">
        <v>469978</v>
      </c>
      <c r="H15" s="1340"/>
      <c r="I15" s="1340">
        <v>134360</v>
      </c>
      <c r="J15" s="1340"/>
      <c r="K15" s="1340"/>
      <c r="L15" s="1337">
        <f t="shared" si="0"/>
        <v>604338</v>
      </c>
      <c r="M15" s="1340" t="s">
        <v>2076</v>
      </c>
    </row>
    <row r="16" spans="2:14" ht="20.100000000000001" customHeight="1" x14ac:dyDescent="0.2">
      <c r="B16" s="1334" t="s">
        <v>2071</v>
      </c>
      <c r="C16" s="1338">
        <v>10.558999999999999</v>
      </c>
      <c r="D16" s="1339" t="s">
        <v>2073</v>
      </c>
      <c r="E16" s="1340"/>
      <c r="F16" s="1340">
        <v>31917</v>
      </c>
      <c r="G16" s="1340"/>
      <c r="H16" s="1340"/>
      <c r="I16" s="1340">
        <v>31917</v>
      </c>
      <c r="J16" s="1340"/>
      <c r="K16" s="1340"/>
      <c r="L16" s="1337">
        <f t="shared" si="0"/>
        <v>31917</v>
      </c>
      <c r="M16" s="1340" t="s">
        <v>2076</v>
      </c>
    </row>
    <row r="17" spans="2:14" ht="20.100000000000001" customHeight="1" x14ac:dyDescent="0.2">
      <c r="B17" s="1334" t="s">
        <v>2072</v>
      </c>
      <c r="C17" s="1338">
        <v>10.558999999999999</v>
      </c>
      <c r="D17" s="1339" t="s">
        <v>2074</v>
      </c>
      <c r="E17" s="1340">
        <v>27331</v>
      </c>
      <c r="F17" s="1340">
        <v>9722</v>
      </c>
      <c r="G17" s="1340">
        <v>27331</v>
      </c>
      <c r="H17" s="1340"/>
      <c r="I17" s="1340">
        <v>9722</v>
      </c>
      <c r="J17" s="1340"/>
      <c r="K17" s="1340"/>
      <c r="L17" s="1337">
        <f t="shared" si="0"/>
        <v>37053</v>
      </c>
      <c r="M17" s="1340" t="s">
        <v>2076</v>
      </c>
    </row>
    <row r="18" spans="2:14" ht="20.100000000000001" customHeight="1" x14ac:dyDescent="0.2">
      <c r="B18" s="1334" t="s">
        <v>2075</v>
      </c>
      <c r="C18" s="1338"/>
      <c r="D18" s="1339"/>
      <c r="E18" s="1340">
        <f>+E12+E13+E14+E15+E16+E17</f>
        <v>1675253</v>
      </c>
      <c r="F18" s="1340">
        <f>+F12+F13+F14+F15+F16+F17</f>
        <v>2247912</v>
      </c>
      <c r="G18" s="1340">
        <f>+G13+G14+G15+G16+G17+G12</f>
        <v>1675253</v>
      </c>
      <c r="H18" s="1340"/>
      <c r="I18" s="1340">
        <f>+I13+I14+I15+I16+I17+I12</f>
        <v>2247912</v>
      </c>
      <c r="J18" s="1340"/>
      <c r="K18" s="1340"/>
      <c r="L18" s="1337">
        <f t="shared" si="0"/>
        <v>3923165</v>
      </c>
      <c r="M18" s="1340" t="s">
        <v>2076</v>
      </c>
    </row>
    <row r="19" spans="2:14" ht="20.100000000000001" customHeight="1" x14ac:dyDescent="0.2">
      <c r="B19" s="1334"/>
      <c r="C19" s="1338"/>
      <c r="D19" s="1339"/>
      <c r="E19" s="1340"/>
      <c r="F19" s="1340"/>
      <c r="G19" s="1340"/>
      <c r="H19" s="1340"/>
      <c r="I19" s="1340"/>
      <c r="J19" s="1340"/>
      <c r="K19" s="1340"/>
      <c r="L19" s="1337" t="s">
        <v>1169</v>
      </c>
      <c r="M19" s="1340"/>
    </row>
    <row r="20" spans="2:14" ht="20.100000000000001" customHeight="1" x14ac:dyDescent="0.2">
      <c r="B20" s="1334" t="s">
        <v>2077</v>
      </c>
      <c r="C20" s="1338">
        <v>10.558</v>
      </c>
      <c r="D20" s="1339" t="s">
        <v>2079</v>
      </c>
      <c r="E20" s="1340"/>
      <c r="F20" s="1340">
        <v>149389</v>
      </c>
      <c r="G20" s="1340"/>
      <c r="H20" s="1340"/>
      <c r="I20" s="1340">
        <v>149389</v>
      </c>
      <c r="J20" s="1340"/>
      <c r="K20" s="1340"/>
      <c r="L20" s="1337">
        <f t="shared" si="0"/>
        <v>149389</v>
      </c>
      <c r="M20" s="1340" t="s">
        <v>2076</v>
      </c>
    </row>
    <row r="21" spans="2:14" ht="20.100000000000001" customHeight="1" x14ac:dyDescent="0.2">
      <c r="B21" s="1334" t="s">
        <v>2078</v>
      </c>
      <c r="C21" s="1338">
        <v>10.558</v>
      </c>
      <c r="D21" s="1339" t="s">
        <v>2080</v>
      </c>
      <c r="E21" s="1340">
        <v>148957</v>
      </c>
      <c r="F21" s="1340">
        <v>24576</v>
      </c>
      <c r="G21" s="1340">
        <v>148957</v>
      </c>
      <c r="H21" s="1340"/>
      <c r="I21" s="1340">
        <v>24576</v>
      </c>
      <c r="J21" s="1340"/>
      <c r="K21" s="1340"/>
      <c r="L21" s="1337">
        <f t="shared" si="0"/>
        <v>173533</v>
      </c>
      <c r="M21" s="1340" t="s">
        <v>2076</v>
      </c>
    </row>
    <row r="22" spans="2:14" ht="20.100000000000001" customHeight="1" x14ac:dyDescent="0.2">
      <c r="B22" s="1334" t="s">
        <v>2083</v>
      </c>
      <c r="C22" s="1338"/>
      <c r="D22" s="1339"/>
      <c r="E22" s="1340">
        <f>+E20+E21</f>
        <v>148957</v>
      </c>
      <c r="F22" s="1340">
        <f>+F20+F21</f>
        <v>173965</v>
      </c>
      <c r="G22" s="1340">
        <f>+G20+G21</f>
        <v>148957</v>
      </c>
      <c r="H22" s="1340"/>
      <c r="I22" s="1340">
        <f>+I20+I21</f>
        <v>173965</v>
      </c>
      <c r="J22" s="1340"/>
      <c r="K22" s="1340"/>
      <c r="L22" s="1337">
        <f t="shared" si="0"/>
        <v>322922</v>
      </c>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t="s">
        <v>2081</v>
      </c>
      <c r="C24" s="1338">
        <v>10.582000000000001</v>
      </c>
      <c r="D24" s="1339" t="s">
        <v>2082</v>
      </c>
      <c r="E24" s="1340"/>
      <c r="F24" s="1340">
        <v>39828</v>
      </c>
      <c r="G24" s="1340"/>
      <c r="H24" s="1340"/>
      <c r="I24" s="1340">
        <v>39828</v>
      </c>
      <c r="J24" s="1340"/>
      <c r="K24" s="1340"/>
      <c r="L24" s="1337">
        <f t="shared" si="0"/>
        <v>39828</v>
      </c>
      <c r="M24" s="1340"/>
    </row>
    <row r="25" spans="2:14" ht="20.100000000000001" customHeight="1" x14ac:dyDescent="0.2">
      <c r="B25" s="1334"/>
      <c r="C25" s="1338"/>
      <c r="D25" s="1339"/>
      <c r="E25" s="1340"/>
      <c r="F25" s="1340"/>
      <c r="G25" s="1340"/>
      <c r="H25" s="1340"/>
      <c r="I25" s="1340"/>
      <c r="J25" s="1340"/>
      <c r="K25" s="1340"/>
      <c r="L25" s="1337" t="s">
        <v>1169</v>
      </c>
      <c r="M25" s="1340"/>
    </row>
    <row r="26" spans="2:14" ht="20.100000000000001" customHeight="1" x14ac:dyDescent="0.2">
      <c r="B26" s="1334" t="s">
        <v>2084</v>
      </c>
      <c r="C26" s="1338"/>
      <c r="D26" s="1339"/>
      <c r="E26" s="1340">
        <f>+E18+E22+E24</f>
        <v>1824210</v>
      </c>
      <c r="F26" s="1340">
        <f>+F18+F22+F24</f>
        <v>2461705</v>
      </c>
      <c r="G26" s="1340">
        <f>+G18+G22+G24</f>
        <v>1824210</v>
      </c>
      <c r="H26" s="1340"/>
      <c r="I26" s="1340">
        <f>+I18+I22+I24</f>
        <v>2461705</v>
      </c>
      <c r="J26" s="1340"/>
      <c r="K26" s="1340"/>
      <c r="L26" s="1337" t="s">
        <v>1169</v>
      </c>
      <c r="M26" s="1340"/>
    </row>
    <row r="27" spans="2:14" ht="20.100000000000001" customHeight="1" x14ac:dyDescent="0.2">
      <c r="B27" s="1334"/>
      <c r="C27" s="1338"/>
      <c r="D27" s="1339"/>
      <c r="E27" s="1340"/>
      <c r="F27" s="1340"/>
      <c r="G27" s="1340"/>
      <c r="H27" s="1340"/>
      <c r="I27" s="1340"/>
      <c r="J27" s="1340"/>
      <c r="K27" s="1340"/>
      <c r="L27" s="1337" t="s">
        <v>1169</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4" bottom="0.2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9F731-E03D-4CCC-8CF9-C5C918EA51B9}">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505" t="str">
        <f>'Single Audit Cover'!A7</f>
        <v>Cahokia CUSD 187</v>
      </c>
      <c r="C1" s="2548"/>
      <c r="D1" s="2548"/>
      <c r="E1" s="2548"/>
      <c r="F1" s="2548"/>
      <c r="G1" s="2548"/>
      <c r="H1" s="2548"/>
      <c r="I1" s="2548"/>
      <c r="J1" s="2548"/>
      <c r="K1" s="2548"/>
      <c r="L1" s="2548"/>
      <c r="M1" s="2548"/>
    </row>
    <row r="2" spans="2:14" ht="15" x14ac:dyDescent="0.2">
      <c r="B2" s="2549">
        <f>'Single Audit Cover'!E7</f>
        <v>50082187026</v>
      </c>
      <c r="C2" s="2549"/>
      <c r="D2" s="2549"/>
      <c r="E2" s="2549"/>
      <c r="F2" s="2549"/>
      <c r="G2" s="2549"/>
      <c r="H2" s="2549"/>
      <c r="I2" s="2549"/>
      <c r="J2" s="2549"/>
      <c r="K2" s="2549"/>
      <c r="L2" s="2549"/>
      <c r="M2" s="2549"/>
      <c r="N2" s="1299"/>
    </row>
    <row r="3" spans="2:14" ht="15" x14ac:dyDescent="0.2">
      <c r="B3" s="2550" t="s">
        <v>1219</v>
      </c>
      <c r="C3" s="2550"/>
      <c r="D3" s="2550"/>
      <c r="E3" s="2550"/>
      <c r="F3" s="2550"/>
      <c r="G3" s="2550"/>
      <c r="H3" s="2550"/>
      <c r="I3" s="2550"/>
      <c r="J3" s="2550"/>
      <c r="K3" s="2550"/>
      <c r="L3" s="2550"/>
      <c r="M3" s="2550"/>
      <c r="N3" s="1299"/>
    </row>
    <row r="4" spans="2:14" ht="15" x14ac:dyDescent="0.2">
      <c r="B4" s="2551" t="str">
        <f>'Single Audit Cover'!A4</f>
        <v>Year Ending June 30, 2019</v>
      </c>
      <c r="C4" s="2551"/>
      <c r="D4" s="2551"/>
      <c r="E4" s="2551"/>
      <c r="F4" s="2551"/>
      <c r="G4" s="2551"/>
      <c r="H4" s="2551"/>
      <c r="I4" s="2551"/>
      <c r="J4" s="2551"/>
      <c r="K4" s="2551"/>
      <c r="L4" s="2551"/>
      <c r="M4" s="2551"/>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2111</v>
      </c>
      <c r="C11" s="1335"/>
      <c r="D11" s="1336"/>
      <c r="E11" s="1337"/>
      <c r="F11" s="1337"/>
      <c r="G11" s="1337"/>
      <c r="H11" s="1337"/>
      <c r="I11" s="1337"/>
      <c r="J11" s="1337"/>
      <c r="K11" s="1337"/>
      <c r="L11" s="1337" t="s">
        <v>1169</v>
      </c>
      <c r="M11" s="1337"/>
    </row>
    <row r="12" spans="2:14" ht="20.100000000000001" customHeight="1" x14ac:dyDescent="0.2">
      <c r="B12" s="1334" t="s">
        <v>2112</v>
      </c>
      <c r="C12" s="1338">
        <v>93.778000000000006</v>
      </c>
      <c r="D12" s="1339" t="s">
        <v>2113</v>
      </c>
      <c r="E12" s="1340"/>
      <c r="F12" s="1340">
        <v>137785</v>
      </c>
      <c r="G12" s="1340"/>
      <c r="H12" s="1340"/>
      <c r="I12" s="1340">
        <v>137785</v>
      </c>
      <c r="J12" s="1340"/>
      <c r="K12" s="1340"/>
      <c r="L12" s="1337">
        <f t="shared" ref="L12:L27" si="0">+G12+I12+K12</f>
        <v>137785</v>
      </c>
      <c r="M12" s="1340" t="s">
        <v>2076</v>
      </c>
    </row>
    <row r="13" spans="2:14" ht="20.100000000000001" customHeight="1" x14ac:dyDescent="0.2">
      <c r="B13" s="1334"/>
      <c r="C13" s="1338"/>
      <c r="D13" s="1339"/>
      <c r="E13" s="1340"/>
      <c r="F13" s="1340"/>
      <c r="G13" s="1340"/>
      <c r="H13" s="1340"/>
      <c r="I13" s="1340"/>
      <c r="J13" s="1340"/>
      <c r="K13" s="1340"/>
      <c r="L13" s="1337" t="s">
        <v>1169</v>
      </c>
      <c r="M13" s="1340"/>
    </row>
    <row r="14" spans="2:14" ht="20.100000000000001" customHeight="1" x14ac:dyDescent="0.2">
      <c r="B14" s="1334" t="s">
        <v>2114</v>
      </c>
      <c r="C14" s="1338"/>
      <c r="D14" s="1339"/>
      <c r="E14" s="1340"/>
      <c r="F14" s="1340"/>
      <c r="G14" s="1340"/>
      <c r="H14" s="1340"/>
      <c r="I14" s="1340"/>
      <c r="J14" s="1340"/>
      <c r="K14" s="1340"/>
      <c r="L14" s="1337" t="s">
        <v>1169</v>
      </c>
      <c r="M14" s="1340"/>
    </row>
    <row r="15" spans="2:14" ht="20.100000000000001" customHeight="1" x14ac:dyDescent="0.2">
      <c r="B15" s="1334" t="s">
        <v>2115</v>
      </c>
      <c r="C15" s="1338">
        <v>84.126000000000005</v>
      </c>
      <c r="D15" s="1339" t="s">
        <v>2116</v>
      </c>
      <c r="E15" s="1340"/>
      <c r="F15" s="1340">
        <v>3280</v>
      </c>
      <c r="G15" s="1340"/>
      <c r="H15" s="1340"/>
      <c r="I15" s="1340">
        <v>3280</v>
      </c>
      <c r="J15" s="1340"/>
      <c r="K15" s="1340"/>
      <c r="L15" s="1337">
        <f t="shared" si="0"/>
        <v>3280</v>
      </c>
      <c r="M15" s="1340" t="s">
        <v>2076</v>
      </c>
    </row>
    <row r="16" spans="2:14" ht="20.100000000000001" customHeight="1" x14ac:dyDescent="0.2">
      <c r="B16" s="1334"/>
      <c r="C16" s="1338"/>
      <c r="D16" s="1339"/>
      <c r="E16" s="1340"/>
      <c r="F16" s="1340"/>
      <c r="G16" s="1340"/>
      <c r="H16" s="1340"/>
      <c r="I16" s="1340"/>
      <c r="J16" s="1340"/>
      <c r="K16" s="1340"/>
      <c r="L16" s="1337" t="s">
        <v>1169</v>
      </c>
      <c r="M16" s="1340"/>
    </row>
    <row r="17" spans="2:14" ht="20.100000000000001" customHeight="1" x14ac:dyDescent="0.2">
      <c r="B17" s="1334" t="s">
        <v>2117</v>
      </c>
      <c r="C17" s="1338"/>
      <c r="D17" s="1339"/>
      <c r="E17" s="1340"/>
      <c r="F17" s="1340"/>
      <c r="G17" s="1340"/>
      <c r="H17" s="1340"/>
      <c r="I17" s="1340"/>
      <c r="J17" s="1340"/>
      <c r="K17" s="1340"/>
      <c r="L17" s="1337"/>
      <c r="M17" s="1340"/>
    </row>
    <row r="18" spans="2:14" ht="20.100000000000001" customHeight="1" x14ac:dyDescent="0.2">
      <c r="B18" s="1334" t="s">
        <v>2118</v>
      </c>
      <c r="C18" s="1338">
        <v>84.367000000000004</v>
      </c>
      <c r="D18" s="1339" t="s">
        <v>2120</v>
      </c>
      <c r="E18" s="1340"/>
      <c r="F18" s="1340">
        <v>290142</v>
      </c>
      <c r="G18" s="1340"/>
      <c r="H18" s="1340"/>
      <c r="I18" s="1340">
        <v>290142</v>
      </c>
      <c r="J18" s="1340"/>
      <c r="K18" s="1340"/>
      <c r="L18" s="1337">
        <f t="shared" si="0"/>
        <v>290142</v>
      </c>
      <c r="M18" s="1340">
        <v>294154</v>
      </c>
    </row>
    <row r="19" spans="2:14" ht="20.100000000000001" customHeight="1" x14ac:dyDescent="0.2">
      <c r="B19" s="1334" t="s">
        <v>2119</v>
      </c>
      <c r="C19" s="1338">
        <v>84.367000000000004</v>
      </c>
      <c r="D19" s="1339" t="s">
        <v>2121</v>
      </c>
      <c r="E19" s="1340">
        <v>318625</v>
      </c>
      <c r="F19" s="1340">
        <v>2282</v>
      </c>
      <c r="G19" s="1340">
        <v>318625</v>
      </c>
      <c r="H19" s="1340"/>
      <c r="I19" s="1340">
        <v>2282</v>
      </c>
      <c r="J19" s="1340"/>
      <c r="K19" s="1340"/>
      <c r="L19" s="1337">
        <f t="shared" si="0"/>
        <v>320907</v>
      </c>
      <c r="M19" s="1340">
        <v>323209</v>
      </c>
    </row>
    <row r="20" spans="2:14" ht="20.100000000000001" customHeight="1" x14ac:dyDescent="0.2">
      <c r="B20" s="1334" t="s">
        <v>2125</v>
      </c>
      <c r="C20" s="1338"/>
      <c r="D20" s="1339"/>
      <c r="E20" s="1340">
        <f>+E18+E19</f>
        <v>318625</v>
      </c>
      <c r="F20" s="1340">
        <f>+F18+F19</f>
        <v>292424</v>
      </c>
      <c r="G20" s="1340">
        <f>+G18+G19</f>
        <v>318625</v>
      </c>
      <c r="H20" s="1340"/>
      <c r="I20" s="1340">
        <f>+I18+I19</f>
        <v>292424</v>
      </c>
      <c r="J20" s="1340"/>
      <c r="K20" s="1340"/>
      <c r="L20" s="1337">
        <f t="shared" si="0"/>
        <v>611049</v>
      </c>
      <c r="M20" s="1340"/>
    </row>
    <row r="21" spans="2:14" ht="20.100000000000001" customHeight="1" x14ac:dyDescent="0.2">
      <c r="B21" s="1334" t="s">
        <v>1169</v>
      </c>
      <c r="C21" s="1338" t="s">
        <v>1169</v>
      </c>
      <c r="D21" s="1339" t="s">
        <v>1169</v>
      </c>
      <c r="E21" s="1340" t="s">
        <v>1169</v>
      </c>
      <c r="F21" s="1340"/>
      <c r="G21" s="1340"/>
      <c r="H21" s="1340"/>
      <c r="I21" s="1340"/>
      <c r="J21" s="1340"/>
      <c r="K21" s="1340"/>
      <c r="L21" s="1337">
        <f t="shared" si="0"/>
        <v>0</v>
      </c>
      <c r="M21" s="1340"/>
    </row>
    <row r="22" spans="2:14" ht="20.100000000000001" customHeight="1" x14ac:dyDescent="0.2">
      <c r="B22" s="1334" t="s">
        <v>2181</v>
      </c>
      <c r="C22" s="1338">
        <v>84.01</v>
      </c>
      <c r="D22" s="1339" t="s">
        <v>2122</v>
      </c>
      <c r="E22" s="1340">
        <v>0</v>
      </c>
      <c r="F22" s="1340">
        <f>3168522-5103</f>
        <v>3163419</v>
      </c>
      <c r="G22" s="1340">
        <v>0</v>
      </c>
      <c r="H22" s="1340"/>
      <c r="I22" s="1340">
        <v>3163419</v>
      </c>
      <c r="J22" s="1340"/>
      <c r="K22" s="1340"/>
      <c r="L22" s="1337">
        <f t="shared" si="0"/>
        <v>3163419</v>
      </c>
      <c r="M22" s="1340">
        <v>3891937</v>
      </c>
    </row>
    <row r="23" spans="2:14" ht="20.100000000000001" customHeight="1" x14ac:dyDescent="0.2">
      <c r="B23" s="1334" t="s">
        <v>2182</v>
      </c>
      <c r="C23" s="1338">
        <v>84.01</v>
      </c>
      <c r="D23" s="1339" t="s">
        <v>2123</v>
      </c>
      <c r="E23" s="1340">
        <v>3338455</v>
      </c>
      <c r="F23" s="1340">
        <v>305510</v>
      </c>
      <c r="G23" s="1340">
        <v>3338455</v>
      </c>
      <c r="H23" s="1340"/>
      <c r="I23" s="1340">
        <v>305510</v>
      </c>
      <c r="J23" s="1340"/>
      <c r="K23" s="1340"/>
      <c r="L23" s="1337">
        <f t="shared" si="0"/>
        <v>3643965</v>
      </c>
      <c r="M23" s="1340">
        <v>4045922</v>
      </c>
    </row>
    <row r="24" spans="2:14" ht="20.100000000000001" customHeight="1" x14ac:dyDescent="0.2">
      <c r="B24" s="1334" t="s">
        <v>2183</v>
      </c>
      <c r="C24" s="1338">
        <v>84.01</v>
      </c>
      <c r="D24" s="1339" t="s">
        <v>2124</v>
      </c>
      <c r="E24" s="1340"/>
      <c r="F24" s="1340">
        <v>144168</v>
      </c>
      <c r="G24" s="1340"/>
      <c r="H24" s="1340"/>
      <c r="I24" s="1340">
        <v>144168</v>
      </c>
      <c r="J24" s="1340"/>
      <c r="K24" s="1340"/>
      <c r="L24" s="1337">
        <f t="shared" si="0"/>
        <v>144168</v>
      </c>
      <c r="M24" s="1340">
        <v>1391945</v>
      </c>
    </row>
    <row r="25" spans="2:14" ht="20.100000000000001" customHeight="1" x14ac:dyDescent="0.2">
      <c r="B25" s="1334" t="s">
        <v>2126</v>
      </c>
      <c r="C25" s="1338"/>
      <c r="D25" s="1339"/>
      <c r="E25" s="1340">
        <f>+E22+E23+E24</f>
        <v>3338455</v>
      </c>
      <c r="F25" s="1340">
        <f>+F22+F23+F24</f>
        <v>3613097</v>
      </c>
      <c r="G25" s="1340">
        <f>+G22+G23+G24</f>
        <v>3338455</v>
      </c>
      <c r="H25" s="1340"/>
      <c r="I25" s="1340">
        <f>+I22+I23+I24</f>
        <v>3613097</v>
      </c>
      <c r="J25" s="1340"/>
      <c r="K25" s="1340"/>
      <c r="L25" s="1337">
        <f t="shared" si="0"/>
        <v>6951552</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4" bottom="0.2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B5" sqref="B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69" t="s">
        <v>386</v>
      </c>
      <c r="B1" s="2169"/>
      <c r="C1" s="2169"/>
      <c r="D1" s="2169"/>
      <c r="E1" s="2169"/>
      <c r="F1" s="2169"/>
      <c r="G1" s="2169"/>
      <c r="H1" s="2169"/>
      <c r="I1" s="2169"/>
      <c r="J1" s="2169"/>
      <c r="K1" s="2169"/>
      <c r="L1" s="2169"/>
      <c r="M1" s="216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73414009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2.58E-2</v>
      </c>
      <c r="E10" s="356" t="s">
        <v>1005</v>
      </c>
      <c r="F10" s="355">
        <v>3.7499999999999999E-3</v>
      </c>
      <c r="G10" s="356" t="s">
        <v>1005</v>
      </c>
      <c r="H10" s="355">
        <v>2E-3</v>
      </c>
      <c r="I10" s="356" t="s">
        <v>1006</v>
      </c>
      <c r="J10" s="1730">
        <f>ROUND(D10+F10+H10,5)</f>
        <v>3.1550000000000002E-2</v>
      </c>
      <c r="K10" s="222"/>
      <c r="L10" s="355">
        <v>5.0000000000000001E-4</v>
      </c>
      <c r="M10" s="222"/>
    </row>
    <row r="11" spans="1:14" ht="7.5" customHeight="1" x14ac:dyDescent="0.2">
      <c r="B11" s="222"/>
      <c r="C11" s="222"/>
      <c r="D11" s="2179" t="str">
        <f>IF(SUM(J10)&lt;=0.0999999,"","Enter the Tax Rates by moving the decimal two places to the left.")</f>
        <v/>
      </c>
      <c r="E11" s="2180"/>
      <c r="F11" s="2180"/>
      <c r="G11" s="2180"/>
      <c r="H11" s="2180"/>
      <c r="I11" s="2180"/>
      <c r="J11" s="218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47905695</v>
      </c>
      <c r="E16" s="356"/>
      <c r="F16" s="1731">
        <f>SUM('Acct Summary 7-8'!C17,'Acct Summary 7-8'!D17,'Acct Summary 7-8'!F17)</f>
        <v>45622913</v>
      </c>
      <c r="G16" s="356"/>
      <c r="H16" s="1731">
        <f>SUM(D16-F16)</f>
        <v>2282782</v>
      </c>
      <c r="I16" s="222"/>
      <c r="J16" s="1731">
        <f>SUM('Acct Summary 7-8'!C81,'Acct Summary 7-8'!D81,'Acct Summary 7-8'!F81,'Acct Summary 7-8'!I81)</f>
        <v>14171424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1550005</v>
      </c>
      <c r="E24" s="356" t="s">
        <v>1006</v>
      </c>
      <c r="F24" s="1732">
        <f>SUM(D22,F22,H22,J22,L22, D24)</f>
        <v>1550005</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3">
        <f>IF(B31="X",(J7*0.069),IF(B32="X",(J7*0.138),"Enter x in a.or b."))</f>
        <v>10131133.242000001</v>
      </c>
      <c r="I31" s="368"/>
      <c r="J31" s="222"/>
      <c r="K31" s="222"/>
      <c r="L31" s="222"/>
      <c r="M31" s="222"/>
    </row>
    <row r="32" spans="1:13" ht="13.35" customHeight="1" x14ac:dyDescent="0.2">
      <c r="B32" s="369" t="s">
        <v>2085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7320531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70"/>
      <c r="C54" s="2171"/>
      <c r="D54" s="2171"/>
      <c r="E54" s="2171"/>
      <c r="F54" s="2171"/>
      <c r="G54" s="2171"/>
      <c r="H54" s="2171"/>
      <c r="I54" s="2171"/>
      <c r="J54" s="2171"/>
      <c r="K54" s="2171"/>
      <c r="L54" s="2172"/>
      <c r="M54" s="380"/>
    </row>
    <row r="55" spans="1:13" ht="12.75" customHeight="1" x14ac:dyDescent="0.2">
      <c r="B55" s="2173"/>
      <c r="C55" s="2174"/>
      <c r="D55" s="2174"/>
      <c r="E55" s="2174"/>
      <c r="F55" s="2174"/>
      <c r="G55" s="2174"/>
      <c r="H55" s="2174"/>
      <c r="I55" s="2174"/>
      <c r="J55" s="2174"/>
      <c r="K55" s="2174"/>
      <c r="L55" s="2175"/>
      <c r="M55" s="380"/>
    </row>
    <row r="56" spans="1:13" ht="12.75" customHeight="1" x14ac:dyDescent="0.2">
      <c r="B56" s="2173"/>
      <c r="C56" s="2174"/>
      <c r="D56" s="2174"/>
      <c r="E56" s="2174"/>
      <c r="F56" s="2174"/>
      <c r="G56" s="2174"/>
      <c r="H56" s="2174"/>
      <c r="I56" s="2174"/>
      <c r="J56" s="2174"/>
      <c r="K56" s="2174"/>
      <c r="L56" s="2175"/>
      <c r="M56" s="222"/>
    </row>
    <row r="57" spans="1:13" ht="12.75" customHeight="1" x14ac:dyDescent="0.2">
      <c r="B57" s="2173"/>
      <c r="C57" s="2174"/>
      <c r="D57" s="2174"/>
      <c r="E57" s="2174"/>
      <c r="F57" s="2174"/>
      <c r="G57" s="2174"/>
      <c r="H57" s="2174"/>
      <c r="I57" s="2174"/>
      <c r="J57" s="2174"/>
      <c r="K57" s="2174"/>
      <c r="L57" s="2175"/>
      <c r="M57" s="222"/>
    </row>
    <row r="58" spans="1:13" x14ac:dyDescent="0.2">
      <c r="B58" s="2176"/>
      <c r="C58" s="2177"/>
      <c r="D58" s="2177"/>
      <c r="E58" s="2177"/>
      <c r="F58" s="2177"/>
      <c r="G58" s="2177"/>
      <c r="H58" s="2177"/>
      <c r="I58" s="2177"/>
      <c r="J58" s="2177"/>
      <c r="K58" s="2177"/>
      <c r="L58" s="217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81"/>
      <c r="D61" s="218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5A7FF-479E-400F-82A9-A7C16DA0DAEB}">
  <dimension ref="B1:N152"/>
  <sheetViews>
    <sheetView showGridLines="0" topLeftCell="A10" zoomScaleNormal="100" workbookViewId="0">
      <selection activeCell="B5" sqref="B5"/>
    </sheetView>
  </sheetViews>
  <sheetFormatPr defaultColWidth="33.5703125" defaultRowHeight="12.75" x14ac:dyDescent="0.2"/>
  <cols>
    <col min="1" max="1" width="0.140625" style="1963" customWidth="1"/>
    <col min="2" max="2" width="32.85546875" style="1963" customWidth="1"/>
    <col min="3" max="3" width="8.7109375" style="2028" customWidth="1"/>
    <col min="4" max="4" width="12.7109375" style="2029" customWidth="1"/>
    <col min="5" max="6" width="11.7109375" style="1963" customWidth="1"/>
    <col min="7" max="7" width="11.7109375" style="1966" customWidth="1"/>
    <col min="8" max="8" width="13.7109375" style="1966" bestFit="1" customWidth="1"/>
    <col min="9" max="9" width="11.7109375" style="1966" customWidth="1"/>
    <col min="10" max="10" width="13.7109375" style="1966" customWidth="1"/>
    <col min="11" max="12" width="11.7109375" style="1966" customWidth="1"/>
    <col min="13" max="13" width="11.7109375" style="1963" customWidth="1"/>
    <col min="14" max="14" width="2.7109375" style="1963" customWidth="1"/>
    <col min="15" max="16384" width="33.5703125" style="1963"/>
  </cols>
  <sheetData>
    <row r="1" spans="2:14" ht="11.85" customHeight="1" x14ac:dyDescent="0.2">
      <c r="B1" s="2505" t="str">
        <f>'Single Audit Cover'!A7</f>
        <v>Cahokia CUSD 187</v>
      </c>
      <c r="C1" s="2548"/>
      <c r="D1" s="2548"/>
      <c r="E1" s="2548"/>
      <c r="F1" s="2548"/>
      <c r="G1" s="2548"/>
      <c r="H1" s="2548"/>
      <c r="I1" s="2548"/>
      <c r="J1" s="2548"/>
      <c r="K1" s="2548"/>
      <c r="L1" s="2548"/>
      <c r="M1" s="2548"/>
    </row>
    <row r="2" spans="2:14" ht="15" x14ac:dyDescent="0.2">
      <c r="B2" s="2549">
        <f>'Single Audit Cover'!E7</f>
        <v>50082187026</v>
      </c>
      <c r="C2" s="2549"/>
      <c r="D2" s="2549"/>
      <c r="E2" s="2549"/>
      <c r="F2" s="2549"/>
      <c r="G2" s="2549"/>
      <c r="H2" s="2549"/>
      <c r="I2" s="2549"/>
      <c r="J2" s="2549"/>
      <c r="K2" s="2549"/>
      <c r="L2" s="2549"/>
      <c r="M2" s="2549"/>
      <c r="N2" s="1973"/>
    </row>
    <row r="3" spans="2:14" ht="15" x14ac:dyDescent="0.2">
      <c r="B3" s="2550" t="s">
        <v>1219</v>
      </c>
      <c r="C3" s="2550"/>
      <c r="D3" s="2550"/>
      <c r="E3" s="2550"/>
      <c r="F3" s="2550"/>
      <c r="G3" s="2550"/>
      <c r="H3" s="2550"/>
      <c r="I3" s="2550"/>
      <c r="J3" s="2550"/>
      <c r="K3" s="2550"/>
      <c r="L3" s="2550"/>
      <c r="M3" s="2550"/>
      <c r="N3" s="1973"/>
    </row>
    <row r="4" spans="2:14" ht="15" x14ac:dyDescent="0.2">
      <c r="B4" s="2551" t="str">
        <f>'Single Audit Cover'!A4</f>
        <v>Year Ending June 30, 2019</v>
      </c>
      <c r="C4" s="2551"/>
      <c r="D4" s="2551"/>
      <c r="E4" s="2551"/>
      <c r="F4" s="2551"/>
      <c r="G4" s="2551"/>
      <c r="H4" s="2551"/>
      <c r="I4" s="2551"/>
      <c r="J4" s="2551"/>
      <c r="K4" s="2551"/>
      <c r="L4" s="2551"/>
      <c r="M4" s="2551"/>
      <c r="N4" s="1973"/>
    </row>
    <row r="6" spans="2:14" x14ac:dyDescent="0.2">
      <c r="B6" s="1974"/>
      <c r="C6" s="1975"/>
      <c r="D6" s="1976" t="s">
        <v>1265</v>
      </c>
      <c r="E6" s="1977" t="s">
        <v>527</v>
      </c>
      <c r="F6" s="1978"/>
      <c r="G6" s="1979" t="s">
        <v>1731</v>
      </c>
      <c r="H6" s="1977"/>
      <c r="I6" s="1977"/>
      <c r="J6" s="1977"/>
      <c r="K6" s="1980"/>
      <c r="L6" s="1981"/>
      <c r="M6" s="1982"/>
    </row>
    <row r="7" spans="2:14" x14ac:dyDescent="0.2">
      <c r="B7" s="1983" t="s">
        <v>1581</v>
      </c>
      <c r="C7" s="1984"/>
      <c r="D7" s="1985"/>
      <c r="E7" s="1986"/>
      <c r="F7" s="1987"/>
      <c r="G7" s="1986"/>
      <c r="H7" s="1988" t="s">
        <v>1262</v>
      </c>
      <c r="I7" s="1986"/>
      <c r="J7" s="1989" t="s">
        <v>1262</v>
      </c>
      <c r="K7" s="1990"/>
      <c r="L7" s="1991" t="s">
        <v>1260</v>
      </c>
      <c r="M7" s="1992"/>
    </row>
    <row r="8" spans="2:14" x14ac:dyDescent="0.2">
      <c r="B8" s="2045"/>
      <c r="C8" s="1984" t="s">
        <v>1264</v>
      </c>
      <c r="D8" s="1985" t="s">
        <v>1263</v>
      </c>
      <c r="E8" s="1993" t="s">
        <v>1262</v>
      </c>
      <c r="F8" s="1994" t="s">
        <v>1262</v>
      </c>
      <c r="G8" s="1995" t="s">
        <v>1262</v>
      </c>
      <c r="H8" s="1988" t="s">
        <v>1836</v>
      </c>
      <c r="I8" s="1990" t="s">
        <v>1262</v>
      </c>
      <c r="J8" s="1989" t="s">
        <v>1985</v>
      </c>
      <c r="K8" s="1990" t="s">
        <v>1261</v>
      </c>
      <c r="L8" s="1991" t="s">
        <v>1257</v>
      </c>
      <c r="M8" s="1992" t="s">
        <v>30</v>
      </c>
    </row>
    <row r="9" spans="2:14" ht="14.25" x14ac:dyDescent="0.2">
      <c r="B9" s="1996" t="s">
        <v>1259</v>
      </c>
      <c r="C9" s="1984" t="s">
        <v>1732</v>
      </c>
      <c r="D9" s="1985" t="s">
        <v>1733</v>
      </c>
      <c r="E9" s="1993" t="s">
        <v>1836</v>
      </c>
      <c r="F9" s="1994" t="s">
        <v>1985</v>
      </c>
      <c r="G9" s="1995" t="s">
        <v>1836</v>
      </c>
      <c r="H9" s="1988" t="s">
        <v>1582</v>
      </c>
      <c r="I9" s="1990" t="s">
        <v>1985</v>
      </c>
      <c r="J9" s="1989" t="s">
        <v>1582</v>
      </c>
      <c r="K9" s="1990" t="s">
        <v>1258</v>
      </c>
      <c r="L9" s="1997" t="s">
        <v>1583</v>
      </c>
      <c r="M9" s="1992"/>
    </row>
    <row r="10" spans="2:14" ht="11.85" customHeight="1" x14ac:dyDescent="0.2">
      <c r="B10" s="1996" t="s">
        <v>1256</v>
      </c>
      <c r="C10" s="1998" t="s">
        <v>1255</v>
      </c>
      <c r="D10" s="1999" t="s">
        <v>1254</v>
      </c>
      <c r="E10" s="2000" t="s">
        <v>1253</v>
      </c>
      <c r="F10" s="2001" t="s">
        <v>1252</v>
      </c>
      <c r="G10" s="2002" t="s">
        <v>1251</v>
      </c>
      <c r="H10" s="2003" t="s">
        <v>1266</v>
      </c>
      <c r="I10" s="2004" t="s">
        <v>1250</v>
      </c>
      <c r="J10" s="2005" t="s">
        <v>1266</v>
      </c>
      <c r="K10" s="2006" t="s">
        <v>1249</v>
      </c>
      <c r="L10" s="2006" t="s">
        <v>1248</v>
      </c>
      <c r="M10" s="2007" t="s">
        <v>1247</v>
      </c>
    </row>
    <row r="11" spans="2:14" ht="20.100000000000001" customHeight="1" x14ac:dyDescent="0.2">
      <c r="B11" s="2008" t="s">
        <v>2127</v>
      </c>
      <c r="C11" s="2009"/>
      <c r="D11" s="2010"/>
      <c r="E11" s="2011"/>
      <c r="F11" s="2011"/>
      <c r="G11" s="2011"/>
      <c r="H11" s="2011"/>
      <c r="I11" s="2011"/>
      <c r="J11" s="2011"/>
      <c r="K11" s="2011"/>
      <c r="L11" s="2011"/>
      <c r="M11" s="2011"/>
    </row>
    <row r="12" spans="2:14" ht="20.100000000000001" customHeight="1" x14ac:dyDescent="0.2">
      <c r="B12" s="2008" t="s">
        <v>2184</v>
      </c>
      <c r="C12" s="2012">
        <v>84.173000000000002</v>
      </c>
      <c r="D12" s="2013" t="s">
        <v>2128</v>
      </c>
      <c r="E12" s="2014"/>
      <c r="F12" s="2014">
        <v>31454</v>
      </c>
      <c r="G12" s="2014"/>
      <c r="H12" s="2014"/>
      <c r="I12" s="2014">
        <v>31454</v>
      </c>
      <c r="J12" s="2014"/>
      <c r="K12" s="2014"/>
      <c r="L12" s="2011">
        <f t="shared" ref="L12:L24" si="0">+G12+I12+K12</f>
        <v>31454</v>
      </c>
      <c r="M12" s="2014">
        <v>50464</v>
      </c>
    </row>
    <row r="13" spans="2:14" ht="20.100000000000001" customHeight="1" x14ac:dyDescent="0.2">
      <c r="B13" s="2008" t="s">
        <v>2185</v>
      </c>
      <c r="C13" s="2012">
        <v>84.027000000000001</v>
      </c>
      <c r="D13" s="2013" t="s">
        <v>2129</v>
      </c>
      <c r="E13" s="2014">
        <v>44</v>
      </c>
      <c r="F13" s="2014">
        <v>947884</v>
      </c>
      <c r="G13" s="2014">
        <v>44</v>
      </c>
      <c r="H13" s="2014"/>
      <c r="I13" s="2014">
        <v>947884</v>
      </c>
      <c r="J13" s="2014"/>
      <c r="K13" s="2014"/>
      <c r="L13" s="2011">
        <f t="shared" si="0"/>
        <v>947928</v>
      </c>
      <c r="M13" s="2014">
        <v>1228348</v>
      </c>
    </row>
    <row r="14" spans="2:14" ht="20.100000000000001" customHeight="1" x14ac:dyDescent="0.2">
      <c r="B14" s="2008" t="s">
        <v>2186</v>
      </c>
      <c r="C14" s="2012">
        <v>84.027000000000001</v>
      </c>
      <c r="D14" s="2013" t="s">
        <v>2130</v>
      </c>
      <c r="E14" s="2014">
        <f>909108-44</f>
        <v>909064</v>
      </c>
      <c r="F14" s="2014"/>
      <c r="G14" s="2014">
        <v>909064</v>
      </c>
      <c r="H14" s="2014"/>
      <c r="I14" s="2014"/>
      <c r="J14" s="2014"/>
      <c r="K14" s="2014"/>
      <c r="L14" s="2011">
        <f t="shared" si="0"/>
        <v>909064</v>
      </c>
      <c r="M14" s="2014">
        <v>1116113</v>
      </c>
    </row>
    <row r="15" spans="2:14" ht="20.100000000000001" customHeight="1" x14ac:dyDescent="0.2">
      <c r="B15" s="2008" t="s">
        <v>2136</v>
      </c>
      <c r="C15" s="2012"/>
      <c r="D15" s="2013"/>
      <c r="E15" s="2014">
        <f>+E12+E13+E14</f>
        <v>909108</v>
      </c>
      <c r="F15" s="2014">
        <f>+F12+F13+F14</f>
        <v>979338</v>
      </c>
      <c r="G15" s="2014">
        <f>+G12+G13+G14</f>
        <v>909108</v>
      </c>
      <c r="H15" s="2014"/>
      <c r="I15" s="2014">
        <f>+I12+I13+I14</f>
        <v>979338</v>
      </c>
      <c r="J15" s="2014"/>
      <c r="K15" s="2014"/>
      <c r="L15" s="2011"/>
      <c r="M15" s="2014"/>
    </row>
    <row r="16" spans="2:14" ht="20.100000000000001" customHeight="1" x14ac:dyDescent="0.2">
      <c r="B16" s="2008" t="s">
        <v>1169</v>
      </c>
      <c r="C16" s="2012" t="s">
        <v>1169</v>
      </c>
      <c r="D16" s="2013" t="s">
        <v>1169</v>
      </c>
      <c r="E16" s="2014" t="s">
        <v>1169</v>
      </c>
      <c r="F16" s="2014" t="s">
        <v>1169</v>
      </c>
      <c r="G16" s="2014" t="s">
        <v>1169</v>
      </c>
      <c r="H16" s="2014" t="s">
        <v>1169</v>
      </c>
      <c r="I16" s="2014" t="s">
        <v>1169</v>
      </c>
      <c r="J16" s="2014" t="s">
        <v>1169</v>
      </c>
      <c r="K16" s="2014" t="s">
        <v>1169</v>
      </c>
      <c r="L16" s="2011" t="s">
        <v>1169</v>
      </c>
      <c r="M16" s="2014" t="s">
        <v>1169</v>
      </c>
    </row>
    <row r="17" spans="2:14" ht="20.100000000000001" customHeight="1" x14ac:dyDescent="0.2">
      <c r="B17" s="2008" t="s">
        <v>2133</v>
      </c>
      <c r="C17" s="2012" t="s">
        <v>2131</v>
      </c>
      <c r="D17" s="2013" t="s">
        <v>2132</v>
      </c>
      <c r="E17" s="2014">
        <v>0</v>
      </c>
      <c r="F17" s="2014">
        <v>627498</v>
      </c>
      <c r="G17" s="2014">
        <v>0</v>
      </c>
      <c r="H17" s="2014"/>
      <c r="I17" s="2014">
        <v>627498</v>
      </c>
      <c r="J17" s="2014"/>
      <c r="K17" s="2014"/>
      <c r="L17" s="2011">
        <f t="shared" si="0"/>
        <v>627498</v>
      </c>
      <c r="M17" s="2014">
        <v>694400</v>
      </c>
    </row>
    <row r="18" spans="2:14" ht="20.100000000000001" customHeight="1" x14ac:dyDescent="0.2">
      <c r="B18" s="2008" t="s">
        <v>2134</v>
      </c>
      <c r="C18" s="2012" t="s">
        <v>2131</v>
      </c>
      <c r="D18" s="2013" t="s">
        <v>2135</v>
      </c>
      <c r="E18" s="2014">
        <v>595954</v>
      </c>
      <c r="F18" s="2014">
        <v>98446</v>
      </c>
      <c r="G18" s="2014">
        <v>595954</v>
      </c>
      <c r="H18" s="2014"/>
      <c r="I18" s="2014">
        <v>98446</v>
      </c>
      <c r="J18" s="2014"/>
      <c r="K18" s="2014"/>
      <c r="L18" s="2011">
        <f t="shared" si="0"/>
        <v>694400</v>
      </c>
      <c r="M18" s="2014">
        <v>694400</v>
      </c>
    </row>
    <row r="19" spans="2:14" ht="20.100000000000001" customHeight="1" x14ac:dyDescent="0.2">
      <c r="B19" s="2008" t="s">
        <v>2137</v>
      </c>
      <c r="C19" s="2012"/>
      <c r="D19" s="2013"/>
      <c r="E19" s="2014">
        <f>+E17+E18</f>
        <v>595954</v>
      </c>
      <c r="F19" s="2014">
        <f>+F17+F18</f>
        <v>725944</v>
      </c>
      <c r="G19" s="2014">
        <f>+G17+G18</f>
        <v>595954</v>
      </c>
      <c r="H19" s="2014"/>
      <c r="I19" s="2014">
        <f>+I17+I18</f>
        <v>725944</v>
      </c>
      <c r="J19" s="2014"/>
      <c r="K19" s="2014"/>
      <c r="L19" s="2011">
        <f t="shared" si="0"/>
        <v>1321898</v>
      </c>
      <c r="M19" s="2014"/>
    </row>
    <row r="20" spans="2:14" ht="20.100000000000001" customHeight="1" x14ac:dyDescent="0.2">
      <c r="B20" s="2008"/>
      <c r="C20" s="2012"/>
      <c r="D20" s="2013"/>
      <c r="E20" s="2014"/>
      <c r="F20" s="2014"/>
      <c r="G20" s="2014"/>
      <c r="H20" s="2014"/>
      <c r="I20" s="2014"/>
      <c r="J20" s="2014"/>
      <c r="K20" s="2014"/>
      <c r="L20" s="2011"/>
      <c r="M20" s="2014"/>
    </row>
    <row r="21" spans="2:14" ht="20.100000000000001" customHeight="1" x14ac:dyDescent="0.2">
      <c r="B21" s="2008" t="s">
        <v>2138</v>
      </c>
      <c r="C21" s="2012">
        <v>84.287000000000006</v>
      </c>
      <c r="D21" s="2013" t="s">
        <v>2143</v>
      </c>
      <c r="E21" s="2014"/>
      <c r="F21" s="2014">
        <v>368252</v>
      </c>
      <c r="G21" s="2014"/>
      <c r="H21" s="2014"/>
      <c r="I21" s="2014">
        <v>368252</v>
      </c>
      <c r="J21" s="2014"/>
      <c r="K21" s="2014"/>
      <c r="L21" s="2011">
        <f>+I21+G21</f>
        <v>368252</v>
      </c>
      <c r="M21" s="2014">
        <v>540000</v>
      </c>
    </row>
    <row r="22" spans="2:14" ht="20.100000000000001" customHeight="1" x14ac:dyDescent="0.2">
      <c r="B22" s="2008" t="s">
        <v>2139</v>
      </c>
      <c r="C22" s="2012">
        <v>84.287000000000006</v>
      </c>
      <c r="D22" s="2013" t="s">
        <v>2144</v>
      </c>
      <c r="E22" s="2014">
        <v>440527</v>
      </c>
      <c r="F22" s="2014">
        <v>97174</v>
      </c>
      <c r="G22" s="2014">
        <v>440527</v>
      </c>
      <c r="H22" s="2014"/>
      <c r="I22" s="2014">
        <v>97174</v>
      </c>
      <c r="J22" s="2014"/>
      <c r="K22" s="2014"/>
      <c r="L22" s="2011">
        <f t="shared" si="0"/>
        <v>537701</v>
      </c>
      <c r="M22" s="2014">
        <v>540000</v>
      </c>
    </row>
    <row r="23" spans="2:14" ht="20.100000000000001" customHeight="1" x14ac:dyDescent="0.2">
      <c r="B23" s="2008" t="s">
        <v>2140</v>
      </c>
      <c r="C23" s="2012">
        <v>84.287000000000006</v>
      </c>
      <c r="D23" s="2013" t="s">
        <v>2145</v>
      </c>
      <c r="E23" s="2014"/>
      <c r="F23" s="2014">
        <v>395920</v>
      </c>
      <c r="G23" s="2014"/>
      <c r="H23" s="2014"/>
      <c r="I23" s="2014">
        <v>395920</v>
      </c>
      <c r="J23" s="2014"/>
      <c r="K23" s="2014"/>
      <c r="L23" s="2011">
        <f t="shared" si="0"/>
        <v>395920</v>
      </c>
      <c r="M23" s="2014">
        <v>540000</v>
      </c>
    </row>
    <row r="24" spans="2:14" ht="20.100000000000001" customHeight="1" x14ac:dyDescent="0.2">
      <c r="B24" s="2008" t="s">
        <v>2141</v>
      </c>
      <c r="C24" s="2012">
        <v>84.287000000000006</v>
      </c>
      <c r="D24" s="2013" t="s">
        <v>2146</v>
      </c>
      <c r="E24" s="2014">
        <v>424045</v>
      </c>
      <c r="F24" s="2014">
        <v>97372</v>
      </c>
      <c r="G24" s="2014">
        <v>424045</v>
      </c>
      <c r="H24" s="2014"/>
      <c r="I24" s="2014">
        <v>97372</v>
      </c>
      <c r="J24" s="2014"/>
      <c r="K24" s="2014"/>
      <c r="L24" s="2011">
        <f t="shared" si="0"/>
        <v>521417</v>
      </c>
      <c r="M24" s="2014">
        <v>540000</v>
      </c>
    </row>
    <row r="25" spans="2:14" ht="20.100000000000001" customHeight="1" x14ac:dyDescent="0.2">
      <c r="B25" s="2008" t="s">
        <v>2142</v>
      </c>
      <c r="C25" s="2012"/>
      <c r="D25" s="2013"/>
      <c r="E25" s="2014">
        <f>+E21+E22+E23+E24</f>
        <v>864572</v>
      </c>
      <c r="F25" s="2014">
        <f>+F21+F22+F23+F24</f>
        <v>958718</v>
      </c>
      <c r="G25" s="2014">
        <f>+G21+G22+G23+G24</f>
        <v>864572</v>
      </c>
      <c r="H25" s="2014"/>
      <c r="I25" s="2014">
        <f>+I21+I22+I23+I24</f>
        <v>958718</v>
      </c>
      <c r="J25" s="2014"/>
      <c r="K25" s="2014"/>
      <c r="L25" s="2011"/>
      <c r="M25" s="2014"/>
    </row>
    <row r="26" spans="2:14" ht="20.100000000000001" customHeight="1" x14ac:dyDescent="0.2">
      <c r="B26" s="2008"/>
      <c r="C26" s="2012"/>
      <c r="D26" s="2013"/>
      <c r="E26" s="2014"/>
      <c r="F26" s="2014"/>
      <c r="G26" s="2014"/>
      <c r="H26" s="2014"/>
      <c r="I26" s="2014"/>
      <c r="J26" s="2014"/>
      <c r="K26" s="2014"/>
      <c r="L26" s="2011"/>
      <c r="M26" s="2014"/>
    </row>
    <row r="27" spans="2:14" ht="20.100000000000001" customHeight="1" x14ac:dyDescent="0.2">
      <c r="B27" s="2008"/>
      <c r="C27" s="2012"/>
      <c r="D27" s="2013"/>
      <c r="E27" s="2014"/>
      <c r="F27" s="2014"/>
      <c r="G27" s="2014"/>
      <c r="H27" s="2014"/>
      <c r="I27" s="2014"/>
      <c r="J27" s="2014"/>
      <c r="K27" s="2014"/>
      <c r="L27" s="2011"/>
      <c r="M27" s="2014"/>
      <c r="N27" s="2015"/>
    </row>
    <row r="28" spans="2:14" ht="12.75" customHeight="1" x14ac:dyDescent="0.2">
      <c r="B28" s="2016"/>
      <c r="C28" s="2017"/>
      <c r="D28" s="2018"/>
      <c r="E28" s="2019"/>
      <c r="F28" s="2019"/>
      <c r="G28" s="2019"/>
      <c r="H28" s="2019"/>
      <c r="I28" s="2019"/>
      <c r="J28" s="2019"/>
      <c r="K28" s="2019"/>
      <c r="L28" s="2019"/>
      <c r="M28" s="2019"/>
      <c r="N28" s="2015"/>
    </row>
    <row r="29" spans="2:14" x14ac:dyDescent="0.2">
      <c r="B29" s="1965"/>
      <c r="C29" s="2020"/>
      <c r="D29" s="2021"/>
      <c r="E29" s="1965"/>
      <c r="F29" s="1965"/>
      <c r="G29" s="1964"/>
      <c r="H29" s="1964"/>
      <c r="I29" s="1964"/>
      <c r="J29" s="1964"/>
      <c r="K29" s="1964"/>
      <c r="L29" s="1964"/>
      <c r="M29" s="1965"/>
      <c r="N29" s="2015"/>
    </row>
    <row r="30" spans="2:14" ht="13.5" customHeight="1" x14ac:dyDescent="0.2">
      <c r="B30" s="1970" t="s">
        <v>1734</v>
      </c>
      <c r="C30" s="2020"/>
      <c r="D30" s="2021"/>
      <c r="E30" s="1965"/>
      <c r="F30" s="1965"/>
      <c r="G30" s="1964"/>
      <c r="H30" s="1964"/>
      <c r="I30" s="1964"/>
      <c r="J30" s="1964"/>
      <c r="K30" s="1964"/>
      <c r="L30" s="1964"/>
      <c r="M30" s="1965"/>
      <c r="N30" s="2015"/>
    </row>
    <row r="31" spans="2:14" ht="8.25" customHeight="1" x14ac:dyDescent="0.2">
      <c r="B31" s="1970"/>
      <c r="C31" s="2020"/>
      <c r="D31" s="2021"/>
      <c r="E31" s="1965"/>
      <c r="F31" s="1965"/>
      <c r="G31" s="1964"/>
      <c r="H31" s="1964"/>
      <c r="I31" s="1964"/>
      <c r="J31" s="1964"/>
      <c r="K31" s="1964"/>
      <c r="L31" s="1964"/>
      <c r="M31" s="1965"/>
      <c r="N31" s="2015"/>
    </row>
    <row r="32" spans="2:14" x14ac:dyDescent="0.2">
      <c r="B32" s="2022" t="s">
        <v>1837</v>
      </c>
      <c r="C32" s="2023"/>
      <c r="D32" s="2024"/>
      <c r="E32" s="2025"/>
      <c r="F32" s="2025"/>
      <c r="G32" s="2025"/>
      <c r="H32" s="2025"/>
      <c r="I32" s="1963"/>
      <c r="J32" s="1963"/>
    </row>
    <row r="33" spans="2:13" x14ac:dyDescent="0.2">
      <c r="B33" s="1968"/>
      <c r="C33" s="2026"/>
      <c r="D33" s="2027"/>
      <c r="E33" s="1969"/>
      <c r="F33" s="1969"/>
      <c r="G33" s="1963"/>
      <c r="H33" s="1963"/>
      <c r="I33" s="1963"/>
      <c r="J33" s="1963"/>
    </row>
    <row r="34" spans="2:13" ht="13.5" customHeight="1" x14ac:dyDescent="0.2">
      <c r="B34" s="1967" t="s">
        <v>1246</v>
      </c>
      <c r="G34" s="1963"/>
      <c r="H34" s="1963"/>
      <c r="I34" s="1963"/>
      <c r="J34" s="1963"/>
    </row>
    <row r="35" spans="2:13" ht="13.5" customHeight="1" x14ac:dyDescent="0.2">
      <c r="B35" s="2030"/>
      <c r="C35" s="2031"/>
      <c r="D35" s="2032"/>
      <c r="E35" s="1971"/>
      <c r="F35" s="1971"/>
      <c r="G35" s="1971"/>
      <c r="H35" s="1971"/>
      <c r="I35" s="1971"/>
      <c r="J35" s="1971"/>
      <c r="K35" s="2033"/>
      <c r="L35" s="2033"/>
      <c r="M35" s="1971"/>
    </row>
    <row r="36" spans="2:13" ht="9.6" customHeight="1" x14ac:dyDescent="0.2">
      <c r="B36" s="2034"/>
      <c r="G36" s="1963"/>
      <c r="H36" s="1963"/>
      <c r="I36" s="1963"/>
      <c r="J36" s="1963"/>
    </row>
    <row r="37" spans="2:13" ht="11.25" customHeight="1" x14ac:dyDescent="0.2">
      <c r="B37" s="2035" t="s">
        <v>1735</v>
      </c>
      <c r="C37" s="2036"/>
      <c r="D37" s="2036"/>
      <c r="E37" s="2036"/>
      <c r="F37" s="2036"/>
      <c r="G37" s="2036"/>
      <c r="H37" s="2036"/>
      <c r="I37" s="2037"/>
      <c r="J37" s="2037"/>
      <c r="K37" s="2037"/>
      <c r="L37" s="2037"/>
      <c r="M37" s="2037"/>
    </row>
    <row r="38" spans="2:13" ht="11.25" customHeight="1" x14ac:dyDescent="0.2">
      <c r="B38" s="2038" t="s">
        <v>1584</v>
      </c>
      <c r="C38" s="2037"/>
      <c r="D38" s="2037"/>
      <c r="E38" s="2037"/>
      <c r="F38" s="2037"/>
      <c r="G38" s="2037"/>
      <c r="H38" s="2037"/>
      <c r="I38" s="2037"/>
      <c r="J38" s="2037"/>
      <c r="K38" s="2037"/>
      <c r="L38" s="2037"/>
      <c r="M38" s="2037"/>
    </row>
    <row r="39" spans="2:13" ht="3.95" customHeight="1" x14ac:dyDescent="0.2">
      <c r="B39" s="2038"/>
      <c r="C39" s="2037"/>
      <c r="D39" s="2037"/>
      <c r="E39" s="2037"/>
      <c r="F39" s="2037"/>
      <c r="G39" s="2037"/>
      <c r="H39" s="2037"/>
      <c r="I39" s="2037"/>
      <c r="J39" s="2037"/>
      <c r="K39" s="2037"/>
      <c r="L39" s="2037"/>
      <c r="M39" s="2037"/>
    </row>
    <row r="40" spans="2:13" ht="11.25" customHeight="1" x14ac:dyDescent="0.2">
      <c r="B40" s="2035" t="s">
        <v>1736</v>
      </c>
      <c r="C40" s="2037"/>
      <c r="D40" s="2037"/>
      <c r="E40" s="2037"/>
      <c r="F40" s="2037"/>
      <c r="G40" s="2037"/>
      <c r="H40" s="2037"/>
      <c r="I40" s="2037"/>
      <c r="J40" s="2037"/>
      <c r="K40" s="2037"/>
      <c r="L40" s="2037"/>
      <c r="M40" s="2037"/>
    </row>
    <row r="41" spans="2:13" ht="11.25" customHeight="1" x14ac:dyDescent="0.2">
      <c r="B41" s="1972" t="s">
        <v>1585</v>
      </c>
      <c r="C41" s="2039"/>
      <c r="D41" s="2040"/>
      <c r="E41" s="1972"/>
      <c r="F41" s="1972"/>
      <c r="G41" s="1972"/>
      <c r="H41" s="1972"/>
      <c r="I41" s="1972"/>
      <c r="J41" s="1972"/>
      <c r="K41" s="2041"/>
      <c r="L41" s="2041"/>
      <c r="M41" s="1972"/>
    </row>
    <row r="42" spans="2:13" ht="3.95" customHeight="1" x14ac:dyDescent="0.2">
      <c r="B42" s="1972"/>
      <c r="C42" s="2039"/>
      <c r="D42" s="2040"/>
      <c r="E42" s="1972"/>
      <c r="F42" s="1972"/>
      <c r="G42" s="1972"/>
      <c r="H42" s="1972"/>
      <c r="I42" s="1972"/>
      <c r="J42" s="1972"/>
      <c r="K42" s="2041"/>
      <c r="L42" s="2041"/>
      <c r="M42" s="1972"/>
    </row>
    <row r="43" spans="2:13" ht="11.25" customHeight="1" x14ac:dyDescent="0.2">
      <c r="B43" s="2042" t="s">
        <v>1737</v>
      </c>
      <c r="C43" s="2039"/>
      <c r="D43" s="2040"/>
      <c r="E43" s="1972"/>
      <c r="F43" s="1972"/>
      <c r="G43" s="1972"/>
      <c r="H43" s="1972"/>
      <c r="I43" s="1972"/>
      <c r="J43" s="1972"/>
      <c r="K43" s="2041"/>
      <c r="L43" s="2041"/>
      <c r="M43" s="1972"/>
    </row>
    <row r="44" spans="2:13" ht="3.95" customHeight="1" x14ac:dyDescent="0.2">
      <c r="B44" s="2042"/>
      <c r="C44" s="2039"/>
      <c r="D44" s="2040"/>
      <c r="E44" s="1972"/>
      <c r="F44" s="1972"/>
      <c r="G44" s="1972"/>
      <c r="H44" s="1972"/>
      <c r="I44" s="1972"/>
      <c r="J44" s="1972"/>
      <c r="K44" s="2041"/>
      <c r="L44" s="2041"/>
      <c r="M44" s="1972"/>
    </row>
    <row r="45" spans="2:13" ht="11.25" customHeight="1" x14ac:dyDescent="0.2">
      <c r="B45" s="2043" t="s">
        <v>1738</v>
      </c>
      <c r="C45" s="2039"/>
      <c r="D45" s="2040"/>
      <c r="E45" s="1972"/>
      <c r="F45" s="1972"/>
      <c r="G45" s="1972"/>
      <c r="H45" s="1972"/>
      <c r="I45" s="1972"/>
      <c r="J45" s="1972"/>
      <c r="K45" s="2041"/>
      <c r="L45" s="2041"/>
      <c r="M45" s="1972"/>
    </row>
    <row r="46" spans="2:13" ht="11.25" customHeight="1" x14ac:dyDescent="0.2">
      <c r="B46" s="1972" t="s">
        <v>1586</v>
      </c>
      <c r="G46" s="1963"/>
      <c r="H46" s="1963"/>
      <c r="I46" s="1963"/>
      <c r="J46" s="1963"/>
    </row>
    <row r="47" spans="2:13" ht="11.1" customHeight="1" x14ac:dyDescent="0.2">
      <c r="B47" s="1972"/>
      <c r="G47" s="1963"/>
      <c r="H47" s="1963"/>
      <c r="I47" s="1963"/>
      <c r="J47" s="1963"/>
    </row>
    <row r="48" spans="2:13" ht="11.1" customHeight="1" x14ac:dyDescent="0.2">
      <c r="B48" s="1972"/>
      <c r="G48" s="1963"/>
      <c r="H48" s="1963"/>
      <c r="I48" s="1963"/>
      <c r="J48" s="1963"/>
    </row>
    <row r="49" spans="7:13" ht="13.5" customHeight="1" x14ac:dyDescent="0.2">
      <c r="M49" s="2044"/>
    </row>
    <row r="50" spans="7:13" ht="13.5" customHeight="1" x14ac:dyDescent="0.2">
      <c r="M50" s="2044"/>
    </row>
    <row r="51" spans="7:13" ht="13.5" customHeight="1" x14ac:dyDescent="0.2">
      <c r="M51" s="2044"/>
    </row>
    <row r="52" spans="7:13" ht="13.5" customHeight="1" x14ac:dyDescent="0.2">
      <c r="G52" s="1963"/>
      <c r="H52" s="1963"/>
      <c r="I52" s="1963"/>
      <c r="J52" s="1963"/>
    </row>
    <row r="53" spans="7:13" ht="13.5" customHeight="1" x14ac:dyDescent="0.2">
      <c r="G53" s="1963"/>
      <c r="H53" s="1963"/>
      <c r="I53" s="1963"/>
      <c r="J53" s="1963"/>
    </row>
    <row r="54" spans="7:13" ht="13.5" customHeight="1" x14ac:dyDescent="0.2">
      <c r="G54" s="1963"/>
      <c r="H54" s="1963"/>
      <c r="I54" s="1963"/>
      <c r="J54" s="1963"/>
    </row>
    <row r="55" spans="7:13" ht="13.5" customHeight="1" x14ac:dyDescent="0.2">
      <c r="G55" s="1963"/>
      <c r="H55" s="1963"/>
      <c r="I55" s="1963"/>
      <c r="J55" s="1963"/>
    </row>
    <row r="56" spans="7:13" ht="13.5" customHeight="1" x14ac:dyDescent="0.2">
      <c r="G56" s="1963"/>
      <c r="H56" s="1963"/>
      <c r="I56" s="1963"/>
      <c r="J56" s="1963"/>
    </row>
    <row r="57" spans="7:13" ht="13.5" customHeight="1" x14ac:dyDescent="0.2">
      <c r="G57" s="1963"/>
      <c r="H57" s="1963"/>
      <c r="I57" s="1963"/>
      <c r="J57" s="1963"/>
    </row>
    <row r="58" spans="7:13" ht="13.5" customHeight="1" x14ac:dyDescent="0.2">
      <c r="G58" s="1963"/>
      <c r="H58" s="1963"/>
      <c r="I58" s="1963"/>
      <c r="J58" s="1963"/>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4" bottom="0.2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9DF7C-47AA-4F6A-9D2B-BBBD5A1BB399}">
  <dimension ref="B1:N152"/>
  <sheetViews>
    <sheetView showGridLines="0" topLeftCell="A10" zoomScaleNormal="100" workbookViewId="0">
      <selection activeCell="B5" sqref="B5"/>
    </sheetView>
  </sheetViews>
  <sheetFormatPr defaultColWidth="33.5703125" defaultRowHeight="12.75" x14ac:dyDescent="0.2"/>
  <cols>
    <col min="1" max="1" width="0.140625" style="1963" customWidth="1"/>
    <col min="2" max="2" width="32.85546875" style="1963" customWidth="1"/>
    <col min="3" max="3" width="8.7109375" style="2028" customWidth="1"/>
    <col min="4" max="4" width="12.7109375" style="2029" customWidth="1"/>
    <col min="5" max="6" width="11.7109375" style="1963" customWidth="1"/>
    <col min="7" max="7" width="11.7109375" style="1966" customWidth="1"/>
    <col min="8" max="8" width="13.7109375" style="1966" bestFit="1" customWidth="1"/>
    <col min="9" max="9" width="11.7109375" style="1966" customWidth="1"/>
    <col min="10" max="10" width="13.7109375" style="1966" customWidth="1"/>
    <col min="11" max="12" width="11.7109375" style="1966" customWidth="1"/>
    <col min="13" max="13" width="11.7109375" style="1963" customWidth="1"/>
    <col min="14" max="14" width="2.7109375" style="1963" customWidth="1"/>
    <col min="15" max="16384" width="33.5703125" style="1963"/>
  </cols>
  <sheetData>
    <row r="1" spans="2:14" ht="11.85" customHeight="1" x14ac:dyDescent="0.2">
      <c r="B1" s="2505" t="str">
        <f>'Single Audit Cover'!A7</f>
        <v>Cahokia CUSD 187</v>
      </c>
      <c r="C1" s="2548"/>
      <c r="D1" s="2548"/>
      <c r="E1" s="2548"/>
      <c r="F1" s="2548"/>
      <c r="G1" s="2548"/>
      <c r="H1" s="2548"/>
      <c r="I1" s="2548"/>
      <c r="J1" s="2548"/>
      <c r="K1" s="2548"/>
      <c r="L1" s="2548"/>
      <c r="M1" s="2548"/>
    </row>
    <row r="2" spans="2:14" ht="15" x14ac:dyDescent="0.2">
      <c r="B2" s="2549">
        <f>'Single Audit Cover'!E7</f>
        <v>50082187026</v>
      </c>
      <c r="C2" s="2549"/>
      <c r="D2" s="2549"/>
      <c r="E2" s="2549"/>
      <c r="F2" s="2549"/>
      <c r="G2" s="2549"/>
      <c r="H2" s="2549"/>
      <c r="I2" s="2549"/>
      <c r="J2" s="2549"/>
      <c r="K2" s="2549"/>
      <c r="L2" s="2549"/>
      <c r="M2" s="2549"/>
      <c r="N2" s="1973"/>
    </row>
    <row r="3" spans="2:14" ht="15" x14ac:dyDescent="0.2">
      <c r="B3" s="2550" t="s">
        <v>1219</v>
      </c>
      <c r="C3" s="2550"/>
      <c r="D3" s="2550"/>
      <c r="E3" s="2550"/>
      <c r="F3" s="2550"/>
      <c r="G3" s="2550"/>
      <c r="H3" s="2550"/>
      <c r="I3" s="2550"/>
      <c r="J3" s="2550"/>
      <c r="K3" s="2550"/>
      <c r="L3" s="2550"/>
      <c r="M3" s="2550"/>
      <c r="N3" s="1973"/>
    </row>
    <row r="4" spans="2:14" ht="15" x14ac:dyDescent="0.2">
      <c r="B4" s="2551" t="str">
        <f>'Single Audit Cover'!A4</f>
        <v>Year Ending June 30, 2019</v>
      </c>
      <c r="C4" s="2551"/>
      <c r="D4" s="2551"/>
      <c r="E4" s="2551"/>
      <c r="F4" s="2551"/>
      <c r="G4" s="2551"/>
      <c r="H4" s="2551"/>
      <c r="I4" s="2551"/>
      <c r="J4" s="2551"/>
      <c r="K4" s="2551"/>
      <c r="L4" s="2551"/>
      <c r="M4" s="2551"/>
      <c r="N4" s="1973"/>
    </row>
    <row r="6" spans="2:14" x14ac:dyDescent="0.2">
      <c r="B6" s="1974"/>
      <c r="C6" s="1975"/>
      <c r="D6" s="1976" t="s">
        <v>1265</v>
      </c>
      <c r="E6" s="1977" t="s">
        <v>527</v>
      </c>
      <c r="F6" s="1978"/>
      <c r="G6" s="1979" t="s">
        <v>1731</v>
      </c>
      <c r="H6" s="1977"/>
      <c r="I6" s="1977"/>
      <c r="J6" s="1977"/>
      <c r="K6" s="1980"/>
      <c r="L6" s="1981"/>
      <c r="M6" s="1982"/>
    </row>
    <row r="7" spans="2:14" x14ac:dyDescent="0.2">
      <c r="B7" s="1983" t="s">
        <v>1581</v>
      </c>
      <c r="C7" s="1984"/>
      <c r="D7" s="1985"/>
      <c r="E7" s="1986"/>
      <c r="F7" s="1987"/>
      <c r="G7" s="1986"/>
      <c r="H7" s="1988" t="s">
        <v>1262</v>
      </c>
      <c r="I7" s="1986"/>
      <c r="J7" s="1989" t="s">
        <v>1262</v>
      </c>
      <c r="K7" s="1990"/>
      <c r="L7" s="1991" t="s">
        <v>1260</v>
      </c>
      <c r="M7" s="1992"/>
    </row>
    <row r="8" spans="2:14" x14ac:dyDescent="0.2">
      <c r="B8" s="2045"/>
      <c r="C8" s="1984" t="s">
        <v>1264</v>
      </c>
      <c r="D8" s="1985" t="s">
        <v>1263</v>
      </c>
      <c r="E8" s="1993" t="s">
        <v>1262</v>
      </c>
      <c r="F8" s="1994" t="s">
        <v>1262</v>
      </c>
      <c r="G8" s="1995" t="s">
        <v>1262</v>
      </c>
      <c r="H8" s="1988" t="s">
        <v>1836</v>
      </c>
      <c r="I8" s="1990" t="s">
        <v>1262</v>
      </c>
      <c r="J8" s="1989" t="s">
        <v>1985</v>
      </c>
      <c r="K8" s="1990" t="s">
        <v>1261</v>
      </c>
      <c r="L8" s="1991" t="s">
        <v>1257</v>
      </c>
      <c r="M8" s="1992" t="s">
        <v>30</v>
      </c>
    </row>
    <row r="9" spans="2:14" ht="14.25" x14ac:dyDescent="0.2">
      <c r="B9" s="1996" t="s">
        <v>1259</v>
      </c>
      <c r="C9" s="1984" t="s">
        <v>1732</v>
      </c>
      <c r="D9" s="1985" t="s">
        <v>1733</v>
      </c>
      <c r="E9" s="1993" t="s">
        <v>1836</v>
      </c>
      <c r="F9" s="1994" t="s">
        <v>1985</v>
      </c>
      <c r="G9" s="1995" t="s">
        <v>1836</v>
      </c>
      <c r="H9" s="1988" t="s">
        <v>1582</v>
      </c>
      <c r="I9" s="1990" t="s">
        <v>1985</v>
      </c>
      <c r="J9" s="1989" t="s">
        <v>1582</v>
      </c>
      <c r="K9" s="1990" t="s">
        <v>1258</v>
      </c>
      <c r="L9" s="1997" t="s">
        <v>1583</v>
      </c>
      <c r="M9" s="1992"/>
    </row>
    <row r="10" spans="2:14" ht="11.85" customHeight="1" x14ac:dyDescent="0.2">
      <c r="B10" s="1996" t="s">
        <v>1256</v>
      </c>
      <c r="C10" s="1998" t="s">
        <v>1255</v>
      </c>
      <c r="D10" s="1999" t="s">
        <v>1254</v>
      </c>
      <c r="E10" s="2000" t="s">
        <v>1253</v>
      </c>
      <c r="F10" s="2001" t="s">
        <v>1252</v>
      </c>
      <c r="G10" s="2002" t="s">
        <v>1251</v>
      </c>
      <c r="H10" s="2003" t="s">
        <v>1266</v>
      </c>
      <c r="I10" s="2004" t="s">
        <v>1250</v>
      </c>
      <c r="J10" s="2005" t="s">
        <v>1266</v>
      </c>
      <c r="K10" s="2006" t="s">
        <v>1249</v>
      </c>
      <c r="L10" s="2006" t="s">
        <v>1248</v>
      </c>
      <c r="M10" s="2007" t="s">
        <v>1247</v>
      </c>
    </row>
    <row r="11" spans="2:14" ht="20.100000000000001" customHeight="1" x14ac:dyDescent="0.2">
      <c r="B11" s="2008" t="s">
        <v>2127</v>
      </c>
      <c r="C11" s="2009"/>
      <c r="D11" s="2010"/>
      <c r="E11" s="2011"/>
      <c r="F11" s="2011"/>
      <c r="G11" s="2011"/>
      <c r="H11" s="2011"/>
      <c r="I11" s="2011"/>
      <c r="J11" s="2011"/>
      <c r="K11" s="2011"/>
      <c r="L11" s="2011"/>
      <c r="M11" s="2011"/>
    </row>
    <row r="12" spans="2:14" ht="20.100000000000001" customHeight="1" x14ac:dyDescent="0.2">
      <c r="B12" s="2008" t="s">
        <v>2147</v>
      </c>
      <c r="C12" s="2012">
        <v>84.424000000000007</v>
      </c>
      <c r="D12" s="2013" t="s">
        <v>2148</v>
      </c>
      <c r="E12" s="2014">
        <v>0</v>
      </c>
      <c r="F12" s="2014">
        <v>144817</v>
      </c>
      <c r="G12" s="2014"/>
      <c r="H12" s="2014"/>
      <c r="I12" s="2014">
        <v>144817</v>
      </c>
      <c r="J12" s="2014"/>
      <c r="K12" s="2014"/>
      <c r="L12" s="2011">
        <f t="shared" ref="L12:L20" si="0">+G12+I12+K12</f>
        <v>144817</v>
      </c>
      <c r="M12" s="2014">
        <v>198989</v>
      </c>
    </row>
    <row r="13" spans="2:14" ht="20.100000000000001" customHeight="1" x14ac:dyDescent="0.2">
      <c r="B13" s="2008"/>
      <c r="C13" s="2012"/>
      <c r="D13" s="2013"/>
      <c r="E13" s="2014"/>
      <c r="F13" s="2014"/>
      <c r="G13" s="2014"/>
      <c r="H13" s="2014"/>
      <c r="I13" s="2014"/>
      <c r="J13" s="2014"/>
      <c r="K13" s="2014"/>
      <c r="L13" s="2011" t="s">
        <v>1169</v>
      </c>
      <c r="M13" s="2014"/>
    </row>
    <row r="14" spans="2:14" ht="20.100000000000001" customHeight="1" x14ac:dyDescent="0.2">
      <c r="B14" s="2008" t="s">
        <v>2165</v>
      </c>
      <c r="C14" s="2012"/>
      <c r="D14" s="2013"/>
      <c r="E14" s="2014">
        <f>+' SEFA (2)'!E20+' SEFA (2)'!E25+' SEFA (4)'!E15+' SEFA (4)'!E19+' SEFA (4)'!E25+' SEFA (5)'!E12</f>
        <v>6026714</v>
      </c>
      <c r="F14" s="2014">
        <f>+' SEFA (2)'!F20+' SEFA (2)'!F25+' SEFA (4)'!F15+' SEFA (4)'!F19+' SEFA (4)'!F25+' SEFA (5)'!F12</f>
        <v>6714338</v>
      </c>
      <c r="G14" s="2014">
        <f>+' SEFA (2)'!G20+' SEFA (2)'!G25+' SEFA (4)'!G15+' SEFA (4)'!G19+' SEFA (4)'!G25+' SEFA (5)'!G12</f>
        <v>6026714</v>
      </c>
      <c r="H14" s="2014"/>
      <c r="I14" s="2014">
        <f>+' SEFA (2)'!I20+' SEFA (2)'!I25+' SEFA (4)'!I15+' SEFA (4)'!I19+' SEFA (4)'!I25+' SEFA (5)'!I12</f>
        <v>6714338</v>
      </c>
      <c r="J14" s="2014"/>
      <c r="K14" s="2014"/>
      <c r="L14" s="2011" t="s">
        <v>1169</v>
      </c>
      <c r="M14" s="2014"/>
    </row>
    <row r="15" spans="2:14" ht="20.100000000000001" customHeight="1" x14ac:dyDescent="0.2">
      <c r="B15" s="2008"/>
      <c r="C15" s="2012"/>
      <c r="D15" s="2013"/>
      <c r="E15" s="2014"/>
      <c r="F15" s="2014"/>
      <c r="G15" s="2014"/>
      <c r="H15" s="2014"/>
      <c r="I15" s="2014"/>
      <c r="J15" s="2014"/>
      <c r="K15" s="2014"/>
      <c r="L15" s="2011"/>
      <c r="M15" s="2014"/>
    </row>
    <row r="16" spans="2:14" ht="20.100000000000001" customHeight="1" x14ac:dyDescent="0.2">
      <c r="B16" s="2008" t="s">
        <v>2166</v>
      </c>
      <c r="C16" s="2012"/>
      <c r="D16" s="2013"/>
      <c r="E16" s="2014"/>
      <c r="F16" s="2014"/>
      <c r="G16" s="2014"/>
      <c r="H16" s="2014" t="s">
        <v>1169</v>
      </c>
      <c r="I16" s="2014"/>
      <c r="J16" s="2014" t="s">
        <v>1169</v>
      </c>
      <c r="K16" s="2014" t="s">
        <v>1169</v>
      </c>
      <c r="L16" s="2011" t="s">
        <v>1169</v>
      </c>
      <c r="M16" s="2014" t="s">
        <v>1169</v>
      </c>
    </row>
    <row r="17" spans="2:14" ht="20.100000000000001" customHeight="1" x14ac:dyDescent="0.2">
      <c r="B17" s="2008" t="s">
        <v>2167</v>
      </c>
      <c r="C17" s="2012">
        <v>94.006</v>
      </c>
      <c r="D17" s="2013" t="s">
        <v>2168</v>
      </c>
      <c r="E17" s="2014"/>
      <c r="F17" s="2014">
        <v>173611</v>
      </c>
      <c r="G17" s="2014"/>
      <c r="H17" s="2014"/>
      <c r="I17" s="2014">
        <v>173611</v>
      </c>
      <c r="J17" s="2014"/>
      <c r="K17" s="2014"/>
      <c r="L17" s="2011">
        <f t="shared" si="0"/>
        <v>173611</v>
      </c>
      <c r="M17" s="2014">
        <v>268776</v>
      </c>
    </row>
    <row r="18" spans="2:14" ht="20.100000000000001" customHeight="1" x14ac:dyDescent="0.2">
      <c r="B18" s="2008"/>
      <c r="C18" s="2012"/>
      <c r="D18" s="2013"/>
      <c r="E18" s="2014"/>
      <c r="F18" s="2014"/>
      <c r="G18" s="2014"/>
      <c r="H18" s="2014"/>
      <c r="I18" s="2014"/>
      <c r="J18" s="2014"/>
      <c r="K18" s="2014"/>
      <c r="L18" s="2011" t="s">
        <v>1169</v>
      </c>
      <c r="M18" s="2014"/>
    </row>
    <row r="19" spans="2:14" ht="20.100000000000001" customHeight="1" x14ac:dyDescent="0.2">
      <c r="B19" s="2008" t="s">
        <v>2169</v>
      </c>
      <c r="C19" s="2012"/>
      <c r="D19" s="2013"/>
      <c r="E19" s="2014"/>
      <c r="F19" s="2014"/>
      <c r="G19" s="2014"/>
      <c r="H19" s="2014"/>
      <c r="I19" s="2014"/>
      <c r="J19" s="2014"/>
      <c r="K19" s="2014"/>
      <c r="L19" s="2011" t="s">
        <v>1169</v>
      </c>
      <c r="M19" s="2014"/>
    </row>
    <row r="20" spans="2:14" ht="20.100000000000001" customHeight="1" x14ac:dyDescent="0.2">
      <c r="B20" s="2008" t="s">
        <v>2170</v>
      </c>
      <c r="C20" s="2012">
        <v>84.366</v>
      </c>
      <c r="D20" s="2013" t="s">
        <v>2171</v>
      </c>
      <c r="E20" s="2014"/>
      <c r="F20" s="2014">
        <v>500</v>
      </c>
      <c r="G20" s="2014"/>
      <c r="H20" s="2014"/>
      <c r="I20" s="2014">
        <v>500</v>
      </c>
      <c r="J20" s="2014"/>
      <c r="K20" s="2014"/>
      <c r="L20" s="2011">
        <f t="shared" si="0"/>
        <v>500</v>
      </c>
      <c r="M20" s="2014" t="s">
        <v>2076</v>
      </c>
    </row>
    <row r="21" spans="2:14" ht="20.100000000000001" customHeight="1" x14ac:dyDescent="0.2">
      <c r="B21" s="2008"/>
      <c r="C21" s="2012"/>
      <c r="D21" s="2013"/>
      <c r="E21" s="2014"/>
      <c r="F21" s="2014"/>
      <c r="G21" s="2014"/>
      <c r="H21" s="2014"/>
      <c r="I21" s="2014"/>
      <c r="J21" s="2014"/>
      <c r="K21" s="2014"/>
      <c r="L21" s="2011" t="s">
        <v>1169</v>
      </c>
      <c r="M21" s="2014"/>
    </row>
    <row r="22" spans="2:14" ht="20.100000000000001" customHeight="1" x14ac:dyDescent="0.2">
      <c r="B22" s="2008" t="s">
        <v>2172</v>
      </c>
      <c r="C22" s="2012"/>
      <c r="D22" s="2013"/>
      <c r="E22" s="2014"/>
      <c r="F22" s="2014"/>
      <c r="G22" s="2014"/>
      <c r="H22" s="2014"/>
      <c r="I22" s="2014"/>
      <c r="J22" s="2014"/>
      <c r="K22" s="2014"/>
      <c r="L22" s="2011" t="s">
        <v>1169</v>
      </c>
      <c r="M22" s="2014" t="s">
        <v>1169</v>
      </c>
    </row>
    <row r="23" spans="2:14" ht="20.100000000000001" customHeight="1" x14ac:dyDescent="0.2">
      <c r="B23" s="2008" t="s">
        <v>2173</v>
      </c>
      <c r="C23" s="2012">
        <v>84.048000000000002</v>
      </c>
      <c r="D23" s="2013" t="s">
        <v>2174</v>
      </c>
      <c r="E23" s="2014"/>
      <c r="F23" s="2014">
        <v>120437</v>
      </c>
      <c r="G23" s="2014"/>
      <c r="H23" s="2014"/>
      <c r="I23" s="2014">
        <v>120437</v>
      </c>
      <c r="J23" s="2014"/>
      <c r="K23" s="2014"/>
      <c r="L23" s="2011">
        <v>120437</v>
      </c>
      <c r="M23" s="2014" t="s">
        <v>2076</v>
      </c>
    </row>
    <row r="24" spans="2:14" ht="20.100000000000001" customHeight="1" x14ac:dyDescent="0.2">
      <c r="B24" s="2008"/>
      <c r="C24" s="2012"/>
      <c r="D24" s="2013"/>
      <c r="E24" s="2014"/>
      <c r="F24" s="2014"/>
      <c r="G24" s="2014"/>
      <c r="H24" s="2014"/>
      <c r="I24" s="2014"/>
      <c r="J24" s="2014"/>
      <c r="K24" s="2014"/>
      <c r="L24" s="2011" t="s">
        <v>1169</v>
      </c>
      <c r="M24" s="2014" t="s">
        <v>1169</v>
      </c>
    </row>
    <row r="25" spans="2:14" ht="20.100000000000001" customHeight="1" x14ac:dyDescent="0.2">
      <c r="B25" s="2008" t="s">
        <v>2175</v>
      </c>
      <c r="C25" s="2012"/>
      <c r="D25" s="2013"/>
      <c r="E25" s="2014"/>
      <c r="F25" s="2014">
        <f>+' SEFA (3)'!F26+' SEFA (2)'!F12+' SEFA (2)'!F15+' SEFA (5)'!F14+' SEFA (5)'!F17+' SEFA (5)'!F20+' SEFA (5)'!F23</f>
        <v>9611656</v>
      </c>
      <c r="G25" s="2014"/>
      <c r="H25" s="2014"/>
      <c r="I25" s="2014">
        <f>+' SEFA (3)'!I26+' SEFA (2)'!I12+' SEFA (2)'!I15+' SEFA (5)'!I14+' SEFA (5)'!I17+' SEFA (5)'!I20+' SEFA (5)'!I23</f>
        <v>9611656</v>
      </c>
      <c r="J25" s="2014"/>
      <c r="K25" s="2014"/>
      <c r="L25" s="2011"/>
      <c r="M25" s="2014"/>
    </row>
    <row r="26" spans="2:14" ht="20.100000000000001" customHeight="1" x14ac:dyDescent="0.2">
      <c r="B26" s="2008"/>
      <c r="C26" s="2012"/>
      <c r="D26" s="2013"/>
      <c r="E26" s="2014"/>
      <c r="F26" s="2014"/>
      <c r="G26" s="2014"/>
      <c r="H26" s="2014"/>
      <c r="I26" s="2014"/>
      <c r="J26" s="2014"/>
      <c r="K26" s="2014"/>
      <c r="L26" s="2011"/>
      <c r="M26" s="2014"/>
    </row>
    <row r="27" spans="2:14" ht="20.100000000000001" customHeight="1" x14ac:dyDescent="0.2">
      <c r="B27" s="2008"/>
      <c r="C27" s="2012"/>
      <c r="D27" s="2013"/>
      <c r="E27" s="2014"/>
      <c r="F27" s="2014"/>
      <c r="G27" s="2014"/>
      <c r="H27" s="2014"/>
      <c r="I27" s="2014"/>
      <c r="J27" s="2014"/>
      <c r="K27" s="2014"/>
      <c r="L27" s="2011"/>
      <c r="M27" s="2014"/>
      <c r="N27" s="2015"/>
    </row>
    <row r="28" spans="2:14" ht="12.75" customHeight="1" x14ac:dyDescent="0.2">
      <c r="B28" s="2016"/>
      <c r="C28" s="2017"/>
      <c r="D28" s="2018"/>
      <c r="E28" s="2019"/>
      <c r="F28" s="2019"/>
      <c r="G28" s="2019"/>
      <c r="H28" s="2019"/>
      <c r="I28" s="2019"/>
      <c r="J28" s="2019"/>
      <c r="K28" s="2019"/>
      <c r="L28" s="2019"/>
      <c r="M28" s="2019"/>
      <c r="N28" s="2015"/>
    </row>
    <row r="29" spans="2:14" x14ac:dyDescent="0.2">
      <c r="B29" s="1965"/>
      <c r="C29" s="2020"/>
      <c r="D29" s="2021"/>
      <c r="E29" s="1965"/>
      <c r="F29" s="1965"/>
      <c r="G29" s="1964"/>
      <c r="H29" s="1964"/>
      <c r="I29" s="1964"/>
      <c r="J29" s="1964"/>
      <c r="K29" s="1964"/>
      <c r="L29" s="1964"/>
      <c r="M29" s="1965"/>
      <c r="N29" s="2015"/>
    </row>
    <row r="30" spans="2:14" ht="13.5" customHeight="1" x14ac:dyDescent="0.2">
      <c r="B30" s="1970" t="s">
        <v>1734</v>
      </c>
      <c r="C30" s="2020"/>
      <c r="D30" s="2021"/>
      <c r="E30" s="1965"/>
      <c r="F30" s="1965"/>
      <c r="G30" s="1964"/>
      <c r="H30" s="1964"/>
      <c r="I30" s="1964"/>
      <c r="J30" s="1964"/>
      <c r="K30" s="1964"/>
      <c r="L30" s="1964"/>
      <c r="M30" s="1965"/>
      <c r="N30" s="2015"/>
    </row>
    <row r="31" spans="2:14" ht="8.25" customHeight="1" x14ac:dyDescent="0.2">
      <c r="B31" s="1970"/>
      <c r="C31" s="2020"/>
      <c r="D31" s="2021"/>
      <c r="E31" s="1965"/>
      <c r="F31" s="1965"/>
      <c r="G31" s="1964"/>
      <c r="H31" s="1964"/>
      <c r="I31" s="1964"/>
      <c r="J31" s="1964"/>
      <c r="K31" s="1964"/>
      <c r="L31" s="1964"/>
      <c r="M31" s="1965"/>
      <c r="N31" s="2015"/>
    </row>
    <row r="32" spans="2:14" x14ac:dyDescent="0.2">
      <c r="B32" s="2022" t="s">
        <v>1837</v>
      </c>
      <c r="C32" s="2023"/>
      <c r="D32" s="2024"/>
      <c r="E32" s="2025"/>
      <c r="F32" s="2025"/>
      <c r="G32" s="2025"/>
      <c r="H32" s="2025"/>
      <c r="I32" s="1963"/>
      <c r="J32" s="1963"/>
    </row>
    <row r="33" spans="2:13" x14ac:dyDescent="0.2">
      <c r="B33" s="1968"/>
      <c r="C33" s="2026"/>
      <c r="D33" s="2027"/>
      <c r="E33" s="1969"/>
      <c r="F33" s="1969"/>
      <c r="G33" s="1963"/>
      <c r="H33" s="1963"/>
      <c r="I33" s="1963"/>
      <c r="J33" s="1963"/>
    </row>
    <row r="34" spans="2:13" ht="13.5" customHeight="1" x14ac:dyDescent="0.2">
      <c r="B34" s="1967" t="s">
        <v>1246</v>
      </c>
      <c r="G34" s="1963"/>
      <c r="H34" s="1963"/>
      <c r="I34" s="1963"/>
      <c r="J34" s="1963"/>
    </row>
    <row r="35" spans="2:13" ht="13.5" customHeight="1" x14ac:dyDescent="0.2">
      <c r="B35" s="2030"/>
      <c r="C35" s="2031"/>
      <c r="D35" s="2032"/>
      <c r="E35" s="1971"/>
      <c r="F35" s="1971"/>
      <c r="G35" s="1971"/>
      <c r="H35" s="1971"/>
      <c r="I35" s="1971"/>
      <c r="J35" s="1971"/>
      <c r="K35" s="2033"/>
      <c r="L35" s="2033"/>
      <c r="M35" s="1971"/>
    </row>
    <row r="36" spans="2:13" ht="9.6" customHeight="1" x14ac:dyDescent="0.2">
      <c r="B36" s="2034"/>
      <c r="G36" s="1963"/>
      <c r="H36" s="1963"/>
      <c r="I36" s="1963"/>
      <c r="J36" s="1963"/>
    </row>
    <row r="37" spans="2:13" ht="11.25" customHeight="1" x14ac:dyDescent="0.2">
      <c r="B37" s="2035" t="s">
        <v>1735</v>
      </c>
      <c r="C37" s="2036"/>
      <c r="D37" s="2036"/>
      <c r="E37" s="2036"/>
      <c r="F37" s="2036"/>
      <c r="G37" s="2036"/>
      <c r="H37" s="2036"/>
      <c r="I37" s="2037"/>
      <c r="J37" s="2037"/>
      <c r="K37" s="2037"/>
      <c r="L37" s="2037"/>
      <c r="M37" s="2037"/>
    </row>
    <row r="38" spans="2:13" ht="11.25" customHeight="1" x14ac:dyDescent="0.2">
      <c r="B38" s="2038" t="s">
        <v>1584</v>
      </c>
      <c r="C38" s="2037"/>
      <c r="D38" s="2037"/>
      <c r="E38" s="2037"/>
      <c r="F38" s="2037"/>
      <c r="G38" s="2037"/>
      <c r="H38" s="2037"/>
      <c r="I38" s="2037"/>
      <c r="J38" s="2037"/>
      <c r="K38" s="2037"/>
      <c r="L38" s="2037"/>
      <c r="M38" s="2037"/>
    </row>
    <row r="39" spans="2:13" ht="3.95" customHeight="1" x14ac:dyDescent="0.2">
      <c r="B39" s="2038"/>
      <c r="C39" s="2037"/>
      <c r="D39" s="2037"/>
      <c r="E39" s="2037"/>
      <c r="F39" s="2037"/>
      <c r="G39" s="2037"/>
      <c r="H39" s="2037"/>
      <c r="I39" s="2037"/>
      <c r="J39" s="2037"/>
      <c r="K39" s="2037"/>
      <c r="L39" s="2037"/>
      <c r="M39" s="2037"/>
    </row>
    <row r="40" spans="2:13" ht="11.25" customHeight="1" x14ac:dyDescent="0.2">
      <c r="B40" s="2035" t="s">
        <v>1736</v>
      </c>
      <c r="C40" s="2037"/>
      <c r="D40" s="2037"/>
      <c r="E40" s="2037"/>
      <c r="F40" s="2037"/>
      <c r="G40" s="2037"/>
      <c r="H40" s="2037"/>
      <c r="I40" s="2037"/>
      <c r="J40" s="2037"/>
      <c r="K40" s="2037"/>
      <c r="L40" s="2037"/>
      <c r="M40" s="2037"/>
    </row>
    <row r="41" spans="2:13" ht="11.25" customHeight="1" x14ac:dyDescent="0.2">
      <c r="B41" s="1972" t="s">
        <v>1585</v>
      </c>
      <c r="C41" s="2039"/>
      <c r="D41" s="2040"/>
      <c r="E41" s="1972"/>
      <c r="F41" s="1972"/>
      <c r="G41" s="1972"/>
      <c r="H41" s="1972"/>
      <c r="I41" s="1972"/>
      <c r="J41" s="1972"/>
      <c r="K41" s="2041"/>
      <c r="L41" s="2041"/>
      <c r="M41" s="1972"/>
    </row>
    <row r="42" spans="2:13" ht="3.95" customHeight="1" x14ac:dyDescent="0.2">
      <c r="B42" s="1972"/>
      <c r="C42" s="2039"/>
      <c r="D42" s="2040"/>
      <c r="E42" s="1972"/>
      <c r="F42" s="1972"/>
      <c r="G42" s="1972"/>
      <c r="H42" s="1972"/>
      <c r="I42" s="1972"/>
      <c r="J42" s="1972"/>
      <c r="K42" s="2041"/>
      <c r="L42" s="2041"/>
      <c r="M42" s="1972"/>
    </row>
    <row r="43" spans="2:13" ht="11.25" customHeight="1" x14ac:dyDescent="0.2">
      <c r="B43" s="2042" t="s">
        <v>1737</v>
      </c>
      <c r="C43" s="2039"/>
      <c r="D43" s="2040"/>
      <c r="E43" s="1972"/>
      <c r="F43" s="1972"/>
      <c r="G43" s="1972"/>
      <c r="H43" s="1972"/>
      <c r="I43" s="1972"/>
      <c r="J43" s="1972"/>
      <c r="K43" s="2041"/>
      <c r="L43" s="2041"/>
      <c r="M43" s="1972"/>
    </row>
    <row r="44" spans="2:13" ht="3.95" customHeight="1" x14ac:dyDescent="0.2">
      <c r="B44" s="2042"/>
      <c r="C44" s="2039"/>
      <c r="D44" s="2040"/>
      <c r="E44" s="1972"/>
      <c r="F44" s="1972"/>
      <c r="G44" s="1972"/>
      <c r="H44" s="1972"/>
      <c r="I44" s="1972"/>
      <c r="J44" s="1972"/>
      <c r="K44" s="2041"/>
      <c r="L44" s="2041"/>
      <c r="M44" s="1972"/>
    </row>
    <row r="45" spans="2:13" ht="11.25" customHeight="1" x14ac:dyDescent="0.2">
      <c r="B45" s="2043" t="s">
        <v>1738</v>
      </c>
      <c r="C45" s="2039"/>
      <c r="D45" s="2040"/>
      <c r="E45" s="1972"/>
      <c r="F45" s="1972"/>
      <c r="G45" s="1972"/>
      <c r="H45" s="1972"/>
      <c r="I45" s="1972"/>
      <c r="J45" s="1972"/>
      <c r="K45" s="2041"/>
      <c r="L45" s="2041"/>
      <c r="M45" s="1972"/>
    </row>
    <row r="46" spans="2:13" ht="11.25" customHeight="1" x14ac:dyDescent="0.2">
      <c r="B46" s="1972" t="s">
        <v>1586</v>
      </c>
      <c r="G46" s="1963"/>
      <c r="H46" s="1963"/>
      <c r="I46" s="1963"/>
      <c r="J46" s="1963"/>
    </row>
    <row r="47" spans="2:13" ht="11.1" customHeight="1" x14ac:dyDescent="0.2">
      <c r="B47" s="1972"/>
      <c r="G47" s="1963"/>
      <c r="H47" s="1963"/>
      <c r="I47" s="1963"/>
      <c r="J47" s="1963"/>
    </row>
    <row r="48" spans="2:13" ht="11.1" customHeight="1" x14ac:dyDescent="0.2">
      <c r="B48" s="1972"/>
      <c r="G48" s="1963"/>
      <c r="H48" s="1963"/>
      <c r="I48" s="1963"/>
      <c r="J48" s="1963"/>
    </row>
    <row r="49" spans="7:13" ht="13.5" customHeight="1" x14ac:dyDescent="0.2">
      <c r="M49" s="2044"/>
    </row>
    <row r="50" spans="7:13" ht="13.5" customHeight="1" x14ac:dyDescent="0.2">
      <c r="M50" s="2044"/>
    </row>
    <row r="51" spans="7:13" ht="13.5" customHeight="1" x14ac:dyDescent="0.2">
      <c r="M51" s="2044"/>
    </row>
    <row r="52" spans="7:13" ht="13.5" customHeight="1" x14ac:dyDescent="0.2">
      <c r="G52" s="1963"/>
      <c r="H52" s="1963"/>
      <c r="I52" s="1963"/>
      <c r="J52" s="1963"/>
    </row>
    <row r="53" spans="7:13" ht="13.5" customHeight="1" x14ac:dyDescent="0.2">
      <c r="G53" s="1963"/>
      <c r="H53" s="1963"/>
      <c r="I53" s="1963"/>
      <c r="J53" s="1963"/>
    </row>
    <row r="54" spans="7:13" ht="13.5" customHeight="1" x14ac:dyDescent="0.2">
      <c r="G54" s="1963"/>
      <c r="H54" s="1963"/>
      <c r="I54" s="1963"/>
      <c r="J54" s="1963"/>
    </row>
    <row r="55" spans="7:13" ht="13.5" customHeight="1" x14ac:dyDescent="0.2">
      <c r="G55" s="1963"/>
      <c r="H55" s="1963"/>
      <c r="I55" s="1963"/>
      <c r="J55" s="1963"/>
    </row>
    <row r="56" spans="7:13" ht="13.5" customHeight="1" x14ac:dyDescent="0.2">
      <c r="G56" s="1963"/>
      <c r="H56" s="1963"/>
      <c r="I56" s="1963"/>
      <c r="J56" s="1963"/>
    </row>
    <row r="57" spans="7:13" ht="13.5" customHeight="1" x14ac:dyDescent="0.2">
      <c r="G57" s="1963"/>
      <c r="H57" s="1963"/>
      <c r="I57" s="1963"/>
      <c r="J57" s="1963"/>
    </row>
    <row r="58" spans="7:13" ht="13.5" customHeight="1" x14ac:dyDescent="0.2">
      <c r="G58" s="1963"/>
      <c r="H58" s="1963"/>
      <c r="I58" s="1963"/>
      <c r="J58" s="1963"/>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4" bottom="0.2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0" zoomScaleNormal="100" workbookViewId="0">
      <selection activeCell="B17" sqref="B1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505" t="str">
        <f>'Single Audit Cover'!A7</f>
        <v>Cahokia CUSD 187</v>
      </c>
      <c r="C1" s="2548"/>
      <c r="D1" s="2548"/>
      <c r="E1" s="2548"/>
      <c r="F1" s="2548"/>
      <c r="G1" s="2548"/>
      <c r="H1" s="2548"/>
      <c r="I1" s="2548"/>
      <c r="J1" s="2548"/>
      <c r="K1" s="2548"/>
      <c r="L1" s="2548"/>
      <c r="M1" s="2548"/>
    </row>
    <row r="2" spans="2:14" ht="15" x14ac:dyDescent="0.2">
      <c r="B2" s="2549">
        <f>'Single Audit Cover'!E7</f>
        <v>50082187026</v>
      </c>
      <c r="C2" s="2549"/>
      <c r="D2" s="2549"/>
      <c r="E2" s="2549"/>
      <c r="F2" s="2549"/>
      <c r="G2" s="2549"/>
      <c r="H2" s="2549"/>
      <c r="I2" s="2549"/>
      <c r="J2" s="2549"/>
      <c r="K2" s="2549"/>
      <c r="L2" s="2549"/>
      <c r="M2" s="2549"/>
      <c r="N2" s="1299"/>
    </row>
    <row r="3" spans="2:14" ht="15" x14ac:dyDescent="0.2">
      <c r="B3" s="2550" t="s">
        <v>1219</v>
      </c>
      <c r="C3" s="2550"/>
      <c r="D3" s="2550"/>
      <c r="E3" s="2550"/>
      <c r="F3" s="2550"/>
      <c r="G3" s="2550"/>
      <c r="H3" s="2550"/>
      <c r="I3" s="2550"/>
      <c r="J3" s="2550"/>
      <c r="K3" s="2550"/>
      <c r="L3" s="2550"/>
      <c r="M3" s="2550"/>
      <c r="N3" s="1299"/>
    </row>
    <row r="4" spans="2:14" ht="15" x14ac:dyDescent="0.2">
      <c r="B4" s="2551" t="str">
        <f>'Single Audit Cover'!A4</f>
        <v>Year Ending June 30, 2019</v>
      </c>
      <c r="C4" s="2551"/>
      <c r="D4" s="2551"/>
      <c r="E4" s="2551"/>
      <c r="F4" s="2551"/>
      <c r="G4" s="2551"/>
      <c r="H4" s="2551"/>
      <c r="I4" s="2551"/>
      <c r="J4" s="2551"/>
      <c r="K4" s="2551"/>
      <c r="L4" s="2551"/>
      <c r="M4" s="2551"/>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60"/>
      <c r="C11" s="1335"/>
      <c r="D11" s="1336"/>
      <c r="E11" s="1337"/>
      <c r="F11" s="1337"/>
      <c r="G11" s="1337"/>
      <c r="H11" s="1337"/>
      <c r="I11" s="1337"/>
      <c r="J11" s="1337"/>
      <c r="K11" s="1337"/>
      <c r="L11" s="1337"/>
      <c r="M11" s="1337"/>
    </row>
    <row r="12" spans="2:14" ht="20.100000000000001" customHeight="1" x14ac:dyDescent="0.2">
      <c r="B12" s="1334" t="s">
        <v>2176</v>
      </c>
      <c r="C12" s="1338">
        <v>10.555</v>
      </c>
      <c r="D12" s="1339"/>
      <c r="E12" s="1340"/>
      <c r="F12" s="1340">
        <v>144377</v>
      </c>
      <c r="G12" s="1340"/>
      <c r="H12" s="1340"/>
      <c r="I12" s="1340">
        <v>144377</v>
      </c>
      <c r="J12" s="1340"/>
      <c r="K12" s="1340"/>
      <c r="L12" s="1337">
        <v>144377</v>
      </c>
      <c r="M12" s="1340" t="s">
        <v>2076</v>
      </c>
    </row>
    <row r="13" spans="2:14" ht="20.100000000000001" customHeight="1" x14ac:dyDescent="0.2">
      <c r="B13" s="1334"/>
      <c r="C13" s="1338"/>
      <c r="D13" s="1339"/>
      <c r="E13" s="1340"/>
      <c r="F13" s="1340"/>
      <c r="G13" s="1340"/>
      <c r="H13" s="1340"/>
      <c r="I13" s="1340"/>
      <c r="J13" s="1340"/>
      <c r="K13" s="1340"/>
      <c r="L13" s="1337"/>
      <c r="M13" s="1340"/>
    </row>
    <row r="14" spans="2:14" ht="20.100000000000001" customHeight="1" x14ac:dyDescent="0.2">
      <c r="B14" s="2008" t="s">
        <v>2177</v>
      </c>
      <c r="C14" s="1338"/>
      <c r="D14" s="1339"/>
      <c r="E14" s="1340"/>
      <c r="F14" s="1340">
        <f>+' SEFA (5)'!F25+' SEFA'!F12</f>
        <v>9756033</v>
      </c>
      <c r="G14" s="1340"/>
      <c r="H14" s="1340"/>
      <c r="I14" s="1340">
        <f>+' SEFA (5)'!I25+' SEFA'!I12</f>
        <v>9756033</v>
      </c>
      <c r="J14" s="1340"/>
      <c r="K14" s="1340"/>
      <c r="L14" s="1337"/>
      <c r="M14" s="1340"/>
    </row>
    <row r="15" spans="2:14" ht="20.100000000000001" customHeight="1" x14ac:dyDescent="0.2">
      <c r="B15" s="1334"/>
      <c r="C15" s="1338"/>
      <c r="D15" s="1339"/>
      <c r="E15" s="1340"/>
      <c r="F15" s="1340"/>
      <c r="G15" s="1340"/>
      <c r="H15" s="1340"/>
      <c r="I15" s="1340"/>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961" t="s">
        <v>2178</v>
      </c>
      <c r="C21" s="1338"/>
      <c r="D21" s="1339"/>
      <c r="E21" s="1340"/>
      <c r="F21" s="1340"/>
      <c r="G21" s="1340"/>
      <c r="H21" s="1340"/>
      <c r="I21" s="1340"/>
      <c r="J21" s="1340"/>
      <c r="K21" s="1340"/>
      <c r="L21" s="1337"/>
      <c r="M21" s="1340"/>
    </row>
    <row r="22" spans="2:14" ht="20.100000000000001" customHeight="1" x14ac:dyDescent="0.2">
      <c r="B22" s="1961" t="s">
        <v>2179</v>
      </c>
      <c r="C22" s="1338"/>
      <c r="D22" s="1339"/>
      <c r="E22" s="1340">
        <v>2392289</v>
      </c>
      <c r="F22" s="1340"/>
      <c r="G22" s="1340"/>
      <c r="H22" s="1340"/>
      <c r="I22" s="1340"/>
      <c r="J22" s="1340"/>
      <c r="K22" s="1340"/>
      <c r="L22" s="1337"/>
      <c r="M22" s="1340"/>
    </row>
    <row r="23" spans="2:14" ht="20.100000000000001" customHeight="1" x14ac:dyDescent="0.2">
      <c r="B23" s="1962" t="s">
        <v>1138</v>
      </c>
      <c r="C23" s="1338"/>
      <c r="D23" s="1339"/>
      <c r="E23" s="1340">
        <v>3613097</v>
      </c>
      <c r="F23" s="1340"/>
      <c r="G23" s="1340"/>
      <c r="H23" s="1340"/>
      <c r="I23" s="1340"/>
      <c r="J23" s="1340"/>
      <c r="K23" s="1340"/>
      <c r="L23" s="1337"/>
      <c r="M23" s="1340"/>
    </row>
    <row r="24" spans="2:14" ht="20.100000000000001" customHeight="1" x14ac:dyDescent="0.2">
      <c r="B24" s="2008" t="s">
        <v>2180</v>
      </c>
      <c r="C24" s="1338"/>
      <c r="D24" s="1339"/>
      <c r="E24" s="1340">
        <v>979338</v>
      </c>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4" bottom="0.2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6" zoomScale="120" zoomScaleNormal="120" workbookViewId="0">
      <selection activeCell="B5" sqref="B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553" t="str">
        <f>'Single Audit Cover'!A7</f>
        <v>Cahokia CUSD 187</v>
      </c>
      <c r="B1" s="2553"/>
      <c r="C1" s="2553"/>
      <c r="D1" s="2553"/>
      <c r="E1" s="2553"/>
      <c r="F1" s="2553"/>
    </row>
    <row r="2" spans="1:7" ht="13.5" customHeight="1" x14ac:dyDescent="0.2">
      <c r="A2" s="2549">
        <f>'Single Audit Cover'!E7</f>
        <v>50082187026</v>
      </c>
      <c r="B2" s="2549"/>
      <c r="C2" s="2549"/>
      <c r="D2" s="2549"/>
      <c r="E2" s="2549"/>
      <c r="F2" s="2549"/>
      <c r="G2" s="1272"/>
    </row>
    <row r="3" spans="1:7" ht="15.75" customHeight="1" x14ac:dyDescent="0.2">
      <c r="A3" s="2554" t="s">
        <v>1271</v>
      </c>
      <c r="B3" s="2554"/>
      <c r="C3" s="2554"/>
      <c r="D3" s="2554"/>
      <c r="E3" s="2554"/>
      <c r="F3" s="2554"/>
    </row>
    <row r="4" spans="1:7" ht="13.5" customHeight="1" x14ac:dyDescent="0.2">
      <c r="A4" s="2555" t="str">
        <f>'Single Audit Cover'!A4</f>
        <v>Year Ending June 30, 2019</v>
      </c>
      <c r="B4" s="2555"/>
      <c r="C4" s="2555"/>
      <c r="D4" s="2555"/>
      <c r="E4" s="2555"/>
      <c r="F4" s="2555"/>
    </row>
    <row r="5" spans="1:7" ht="8.25" customHeight="1" x14ac:dyDescent="0.2">
      <c r="C5" s="317"/>
      <c r="D5" s="317"/>
    </row>
    <row r="6" spans="1:7" ht="13.5" customHeight="1" x14ac:dyDescent="0.2">
      <c r="A6" s="1273" t="s">
        <v>1728</v>
      </c>
      <c r="C6" s="317"/>
      <c r="D6" s="317"/>
    </row>
    <row r="7" spans="1:7" ht="60.95" customHeight="1" x14ac:dyDescent="0.2">
      <c r="A7" s="2552" t="s">
        <v>2161</v>
      </c>
      <c r="B7" s="2552"/>
      <c r="C7" s="2552"/>
      <c r="D7" s="2552"/>
      <c r="E7" s="2552"/>
      <c r="F7" s="2552"/>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2102</v>
      </c>
      <c r="F10" s="1277" t="s">
        <v>99</v>
      </c>
      <c r="G10" s="1275"/>
    </row>
    <row r="11" spans="1:7" ht="12" customHeight="1" x14ac:dyDescent="0.2">
      <c r="A11" s="1276"/>
      <c r="B11" s="1277"/>
      <c r="C11" s="1900"/>
      <c r="D11" s="1277"/>
      <c r="E11" s="1900"/>
      <c r="F11" s="1277"/>
      <c r="G11" s="1275"/>
    </row>
    <row r="12" spans="1:7" x14ac:dyDescent="0.2">
      <c r="A12" s="1273" t="s">
        <v>1587</v>
      </c>
      <c r="C12" s="1257"/>
      <c r="D12" s="1257"/>
    </row>
    <row r="13" spans="1:7" ht="15" customHeight="1" x14ac:dyDescent="0.2">
      <c r="A13" s="2552" t="s">
        <v>2163</v>
      </c>
      <c r="B13" s="2552"/>
      <c r="C13" s="2552"/>
      <c r="D13" s="2552"/>
      <c r="E13" s="2552"/>
      <c r="F13" s="2552"/>
    </row>
    <row r="14" spans="1:7" ht="9.75" customHeight="1" x14ac:dyDescent="0.2">
      <c r="C14" s="1257"/>
      <c r="D14" s="1257"/>
    </row>
    <row r="15" spans="1:7" ht="13.5" customHeight="1" x14ac:dyDescent="0.2">
      <c r="C15" s="1844" t="s">
        <v>1270</v>
      </c>
      <c r="D15" s="2557" t="s">
        <v>1269</v>
      </c>
      <c r="E15" s="2557"/>
      <c r="F15" s="2557"/>
    </row>
    <row r="16" spans="1:7" ht="13.5" customHeight="1" x14ac:dyDescent="0.2">
      <c r="A16" s="1279"/>
      <c r="B16" s="1273" t="s">
        <v>1268</v>
      </c>
      <c r="C16" s="1844" t="s">
        <v>1267</v>
      </c>
      <c r="D16" s="2558" t="s">
        <v>1588</v>
      </c>
      <c r="E16" s="2558"/>
      <c r="F16" s="2558"/>
    </row>
    <row r="17" spans="1:6" ht="20.45" customHeight="1" x14ac:dyDescent="0.2">
      <c r="A17" s="1280"/>
      <c r="B17" s="1281" t="s">
        <v>2162</v>
      </c>
      <c r="C17" s="1282"/>
      <c r="D17" s="2556"/>
      <c r="E17" s="2556"/>
      <c r="F17" s="2556"/>
    </row>
    <row r="18" spans="1:6" ht="20.65" customHeight="1" x14ac:dyDescent="0.2">
      <c r="A18" s="1280"/>
      <c r="B18" s="1281"/>
      <c r="C18" s="1282"/>
      <c r="D18" s="2556"/>
      <c r="E18" s="2556"/>
      <c r="F18" s="2556"/>
    </row>
    <row r="19" spans="1:6" ht="20.65" customHeight="1" x14ac:dyDescent="0.2">
      <c r="A19" s="1280"/>
      <c r="B19" s="1281"/>
      <c r="C19" s="1282"/>
      <c r="D19" s="2556"/>
      <c r="E19" s="2556"/>
      <c r="F19" s="2556"/>
    </row>
    <row r="20" spans="1:6" ht="20.65" customHeight="1" x14ac:dyDescent="0.2">
      <c r="A20" s="1280"/>
      <c r="B20" s="1281"/>
      <c r="C20" s="1282"/>
      <c r="D20" s="2556"/>
      <c r="E20" s="2556"/>
      <c r="F20" s="2556"/>
    </row>
    <row r="21" spans="1:6" ht="20.65" customHeight="1" x14ac:dyDescent="0.2">
      <c r="A21" s="1280"/>
      <c r="B21" s="1281"/>
      <c r="C21" s="1282"/>
      <c r="D21" s="2556"/>
      <c r="E21" s="2556"/>
      <c r="F21" s="2556"/>
    </row>
    <row r="22" spans="1:6" ht="20.65" customHeight="1" x14ac:dyDescent="0.2">
      <c r="A22" s="1280"/>
      <c r="B22" s="1281"/>
      <c r="C22" s="1282"/>
      <c r="D22" s="2556"/>
      <c r="E22" s="2556"/>
      <c r="F22" s="2556"/>
    </row>
    <row r="23" spans="1:6" ht="20.65" customHeight="1" x14ac:dyDescent="0.2">
      <c r="A23" s="1280"/>
      <c r="B23" s="1281"/>
      <c r="C23" s="1282"/>
      <c r="D23" s="2556"/>
      <c r="E23" s="2556"/>
      <c r="F23" s="2556"/>
    </row>
    <row r="24" spans="1:6" ht="20.65" customHeight="1" x14ac:dyDescent="0.2">
      <c r="A24" s="1280"/>
      <c r="B24" s="1281"/>
      <c r="C24" s="1282"/>
      <c r="D24" s="2556"/>
      <c r="E24" s="2556"/>
      <c r="F24" s="2556"/>
    </row>
    <row r="25" spans="1:6" ht="20.65" customHeight="1" x14ac:dyDescent="0.2">
      <c r="A25" s="1280"/>
      <c r="B25" s="1281"/>
      <c r="C25" s="1282"/>
      <c r="D25" s="2556"/>
      <c r="E25" s="2556"/>
      <c r="F25" s="2556"/>
    </row>
    <row r="26" spans="1:6" ht="20.65" customHeight="1" x14ac:dyDescent="0.2">
      <c r="A26" s="1280"/>
      <c r="B26" s="1281"/>
      <c r="C26" s="1282"/>
      <c r="D26" s="2556"/>
      <c r="E26" s="2556"/>
      <c r="F26" s="2556"/>
    </row>
    <row r="27" spans="1:6" ht="20.65" customHeight="1" x14ac:dyDescent="0.2">
      <c r="A27" s="1280"/>
      <c r="B27" s="1281"/>
      <c r="C27" s="1282"/>
      <c r="D27" s="2556"/>
      <c r="E27" s="2556"/>
      <c r="F27" s="2556"/>
    </row>
    <row r="28" spans="1:6" ht="20.65" customHeight="1" x14ac:dyDescent="0.2">
      <c r="A28" s="1280"/>
      <c r="B28" s="1281"/>
      <c r="C28" s="1282"/>
      <c r="D28" s="2556"/>
      <c r="E28" s="2556"/>
      <c r="F28" s="2556"/>
    </row>
    <row r="29" spans="1:6" ht="20.65" customHeight="1" x14ac:dyDescent="0.2">
      <c r="A29" s="1280"/>
      <c r="B29" s="1281"/>
      <c r="C29" s="1282"/>
      <c r="D29" s="2556"/>
      <c r="E29" s="2556"/>
      <c r="F29" s="2556"/>
    </row>
    <row r="30" spans="1:6" ht="12" customHeight="1" x14ac:dyDescent="0.2">
      <c r="A30" s="328"/>
      <c r="B30" s="328"/>
      <c r="C30" s="1462"/>
      <c r="D30" s="1901"/>
      <c r="E30" s="1283"/>
    </row>
    <row r="31" spans="1:6" ht="12" customHeight="1" x14ac:dyDescent="0.2">
      <c r="A31" s="1284" t="s">
        <v>1549</v>
      </c>
      <c r="B31" s="328"/>
      <c r="C31" s="1462"/>
      <c r="D31" s="1901"/>
      <c r="E31" s="1283"/>
    </row>
    <row r="32" spans="1:6" ht="30" customHeight="1" x14ac:dyDescent="0.2">
      <c r="A32" s="2560" t="s">
        <v>2164</v>
      </c>
      <c r="B32" s="2560"/>
      <c r="C32" s="2560"/>
      <c r="D32" s="2560"/>
      <c r="E32" s="2560"/>
      <c r="F32" s="2560"/>
    </row>
    <row r="33" spans="1:6" ht="13.5" customHeight="1" x14ac:dyDescent="0.2">
      <c r="A33" s="328" t="s">
        <v>1434</v>
      </c>
      <c r="B33" s="328"/>
      <c r="C33" s="1285">
        <v>144377</v>
      </c>
      <c r="D33" s="1901"/>
      <c r="E33" s="1283"/>
    </row>
    <row r="34" spans="1:6" ht="13.5" customHeight="1" x14ac:dyDescent="0.2">
      <c r="A34" s="328" t="s">
        <v>1835</v>
      </c>
      <c r="B34" s="328"/>
      <c r="C34" s="1286">
        <v>0</v>
      </c>
      <c r="D34" s="1901" t="s">
        <v>1589</v>
      </c>
      <c r="E34" s="2561">
        <f>+C33+C34</f>
        <v>144377</v>
      </c>
      <c r="F34" s="2562"/>
    </row>
    <row r="35" spans="1:6" ht="12" customHeight="1" x14ac:dyDescent="0.2">
      <c r="A35" s="328"/>
      <c r="B35" s="328"/>
      <c r="C35" s="1902"/>
      <c r="D35" s="1901"/>
      <c r="E35" s="1287"/>
      <c r="F35" s="1288"/>
    </row>
    <row r="36" spans="1:6" ht="13.5" customHeight="1" x14ac:dyDescent="0.2">
      <c r="A36" s="1284" t="s">
        <v>1550</v>
      </c>
      <c r="B36" s="328"/>
      <c r="C36" s="1462"/>
      <c r="D36" s="1901"/>
      <c r="E36" s="1283"/>
    </row>
    <row r="37" spans="1:6" ht="14.25" customHeight="1" x14ac:dyDescent="0.2">
      <c r="A37" s="328" t="s">
        <v>1484</v>
      </c>
      <c r="B37" s="328"/>
      <c r="C37" s="1903"/>
      <c r="D37" s="1901"/>
      <c r="E37" s="1283"/>
    </row>
    <row r="38" spans="1:6" ht="14.25" customHeight="1" x14ac:dyDescent="0.2">
      <c r="A38" s="328"/>
      <c r="B38" s="328" t="s">
        <v>1435</v>
      </c>
      <c r="C38" s="1289" t="s">
        <v>99</v>
      </c>
      <c r="D38" s="1901"/>
      <c r="E38" s="1283"/>
    </row>
    <row r="39" spans="1:6" ht="14.25" customHeight="1" x14ac:dyDescent="0.2">
      <c r="A39" s="328"/>
      <c r="B39" s="328" t="s">
        <v>1436</v>
      </c>
      <c r="C39" s="1289" t="s">
        <v>99</v>
      </c>
      <c r="D39" s="1901"/>
      <c r="E39" s="1283"/>
    </row>
    <row r="40" spans="1:6" ht="14.25" customHeight="1" x14ac:dyDescent="0.2">
      <c r="A40" s="328"/>
      <c r="B40" s="328" t="s">
        <v>1437</v>
      </c>
      <c r="C40" s="1289" t="s">
        <v>99</v>
      </c>
      <c r="D40" s="1901"/>
      <c r="E40" s="1283"/>
    </row>
    <row r="41" spans="1:6" ht="14.25" customHeight="1" x14ac:dyDescent="0.2">
      <c r="A41" s="328"/>
      <c r="B41" s="328" t="s">
        <v>1438</v>
      </c>
      <c r="C41" s="1289" t="s">
        <v>99</v>
      </c>
      <c r="D41" s="1901"/>
      <c r="E41" s="1283"/>
    </row>
    <row r="42" spans="1:6" ht="14.25" customHeight="1" x14ac:dyDescent="0.2">
      <c r="A42" s="328" t="s">
        <v>1439</v>
      </c>
      <c r="B42" s="328"/>
      <c r="C42" s="1899" t="s">
        <v>99</v>
      </c>
      <c r="D42" s="1901"/>
      <c r="E42" s="1283"/>
    </row>
    <row r="43" spans="1:6" ht="14.25" customHeight="1" x14ac:dyDescent="0.2">
      <c r="A43" s="328" t="s">
        <v>1440</v>
      </c>
      <c r="B43" s="328"/>
      <c r="C43" s="1290" t="s">
        <v>99</v>
      </c>
      <c r="D43" s="1901"/>
      <c r="E43" s="1283"/>
    </row>
    <row r="44" spans="1:6" ht="14.25" customHeight="1" x14ac:dyDescent="0.2">
      <c r="A44" s="328"/>
      <c r="B44" s="328"/>
      <c r="C44" s="1903" t="s">
        <v>1441</v>
      </c>
      <c r="D44" s="1901"/>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563" t="s">
        <v>1590</v>
      </c>
      <c r="C49" s="2563"/>
      <c r="D49" s="2563"/>
      <c r="E49" s="1396"/>
    </row>
    <row r="50" spans="1:5" s="1297" customFormat="1" ht="3.75" customHeight="1" x14ac:dyDescent="0.2">
      <c r="A50" s="1296"/>
      <c r="B50" s="1843"/>
      <c r="C50" s="1843"/>
      <c r="D50" s="1843"/>
      <c r="E50" s="1396"/>
    </row>
    <row r="51" spans="1:5" s="1297" customFormat="1" ht="20.25" customHeight="1" x14ac:dyDescent="0.2">
      <c r="A51" s="1298">
        <v>6</v>
      </c>
      <c r="B51" s="2559" t="s">
        <v>1551</v>
      </c>
      <c r="C51" s="2559"/>
      <c r="D51" s="2559"/>
    </row>
    <row r="52" spans="1:5" ht="14.25" customHeight="1" x14ac:dyDescent="0.2">
      <c r="A52" s="1298"/>
      <c r="B52" s="2559"/>
      <c r="C52" s="2559"/>
      <c r="D52" s="25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B5" sqref="B5"/>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68" t="str">
        <f>'Single Audit Cover'!A7</f>
        <v>Cahokia CUSD 187</v>
      </c>
      <c r="C1" s="2569"/>
      <c r="D1" s="2569"/>
      <c r="E1" s="2569"/>
      <c r="F1" s="2569"/>
      <c r="G1" s="2569"/>
      <c r="H1" s="2569"/>
      <c r="I1" s="2569"/>
      <c r="J1" s="1406"/>
    </row>
    <row r="2" spans="2:10" s="317" customFormat="1" ht="12.75" customHeight="1" x14ac:dyDescent="0.2">
      <c r="B2" s="2570">
        <f>'Single Audit Cover'!E7</f>
        <v>50082187026</v>
      </c>
      <c r="C2" s="2571"/>
      <c r="D2" s="2571"/>
      <c r="E2" s="2571"/>
      <c r="F2" s="2571"/>
      <c r="G2" s="2571"/>
      <c r="H2" s="2571"/>
      <c r="I2" s="2571"/>
      <c r="J2" s="1406"/>
    </row>
    <row r="3" spans="2:10" s="317" customFormat="1" ht="12.75" customHeight="1" x14ac:dyDescent="0.2">
      <c r="B3" s="2572" t="s">
        <v>1285</v>
      </c>
      <c r="C3" s="2573"/>
      <c r="D3" s="2573"/>
      <c r="E3" s="2573"/>
      <c r="F3" s="2573"/>
      <c r="G3" s="2573"/>
      <c r="H3" s="2573"/>
      <c r="I3" s="2573"/>
      <c r="J3" s="1407"/>
    </row>
    <row r="4" spans="2:10" s="317" customFormat="1" ht="12.75" customHeight="1" x14ac:dyDescent="0.2">
      <c r="B4" s="2572" t="str">
        <f>'Single Audit Cover'!A4</f>
        <v>Year Ending June 30, 2019</v>
      </c>
      <c r="C4" s="2573"/>
      <c r="D4" s="2573"/>
      <c r="E4" s="2573"/>
      <c r="F4" s="2573"/>
      <c r="G4" s="2573"/>
      <c r="H4" s="2573"/>
      <c r="I4" s="2573"/>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572" t="s">
        <v>1284</v>
      </c>
      <c r="C7" s="2573"/>
      <c r="D7" s="2573"/>
      <c r="E7" s="2573"/>
      <c r="F7" s="2573"/>
      <c r="G7" s="2573"/>
      <c r="H7" s="2573"/>
      <c r="I7" s="2573"/>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574" t="s">
        <v>2187</v>
      </c>
      <c r="D11" s="2574"/>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2085</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2085</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2085</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2085</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t="s">
        <v>2085</v>
      </c>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575" t="s">
        <v>2187</v>
      </c>
      <c r="E29" s="2575"/>
      <c r="F29" s="2575"/>
      <c r="G29" s="2575"/>
      <c r="H29" s="2575"/>
      <c r="I29" s="2575"/>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t="s">
        <v>2102</v>
      </c>
      <c r="F33" s="1297" t="s">
        <v>885</v>
      </c>
      <c r="G33" s="1422"/>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576" t="s">
        <v>1748</v>
      </c>
      <c r="D37" s="2577"/>
      <c r="E37" s="2577"/>
      <c r="F37" s="2578"/>
      <c r="G37" s="2576" t="s">
        <v>1592</v>
      </c>
      <c r="H37" s="2577"/>
      <c r="I37" s="2578"/>
    </row>
    <row r="38" spans="2:9" ht="16.5" customHeight="1" x14ac:dyDescent="0.2">
      <c r="B38" s="1428">
        <v>84.01</v>
      </c>
      <c r="C38" s="2564" t="s">
        <v>2188</v>
      </c>
      <c r="D38" s="2565"/>
      <c r="E38" s="2565"/>
      <c r="F38" s="2566"/>
      <c r="G38" s="2579">
        <v>3613097</v>
      </c>
      <c r="H38" s="2580"/>
      <c r="I38" s="2581"/>
    </row>
    <row r="39" spans="2:9" ht="16.5" customHeight="1" x14ac:dyDescent="0.2">
      <c r="B39" s="1428" t="s">
        <v>2189</v>
      </c>
      <c r="C39" s="2564" t="s">
        <v>2190</v>
      </c>
      <c r="D39" s="2565"/>
      <c r="E39" s="2565"/>
      <c r="F39" s="2566"/>
      <c r="G39" s="2567">
        <v>979338</v>
      </c>
      <c r="H39" s="2567"/>
      <c r="I39" s="2567"/>
    </row>
    <row r="40" spans="2:9" ht="16.5" customHeight="1" x14ac:dyDescent="0.2">
      <c r="B40" s="1428"/>
      <c r="C40" s="2564"/>
      <c r="D40" s="2565"/>
      <c r="E40" s="2565"/>
      <c r="F40" s="2566"/>
      <c r="G40" s="2567"/>
      <c r="H40" s="2567"/>
      <c r="I40" s="2567"/>
    </row>
    <row r="41" spans="2:9" ht="16.5" customHeight="1" x14ac:dyDescent="0.2">
      <c r="B41" s="1428"/>
      <c r="C41" s="2564"/>
      <c r="D41" s="2565"/>
      <c r="E41" s="2565"/>
      <c r="F41" s="2566"/>
      <c r="G41" s="2567"/>
      <c r="H41" s="2567"/>
      <c r="I41" s="2567"/>
    </row>
    <row r="42" spans="2:9" ht="16.5" customHeight="1" x14ac:dyDescent="0.2">
      <c r="B42" s="1428"/>
      <c r="C42" s="2564"/>
      <c r="D42" s="2565"/>
      <c r="E42" s="2565"/>
      <c r="F42" s="2566"/>
      <c r="G42" s="2567"/>
      <c r="H42" s="2567"/>
      <c r="I42" s="2567"/>
    </row>
    <row r="43" spans="2:9" ht="16.5" customHeight="1" x14ac:dyDescent="0.2">
      <c r="B43" s="1428"/>
      <c r="C43" s="2582" t="s">
        <v>1593</v>
      </c>
      <c r="D43" s="2583"/>
      <c r="E43" s="2583"/>
      <c r="F43" s="2584"/>
      <c r="G43" s="2585">
        <f>SUM(G38:I42)</f>
        <v>4592435</v>
      </c>
      <c r="H43" s="2585"/>
      <c r="I43" s="2585"/>
    </row>
    <row r="44" spans="2:9" ht="12.75" customHeight="1" x14ac:dyDescent="0.2"/>
    <row r="45" spans="2:9" ht="12.75" customHeight="1" x14ac:dyDescent="0.2">
      <c r="B45" s="1419" t="s">
        <v>2059</v>
      </c>
      <c r="D45" s="2586">
        <v>9756033</v>
      </c>
      <c r="E45" s="2587"/>
    </row>
    <row r="46" spans="2:9" ht="5.25" customHeight="1" x14ac:dyDescent="0.2">
      <c r="B46" s="1429"/>
      <c r="D46" s="1430"/>
      <c r="E46" s="1431"/>
    </row>
    <row r="47" spans="2:9" ht="12.75" customHeight="1" x14ac:dyDescent="0.2">
      <c r="B47" s="1297" t="s">
        <v>1594</v>
      </c>
      <c r="C47" s="1297"/>
      <c r="D47" s="1432">
        <f>+G43/D45</f>
        <v>0.47072770254057156</v>
      </c>
      <c r="E47" s="1433"/>
      <c r="F47" s="1434"/>
      <c r="I47" s="1435"/>
    </row>
    <row r="48" spans="2:9" ht="9.9499999999999993" customHeight="1" x14ac:dyDescent="0.2"/>
    <row r="49" spans="1:9" x14ac:dyDescent="0.2">
      <c r="B49" s="1365" t="s">
        <v>1273</v>
      </c>
      <c r="C49" s="1279"/>
      <c r="D49" s="1279"/>
      <c r="E49" s="2588">
        <v>750000</v>
      </c>
      <c r="F49" s="2588"/>
      <c r="G49" s="2588"/>
      <c r="H49" s="322"/>
    </row>
    <row r="51" spans="1:9" ht="13.5" customHeight="1" x14ac:dyDescent="0.2">
      <c r="B51" s="1365" t="s">
        <v>1272</v>
      </c>
      <c r="C51" s="1279"/>
      <c r="E51" s="1422"/>
      <c r="F51" s="1297" t="s">
        <v>885</v>
      </c>
      <c r="G51" s="1422" t="s">
        <v>2102</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9C6FB-8A92-4B1D-92E0-D7BF7FAEC74F}">
  <dimension ref="A1:M41"/>
  <sheetViews>
    <sheetView showGridLines="0" topLeftCell="A7" zoomScale="110" zoomScaleNormal="110" workbookViewId="0">
      <selection activeCell="B5" sqref="B5"/>
    </sheetView>
  </sheetViews>
  <sheetFormatPr defaultColWidth="9.140625" defaultRowHeight="12.75" x14ac:dyDescent="0.2"/>
  <cols>
    <col min="1" max="1" width="1.5703125" style="1963" customWidth="1"/>
    <col min="2" max="2" width="21.42578125" style="1963" customWidth="1"/>
    <col min="3" max="3" width="6.140625" style="1963" customWidth="1"/>
    <col min="4" max="4" width="4.42578125" style="1963" customWidth="1"/>
    <col min="5" max="5" width="3.5703125" style="1963" customWidth="1"/>
    <col min="6" max="6" width="20.140625" style="1963" customWidth="1"/>
    <col min="7" max="7" width="3.5703125" style="1966" customWidth="1"/>
    <col min="8" max="8" width="10.5703125" style="1963" customWidth="1"/>
    <col min="9" max="9" width="3.42578125" style="1966" customWidth="1"/>
    <col min="10" max="10" width="15.42578125" style="1963" customWidth="1"/>
    <col min="11" max="11" width="8.5703125" style="1963" customWidth="1"/>
    <col min="12" max="12" width="1.42578125" style="1963" customWidth="1"/>
    <col min="13" max="13" width="3.42578125" style="1963" customWidth="1"/>
    <col min="14" max="16384" width="9.140625" style="1963"/>
  </cols>
  <sheetData>
    <row r="1" spans="1:13" ht="11.1" customHeight="1" x14ac:dyDescent="0.2">
      <c r="B1" s="2568" t="str">
        <f>'Single Audit Cover'!A7</f>
        <v>Cahokia CUSD 187</v>
      </c>
      <c r="C1" s="2568"/>
      <c r="D1" s="2568"/>
      <c r="E1" s="2568"/>
      <c r="F1" s="2568"/>
      <c r="G1" s="2568"/>
      <c r="H1" s="2568"/>
      <c r="I1" s="2568"/>
      <c r="J1" s="2568"/>
      <c r="K1" s="2568"/>
      <c r="L1" s="1371"/>
      <c r="M1" s="1371"/>
    </row>
    <row r="2" spans="1:13" ht="12" customHeight="1" x14ac:dyDescent="0.2">
      <c r="B2" s="2570">
        <f>'Single Audit Cover'!E7</f>
        <v>50082187026</v>
      </c>
      <c r="C2" s="2570"/>
      <c r="D2" s="2570"/>
      <c r="E2" s="2570"/>
      <c r="F2" s="2570"/>
      <c r="G2" s="2570"/>
      <c r="H2" s="2570"/>
      <c r="I2" s="2570"/>
      <c r="J2" s="2570"/>
      <c r="K2" s="2570"/>
      <c r="L2" s="1372"/>
      <c r="M2" s="1373"/>
    </row>
    <row r="3" spans="1:13" ht="10.35" customHeight="1" x14ac:dyDescent="0.2">
      <c r="B3" s="2591" t="s">
        <v>1285</v>
      </c>
      <c r="C3" s="2591"/>
      <c r="D3" s="2591"/>
      <c r="E3" s="2591"/>
      <c r="F3" s="2591"/>
      <c r="G3" s="2591"/>
      <c r="H3" s="2591"/>
      <c r="I3" s="2591"/>
      <c r="J3" s="2591"/>
      <c r="K3" s="2591"/>
      <c r="L3" s="1939"/>
      <c r="M3" s="1939"/>
    </row>
    <row r="4" spans="1:13" ht="14.25" customHeight="1" x14ac:dyDescent="0.2">
      <c r="B4" s="2592" t="str">
        <f>'Single Audit Cover'!A4</f>
        <v>Year Ending June 30, 2019</v>
      </c>
      <c r="C4" s="2592"/>
      <c r="D4" s="2592"/>
      <c r="E4" s="2592"/>
      <c r="F4" s="2592"/>
      <c r="G4" s="2592"/>
      <c r="H4" s="2592"/>
      <c r="I4" s="2592"/>
      <c r="J4" s="2592"/>
      <c r="K4" s="2592"/>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970"/>
      <c r="B7" s="2592" t="s">
        <v>1296</v>
      </c>
      <c r="C7" s="2592"/>
      <c r="D7" s="2593"/>
      <c r="E7" s="2593"/>
      <c r="F7" s="2593"/>
      <c r="G7" s="2593"/>
      <c r="H7" s="2593"/>
      <c r="I7" s="2593"/>
      <c r="J7" s="2593"/>
      <c r="K7" s="259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1</v>
      </c>
      <c r="E10" s="322"/>
      <c r="F10" s="1384" t="s">
        <v>1295</v>
      </c>
      <c r="G10" s="1385"/>
      <c r="H10" s="1386" t="s">
        <v>1294</v>
      </c>
      <c r="I10" s="1385" t="s">
        <v>2085</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970" customFormat="1" ht="13.5" customHeight="1" x14ac:dyDescent="0.2">
      <c r="B13" s="1390" t="s">
        <v>1291</v>
      </c>
      <c r="C13" s="1390"/>
      <c r="D13" s="1391"/>
      <c r="E13" s="1391"/>
      <c r="F13" s="1391"/>
      <c r="G13" s="1392"/>
      <c r="H13" s="1391"/>
      <c r="I13" s="1392"/>
      <c r="J13" s="1391"/>
      <c r="K13" s="1391"/>
      <c r="L13" s="1393"/>
    </row>
    <row r="14" spans="1:13" ht="45.75" customHeight="1" x14ac:dyDescent="0.2">
      <c r="B14" s="2590" t="s">
        <v>2149</v>
      </c>
      <c r="C14" s="2590"/>
      <c r="D14" s="2590"/>
      <c r="E14" s="2590"/>
      <c r="F14" s="2590"/>
      <c r="G14" s="2590"/>
      <c r="H14" s="2590"/>
      <c r="I14" s="2590"/>
      <c r="J14" s="2590"/>
      <c r="K14" s="2590"/>
      <c r="L14" s="1394"/>
    </row>
    <row r="15" spans="1:13" ht="4.5" customHeight="1" x14ac:dyDescent="0.2">
      <c r="B15" s="1395"/>
      <c r="C15" s="1395"/>
      <c r="D15" s="1396"/>
      <c r="E15" s="1396"/>
      <c r="F15" s="1396"/>
      <c r="H15" s="1396"/>
      <c r="J15" s="1396"/>
      <c r="K15" s="1396"/>
      <c r="L15" s="1394"/>
    </row>
    <row r="16" spans="1:13" s="1970" customFormat="1" ht="13.5" customHeight="1" x14ac:dyDescent="0.2">
      <c r="B16" s="1390" t="s">
        <v>1290</v>
      </c>
      <c r="C16" s="1390"/>
      <c r="D16" s="1391"/>
      <c r="E16" s="1391"/>
      <c r="F16" s="1391"/>
      <c r="G16" s="1392"/>
      <c r="H16" s="1391"/>
      <c r="I16" s="1392"/>
      <c r="J16" s="1391"/>
      <c r="K16" s="1391"/>
      <c r="L16" s="1393"/>
    </row>
    <row r="17" spans="2:12" ht="45.75" customHeight="1" x14ac:dyDescent="0.2">
      <c r="B17" s="2590" t="s">
        <v>2150</v>
      </c>
      <c r="C17" s="2590"/>
      <c r="D17" s="2590"/>
      <c r="E17" s="2590"/>
      <c r="F17" s="2590"/>
      <c r="G17" s="2590"/>
      <c r="H17" s="2590"/>
      <c r="I17" s="2590"/>
      <c r="J17" s="2590"/>
      <c r="K17" s="2590"/>
      <c r="L17" s="1378"/>
    </row>
    <row r="18" spans="2:12" ht="4.5" customHeight="1" x14ac:dyDescent="0.2">
      <c r="B18" s="1395"/>
      <c r="C18" s="1395"/>
      <c r="L18" s="1378"/>
    </row>
    <row r="19" spans="2:12" s="1970" customFormat="1" ht="13.5" customHeight="1" x14ac:dyDescent="0.2">
      <c r="B19" s="1390" t="s">
        <v>1740</v>
      </c>
      <c r="C19" s="1390"/>
      <c r="D19" s="1391"/>
      <c r="E19" s="1391"/>
      <c r="F19" s="1391"/>
      <c r="G19" s="1392"/>
      <c r="H19" s="1391"/>
      <c r="I19" s="1392"/>
      <c r="J19" s="1391"/>
      <c r="K19" s="1391"/>
      <c r="L19" s="1393"/>
    </row>
    <row r="20" spans="2:12" ht="45.75" customHeight="1" x14ac:dyDescent="0.2">
      <c r="B20" s="2594" t="s">
        <v>2151</v>
      </c>
      <c r="C20" s="2594"/>
      <c r="D20" s="2590"/>
      <c r="E20" s="2590"/>
      <c r="F20" s="2590"/>
      <c r="G20" s="2590"/>
      <c r="H20" s="2590"/>
      <c r="I20" s="2590"/>
      <c r="J20" s="2590"/>
      <c r="K20" s="259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590" t="s">
        <v>2152</v>
      </c>
      <c r="C23" s="2590"/>
      <c r="D23" s="2590"/>
      <c r="E23" s="2590"/>
      <c r="F23" s="2590"/>
      <c r="G23" s="2590"/>
      <c r="H23" s="2590"/>
      <c r="I23" s="2590"/>
      <c r="J23" s="2590"/>
      <c r="K23" s="259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590" t="s">
        <v>2153</v>
      </c>
      <c r="C26" s="2590"/>
      <c r="D26" s="2590"/>
      <c r="E26" s="2590"/>
      <c r="F26" s="2590"/>
      <c r="G26" s="2590"/>
      <c r="H26" s="2590"/>
      <c r="I26" s="2590"/>
      <c r="J26" s="2590"/>
      <c r="K26" s="259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589" t="s">
        <v>2154</v>
      </c>
      <c r="C29" s="2589"/>
      <c r="D29" s="2590"/>
      <c r="E29" s="2590"/>
      <c r="F29" s="2590"/>
      <c r="G29" s="2590"/>
      <c r="H29" s="2590"/>
      <c r="I29" s="2590"/>
      <c r="J29" s="2590"/>
      <c r="K29" s="259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589" t="s">
        <v>2155</v>
      </c>
      <c r="C32" s="2589"/>
      <c r="D32" s="2590"/>
      <c r="E32" s="2590"/>
      <c r="F32" s="2590"/>
      <c r="G32" s="2590"/>
      <c r="H32" s="2590"/>
      <c r="I32" s="2590"/>
      <c r="J32" s="2590"/>
      <c r="K32" s="2590"/>
      <c r="L32" s="1378"/>
    </row>
    <row r="33" spans="1:13" s="322" customFormat="1" ht="4.5" customHeight="1" x14ac:dyDescent="0.2">
      <c r="B33" s="1399"/>
      <c r="C33" s="1399"/>
      <c r="G33" s="1380"/>
      <c r="I33" s="1380"/>
      <c r="L33" s="1378"/>
    </row>
    <row r="34" spans="1:13" s="322" customFormat="1" x14ac:dyDescent="0.2">
      <c r="A34" s="1971"/>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972" t="s">
        <v>1838</v>
      </c>
      <c r="C36" s="1972"/>
      <c r="L36" s="1378"/>
    </row>
    <row r="37" spans="1:13" ht="9.6" customHeight="1" x14ac:dyDescent="0.2">
      <c r="B37" s="1972" t="s">
        <v>1839</v>
      </c>
      <c r="C37" s="1972"/>
    </row>
    <row r="38" spans="1:13" ht="11.85" customHeight="1" x14ac:dyDescent="0.2">
      <c r="B38" s="1404" t="s">
        <v>1743</v>
      </c>
      <c r="C38" s="1404"/>
    </row>
    <row r="39" spans="1:13" ht="9.6" customHeight="1" x14ac:dyDescent="0.2">
      <c r="B39" s="1972" t="s">
        <v>1286</v>
      </c>
      <c r="C39" s="1972"/>
      <c r="M39" s="1405"/>
    </row>
    <row r="40" spans="1:13" ht="12.6" customHeight="1" x14ac:dyDescent="0.2">
      <c r="B40" s="1404" t="s">
        <v>1744</v>
      </c>
      <c r="C40" s="1404"/>
      <c r="M40" s="1405"/>
    </row>
    <row r="41" spans="1:13" ht="9.6" customHeight="1" x14ac:dyDescent="0.2">
      <c r="B41" s="1972"/>
      <c r="C41" s="1972"/>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5" sqref="B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68" t="str">
        <f>'Single Audit Cover'!A7</f>
        <v>Cahokia CUSD 187</v>
      </c>
      <c r="C1" s="2568"/>
      <c r="D1" s="2568"/>
      <c r="E1" s="2568"/>
      <c r="F1" s="2568"/>
      <c r="G1" s="2568"/>
      <c r="H1" s="2568"/>
      <c r="I1" s="2568"/>
      <c r="J1" s="2568"/>
      <c r="K1" s="2568"/>
      <c r="L1" s="1371"/>
      <c r="M1" s="1371"/>
    </row>
    <row r="2" spans="1:13" ht="12" customHeight="1" x14ac:dyDescent="0.2">
      <c r="B2" s="2570">
        <f>'Single Audit Cover'!E7</f>
        <v>50082187026</v>
      </c>
      <c r="C2" s="2570"/>
      <c r="D2" s="2570"/>
      <c r="E2" s="2570"/>
      <c r="F2" s="2570"/>
      <c r="G2" s="2570"/>
      <c r="H2" s="2570"/>
      <c r="I2" s="2570"/>
      <c r="J2" s="2570"/>
      <c r="K2" s="2570"/>
      <c r="L2" s="1372"/>
      <c r="M2" s="1373"/>
    </row>
    <row r="3" spans="1:13" ht="10.35" customHeight="1" x14ac:dyDescent="0.2">
      <c r="B3" s="2591" t="s">
        <v>1285</v>
      </c>
      <c r="C3" s="2591"/>
      <c r="D3" s="2591"/>
      <c r="E3" s="2591"/>
      <c r="F3" s="2591"/>
      <c r="G3" s="2591"/>
      <c r="H3" s="2591"/>
      <c r="I3" s="2591"/>
      <c r="J3" s="2591"/>
      <c r="K3" s="2591"/>
      <c r="L3" s="1374"/>
      <c r="M3" s="1374"/>
    </row>
    <row r="4" spans="1:13" ht="14.25" customHeight="1" x14ac:dyDescent="0.2">
      <c r="B4" s="2592" t="str">
        <f>'Single Audit Cover'!A4</f>
        <v>Year Ending June 30, 2019</v>
      </c>
      <c r="C4" s="2592"/>
      <c r="D4" s="2592"/>
      <c r="E4" s="2592"/>
      <c r="F4" s="2592"/>
      <c r="G4" s="2592"/>
      <c r="H4" s="2592"/>
      <c r="I4" s="2592"/>
      <c r="J4" s="2592"/>
      <c r="K4" s="2592"/>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92" t="s">
        <v>1296</v>
      </c>
      <c r="C7" s="2592"/>
      <c r="D7" s="2593"/>
      <c r="E7" s="2593"/>
      <c r="F7" s="2593"/>
      <c r="G7" s="2593"/>
      <c r="H7" s="2593"/>
      <c r="I7" s="2593"/>
      <c r="J7" s="2593"/>
      <c r="K7" s="259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2</v>
      </c>
      <c r="E10" s="322"/>
      <c r="F10" s="1384" t="s">
        <v>1295</v>
      </c>
      <c r="G10" s="1385"/>
      <c r="H10" s="1386" t="s">
        <v>1294</v>
      </c>
      <c r="I10" s="1385" t="s">
        <v>2102</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590" t="s">
        <v>2156</v>
      </c>
      <c r="C14" s="2590"/>
      <c r="D14" s="2590"/>
      <c r="E14" s="2590"/>
      <c r="F14" s="2590"/>
      <c r="G14" s="2590"/>
      <c r="H14" s="2590"/>
      <c r="I14" s="2590"/>
      <c r="J14" s="2590"/>
      <c r="K14" s="259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590" t="s">
        <v>2157</v>
      </c>
      <c r="C17" s="2590"/>
      <c r="D17" s="2590"/>
      <c r="E17" s="2590"/>
      <c r="F17" s="2590"/>
      <c r="G17" s="2590"/>
      <c r="H17" s="2590"/>
      <c r="I17" s="2590"/>
      <c r="J17" s="2590"/>
      <c r="K17" s="2590"/>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594" t="s">
        <v>2158</v>
      </c>
      <c r="C20" s="2594"/>
      <c r="D20" s="2590"/>
      <c r="E20" s="2590"/>
      <c r="F20" s="2590"/>
      <c r="G20" s="2590"/>
      <c r="H20" s="2590"/>
      <c r="I20" s="2590"/>
      <c r="J20" s="2590"/>
      <c r="K20" s="259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590" t="s">
        <v>2152</v>
      </c>
      <c r="C23" s="2590"/>
      <c r="D23" s="2590"/>
      <c r="E23" s="2590"/>
      <c r="F23" s="2590"/>
      <c r="G23" s="2590"/>
      <c r="H23" s="2590"/>
      <c r="I23" s="2590"/>
      <c r="J23" s="2590"/>
      <c r="K23" s="259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590" t="s">
        <v>2157</v>
      </c>
      <c r="C26" s="2590"/>
      <c r="D26" s="2590"/>
      <c r="E26" s="2590"/>
      <c r="F26" s="2590"/>
      <c r="G26" s="2590"/>
      <c r="H26" s="2590"/>
      <c r="I26" s="2590"/>
      <c r="J26" s="2590"/>
      <c r="K26" s="259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589" t="s">
        <v>2159</v>
      </c>
      <c r="C29" s="2589"/>
      <c r="D29" s="2590"/>
      <c r="E29" s="2590"/>
      <c r="F29" s="2590"/>
      <c r="G29" s="2590"/>
      <c r="H29" s="2590"/>
      <c r="I29" s="2590"/>
      <c r="J29" s="2590"/>
      <c r="K29" s="259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589" t="s">
        <v>2160</v>
      </c>
      <c r="C32" s="2589"/>
      <c r="D32" s="2590"/>
      <c r="E32" s="2590"/>
      <c r="F32" s="2590"/>
      <c r="G32" s="2590"/>
      <c r="H32" s="2590"/>
      <c r="I32" s="2590"/>
      <c r="J32" s="2590"/>
      <c r="K32" s="259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6FF81-C588-4AFE-8EA2-AFAF9CD7017A}">
  <dimension ref="A1:L48"/>
  <sheetViews>
    <sheetView showGridLines="0" topLeftCell="A7" zoomScale="110" zoomScaleNormal="110" workbookViewId="0">
      <selection activeCell="B5" sqref="B5"/>
    </sheetView>
  </sheetViews>
  <sheetFormatPr defaultColWidth="9.140625" defaultRowHeight="12.75" x14ac:dyDescent="0.2"/>
  <cols>
    <col min="1" max="1" width="1.5703125" style="1963" customWidth="1"/>
    <col min="2" max="2" width="21.5703125" style="1963" customWidth="1"/>
    <col min="3" max="3" width="6.140625" style="1963" customWidth="1"/>
    <col min="4" max="4" width="4.7109375" style="1963" customWidth="1"/>
    <col min="5" max="5" width="3.5703125" style="1963" customWidth="1"/>
    <col min="6" max="6" width="20.140625" style="1963" customWidth="1"/>
    <col min="7" max="7" width="3.5703125" style="1966" customWidth="1"/>
    <col min="8" max="8" width="10.5703125" style="1963" customWidth="1"/>
    <col min="9" max="9" width="3.42578125" style="1966" customWidth="1"/>
    <col min="10" max="10" width="15.5703125" style="1963" customWidth="1"/>
    <col min="11" max="11" width="8.5703125" style="1963" customWidth="1"/>
    <col min="12" max="12" width="1.5703125" style="1963" customWidth="1"/>
    <col min="13" max="13" width="3.42578125" style="1963" customWidth="1"/>
    <col min="14" max="16384" width="9.140625" style="1963"/>
  </cols>
  <sheetData>
    <row r="1" spans="1:12" ht="12.75" customHeight="1" x14ac:dyDescent="0.2">
      <c r="B1" s="2598" t="str">
        <f>'Single Audit Cover'!A7</f>
        <v>Cahokia CUSD 187</v>
      </c>
      <c r="C1" s="2598"/>
      <c r="D1" s="2598"/>
      <c r="E1" s="2598"/>
      <c r="F1" s="2598"/>
      <c r="G1" s="2598"/>
      <c r="H1" s="2598"/>
      <c r="I1" s="2598"/>
      <c r="J1" s="2598"/>
      <c r="K1" s="2598"/>
      <c r="L1" s="1449"/>
    </row>
    <row r="2" spans="1:12" ht="12.75" customHeight="1" x14ac:dyDescent="0.2">
      <c r="B2" s="2599">
        <f>'Single Audit Cover'!E7</f>
        <v>50082187026</v>
      </c>
      <c r="C2" s="2599"/>
      <c r="D2" s="2599"/>
      <c r="E2" s="2599"/>
      <c r="F2" s="2599"/>
      <c r="G2" s="2599"/>
      <c r="H2" s="2599"/>
      <c r="I2" s="2599"/>
      <c r="J2" s="2599"/>
      <c r="K2" s="2599"/>
      <c r="L2" s="1450"/>
    </row>
    <row r="3" spans="1:12" ht="12.75" customHeight="1" x14ac:dyDescent="0.2">
      <c r="B3" s="2591" t="s">
        <v>1285</v>
      </c>
      <c r="C3" s="2591"/>
      <c r="D3" s="2591"/>
      <c r="E3" s="2591"/>
      <c r="F3" s="2591"/>
      <c r="G3" s="2591"/>
      <c r="H3" s="2591"/>
      <c r="I3" s="2591"/>
      <c r="J3" s="2591"/>
      <c r="K3" s="2591"/>
      <c r="L3" s="2046"/>
    </row>
    <row r="4" spans="1:12" ht="12.75" customHeight="1" x14ac:dyDescent="0.2">
      <c r="B4" s="2591" t="str">
        <f>'Single Audit Cover'!A4</f>
        <v>Year Ending June 30, 2019</v>
      </c>
      <c r="C4" s="2591"/>
      <c r="D4" s="2591"/>
      <c r="E4" s="2591"/>
      <c r="F4" s="2591"/>
      <c r="G4" s="2591"/>
      <c r="H4" s="2591"/>
      <c r="I4" s="2591"/>
      <c r="J4" s="2591"/>
      <c r="K4" s="2591"/>
      <c r="L4" s="2046"/>
    </row>
    <row r="5" spans="1:12" ht="5.25" customHeight="1" x14ac:dyDescent="0.2">
      <c r="B5" s="1257" t="s">
        <v>1169</v>
      </c>
      <c r="C5" s="1257"/>
      <c r="L5" s="322"/>
    </row>
    <row r="6" spans="1:12" ht="30.75" customHeight="1" x14ac:dyDescent="0.2">
      <c r="A6" s="322"/>
      <c r="B6" s="2600" t="s">
        <v>1308</v>
      </c>
      <c r="C6" s="2600"/>
      <c r="D6" s="2600"/>
      <c r="E6" s="2600"/>
      <c r="F6" s="2600"/>
      <c r="G6" s="2600"/>
      <c r="H6" s="2600"/>
      <c r="I6" s="2600"/>
      <c r="J6" s="2600"/>
      <c r="K6" s="2600"/>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v>3</v>
      </c>
      <c r="E8" s="322"/>
      <c r="F8" s="1381" t="s">
        <v>1295</v>
      </c>
      <c r="G8" s="1453"/>
      <c r="H8" s="1454" t="s">
        <v>1307</v>
      </c>
      <c r="I8" s="1453" t="s">
        <v>2102</v>
      </c>
      <c r="J8" s="1455" t="s">
        <v>1306</v>
      </c>
      <c r="L8" s="322"/>
    </row>
    <row r="9" spans="1:12" ht="13.5" customHeight="1" x14ac:dyDescent="0.2">
      <c r="D9" s="322"/>
      <c r="E9" s="322"/>
      <c r="F9" s="322"/>
      <c r="G9" s="1380"/>
      <c r="H9" s="322"/>
      <c r="I9" s="1456" t="s">
        <v>1292</v>
      </c>
      <c r="J9" s="322"/>
      <c r="K9" s="1457">
        <v>2018</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575" t="s">
        <v>2191</v>
      </c>
      <c r="G12" s="2575"/>
      <c r="H12" s="2575"/>
      <c r="I12" s="2575"/>
      <c r="J12" s="2575"/>
      <c r="K12" s="2575"/>
      <c r="L12" s="322"/>
    </row>
    <row r="13" spans="1:12" ht="9.6" customHeight="1" x14ac:dyDescent="0.2">
      <c r="B13" s="1965"/>
      <c r="C13" s="1965"/>
      <c r="D13" s="304"/>
      <c r="E13" s="322"/>
      <c r="F13" s="322"/>
      <c r="G13" s="1380"/>
      <c r="H13" s="322"/>
      <c r="I13" s="1380"/>
      <c r="J13" s="322"/>
      <c r="K13" s="1416"/>
      <c r="L13" s="322"/>
    </row>
    <row r="14" spans="1:12" ht="13.5" customHeight="1" x14ac:dyDescent="0.2">
      <c r="B14" s="1384" t="s">
        <v>1304</v>
      </c>
      <c r="C14" s="1384"/>
      <c r="D14" s="2595" t="s">
        <v>2192</v>
      </c>
      <c r="E14" s="2595"/>
      <c r="F14" s="2595"/>
      <c r="H14" s="1459" t="s">
        <v>1303</v>
      </c>
      <c r="I14" s="2596" t="s">
        <v>2195</v>
      </c>
      <c r="J14" s="2596"/>
      <c r="K14" s="2596"/>
      <c r="L14" s="322"/>
    </row>
    <row r="15" spans="1:12" ht="9.4" customHeight="1" x14ac:dyDescent="0.2">
      <c r="B15" s="1384"/>
      <c r="C15" s="1384"/>
      <c r="D15" s="2044"/>
      <c r="E15" s="1257"/>
      <c r="F15" s="1257"/>
      <c r="G15" s="1283"/>
      <c r="H15" s="1257"/>
      <c r="I15" s="1460"/>
      <c r="J15" s="1291"/>
      <c r="K15" s="1288"/>
      <c r="L15" s="322"/>
    </row>
    <row r="16" spans="1:12" ht="13.5" customHeight="1" x14ac:dyDescent="0.2">
      <c r="B16" s="1384" t="s">
        <v>1302</v>
      </c>
      <c r="C16" s="1384"/>
      <c r="D16" s="2596" t="s">
        <v>2193</v>
      </c>
      <c r="E16" s="2596"/>
      <c r="F16" s="2596"/>
      <c r="G16" s="2596"/>
      <c r="H16" s="2596"/>
      <c r="I16" s="2596"/>
      <c r="J16" s="2596"/>
      <c r="K16" s="2596"/>
      <c r="L16" s="322"/>
    </row>
    <row r="17" spans="2:12" ht="13.5" customHeight="1" x14ac:dyDescent="0.2">
      <c r="B17" s="1384" t="s">
        <v>1301</v>
      </c>
      <c r="C17" s="1384"/>
      <c r="D17" s="2597" t="s">
        <v>2194</v>
      </c>
      <c r="E17" s="2597"/>
      <c r="F17" s="2597"/>
      <c r="G17" s="2597"/>
      <c r="H17" s="2597"/>
      <c r="I17" s="2597"/>
      <c r="J17" s="2597"/>
      <c r="K17" s="259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590" t="s">
        <v>2196</v>
      </c>
      <c r="C20" s="2590"/>
      <c r="D20" s="2590"/>
      <c r="E20" s="2590"/>
      <c r="F20" s="2590"/>
      <c r="G20" s="2590"/>
      <c r="H20" s="2590"/>
      <c r="I20" s="2590"/>
      <c r="J20" s="2590"/>
      <c r="K20" s="259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590" t="s">
        <v>2239</v>
      </c>
      <c r="C23" s="2590"/>
      <c r="D23" s="2590"/>
      <c r="E23" s="2590"/>
      <c r="F23" s="2590"/>
      <c r="G23" s="2590"/>
      <c r="H23" s="2590"/>
      <c r="I23" s="2590"/>
      <c r="J23" s="2590"/>
      <c r="K23" s="259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590" t="s">
        <v>2151</v>
      </c>
      <c r="C26" s="2590"/>
      <c r="D26" s="2590"/>
      <c r="E26" s="2590"/>
      <c r="F26" s="2590"/>
      <c r="G26" s="2590"/>
      <c r="H26" s="2590"/>
      <c r="I26" s="2590"/>
      <c r="J26" s="2590"/>
      <c r="K26" s="259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40.9" customHeight="1" x14ac:dyDescent="0.2">
      <c r="B29" s="2590" t="s">
        <v>2240</v>
      </c>
      <c r="C29" s="2590"/>
      <c r="D29" s="2590"/>
      <c r="E29" s="2590"/>
      <c r="F29" s="2590"/>
      <c r="G29" s="2590"/>
      <c r="H29" s="2590"/>
      <c r="I29" s="2590"/>
      <c r="J29" s="2590"/>
      <c r="K29" s="259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590" t="s">
        <v>2197</v>
      </c>
      <c r="C32" s="2590"/>
      <c r="D32" s="2590"/>
      <c r="E32" s="2590"/>
      <c r="F32" s="2590"/>
      <c r="G32" s="2590"/>
      <c r="H32" s="2590"/>
      <c r="I32" s="2590"/>
      <c r="J32" s="2590"/>
      <c r="K32" s="259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590" t="s">
        <v>2198</v>
      </c>
      <c r="C35" s="2590"/>
      <c r="D35" s="2590"/>
      <c r="E35" s="2590"/>
      <c r="F35" s="2590"/>
      <c r="G35" s="2590"/>
      <c r="H35" s="2590"/>
      <c r="I35" s="2590"/>
      <c r="J35" s="2590"/>
      <c r="K35" s="259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590" t="s">
        <v>2199</v>
      </c>
      <c r="C38" s="2590"/>
      <c r="D38" s="2590"/>
      <c r="E38" s="2590"/>
      <c r="F38" s="2590"/>
      <c r="G38" s="2590"/>
      <c r="H38" s="2590"/>
      <c r="I38" s="2590"/>
      <c r="J38" s="2590"/>
      <c r="K38" s="259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590" t="s">
        <v>2200</v>
      </c>
      <c r="C41" s="2590"/>
      <c r="D41" s="2590"/>
      <c r="E41" s="2590"/>
      <c r="F41" s="2590"/>
      <c r="G41" s="2590"/>
      <c r="H41" s="2590"/>
      <c r="I41" s="2590"/>
      <c r="J41" s="2590"/>
      <c r="K41" s="259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1963"/>
      <c r="I45" s="1963"/>
    </row>
    <row r="46" spans="2:12" ht="11.1" customHeight="1" x14ac:dyDescent="0.2">
      <c r="B46" s="1404" t="s">
        <v>1760</v>
      </c>
      <c r="C46" s="1404"/>
      <c r="G46" s="1963"/>
      <c r="I46" s="1963"/>
    </row>
    <row r="47" spans="2:12" ht="11.1" customHeight="1" x14ac:dyDescent="0.2">
      <c r="B47" s="1404" t="s">
        <v>1761</v>
      </c>
      <c r="C47" s="1404"/>
      <c r="G47" s="1963"/>
      <c r="I47" s="1963"/>
    </row>
    <row r="48" spans="2:12" ht="11.1" customHeight="1" x14ac:dyDescent="0.2">
      <c r="B48" s="1404" t="s">
        <v>1762</v>
      </c>
      <c r="C48" s="1404"/>
      <c r="G48" s="1963"/>
      <c r="I48" s="1963"/>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5" sqref="B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98" t="str">
        <f>'Single Audit Cover'!A7</f>
        <v>Cahokia CUSD 187</v>
      </c>
      <c r="C1" s="2598"/>
      <c r="D1" s="2598"/>
      <c r="E1" s="2598"/>
      <c r="F1" s="2598"/>
      <c r="G1" s="2598"/>
      <c r="H1" s="2598"/>
      <c r="I1" s="2598"/>
      <c r="J1" s="2598"/>
      <c r="K1" s="2598"/>
      <c r="L1" s="1449"/>
    </row>
    <row r="2" spans="1:12" ht="12.75" customHeight="1" x14ac:dyDescent="0.2">
      <c r="B2" s="2599">
        <f>'Single Audit Cover'!E7</f>
        <v>50082187026</v>
      </c>
      <c r="C2" s="2599"/>
      <c r="D2" s="2599"/>
      <c r="E2" s="2599"/>
      <c r="F2" s="2599"/>
      <c r="G2" s="2599"/>
      <c r="H2" s="2599"/>
      <c r="I2" s="2599"/>
      <c r="J2" s="2599"/>
      <c r="K2" s="2599"/>
      <c r="L2" s="1450"/>
    </row>
    <row r="3" spans="1:12" ht="12.75" customHeight="1" x14ac:dyDescent="0.2">
      <c r="B3" s="2591" t="s">
        <v>1285</v>
      </c>
      <c r="C3" s="2591"/>
      <c r="D3" s="2591"/>
      <c r="E3" s="2591"/>
      <c r="F3" s="2591"/>
      <c r="G3" s="2591"/>
      <c r="H3" s="2591"/>
      <c r="I3" s="2591"/>
      <c r="J3" s="2591"/>
      <c r="K3" s="2591"/>
      <c r="L3" s="1374"/>
    </row>
    <row r="4" spans="1:12" ht="12.75" customHeight="1" x14ac:dyDescent="0.2">
      <c r="B4" s="2591" t="str">
        <f>'Single Audit Cover'!A4</f>
        <v>Year Ending June 30, 2019</v>
      </c>
      <c r="C4" s="2591"/>
      <c r="D4" s="2591"/>
      <c r="E4" s="2591"/>
      <c r="F4" s="2591"/>
      <c r="G4" s="2591"/>
      <c r="H4" s="2591"/>
      <c r="I4" s="2591"/>
      <c r="J4" s="2591"/>
      <c r="K4" s="2591"/>
      <c r="L4" s="1374"/>
    </row>
    <row r="5" spans="1:12" ht="5.25" customHeight="1" x14ac:dyDescent="0.2">
      <c r="B5" s="1257" t="s">
        <v>1169</v>
      </c>
      <c r="C5" s="1257"/>
      <c r="L5" s="322"/>
    </row>
    <row r="6" spans="1:12" ht="30.75" customHeight="1" x14ac:dyDescent="0.2">
      <c r="A6" s="322"/>
      <c r="B6" s="2600" t="s">
        <v>1308</v>
      </c>
      <c r="C6" s="2600"/>
      <c r="D6" s="2600"/>
      <c r="E6" s="2600"/>
      <c r="F6" s="2600"/>
      <c r="G6" s="2600"/>
      <c r="H6" s="2600"/>
      <c r="I6" s="2600"/>
      <c r="J6" s="2600"/>
      <c r="K6" s="2600"/>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v>4</v>
      </c>
      <c r="E8" s="322"/>
      <c r="F8" s="1381" t="s">
        <v>1295</v>
      </c>
      <c r="G8" s="1453"/>
      <c r="H8" s="1454" t="s">
        <v>1307</v>
      </c>
      <c r="I8" s="1453" t="s">
        <v>2102</v>
      </c>
      <c r="J8" s="1455" t="s">
        <v>1306</v>
      </c>
      <c r="L8" s="322"/>
    </row>
    <row r="9" spans="1:12" ht="13.5" customHeight="1" x14ac:dyDescent="0.2">
      <c r="D9" s="322"/>
      <c r="E9" s="322"/>
      <c r="F9" s="322"/>
      <c r="G9" s="1380"/>
      <c r="H9" s="322"/>
      <c r="I9" s="1456" t="s">
        <v>1292</v>
      </c>
      <c r="J9" s="322"/>
      <c r="K9" s="1457">
        <v>2018</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575" t="s">
        <v>2201</v>
      </c>
      <c r="G12" s="2575"/>
      <c r="H12" s="2575"/>
      <c r="I12" s="2575"/>
      <c r="J12" s="2575"/>
      <c r="K12" s="257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95" t="s">
        <v>2124</v>
      </c>
      <c r="E14" s="2595"/>
      <c r="F14" s="2595"/>
      <c r="H14" s="1459" t="s">
        <v>1303</v>
      </c>
      <c r="I14" s="2596">
        <v>84.01</v>
      </c>
      <c r="J14" s="2596"/>
      <c r="K14" s="259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96" t="s">
        <v>2193</v>
      </c>
      <c r="E16" s="2596"/>
      <c r="F16" s="2596"/>
      <c r="G16" s="2596"/>
      <c r="H16" s="2596"/>
      <c r="I16" s="2596"/>
      <c r="J16" s="2596"/>
      <c r="K16" s="2596"/>
      <c r="L16" s="322"/>
    </row>
    <row r="17" spans="2:12" ht="13.5" customHeight="1" x14ac:dyDescent="0.2">
      <c r="B17" s="1384" t="s">
        <v>1301</v>
      </c>
      <c r="C17" s="1384"/>
      <c r="D17" s="2597" t="s">
        <v>2194</v>
      </c>
      <c r="E17" s="2597"/>
      <c r="F17" s="2597"/>
      <c r="G17" s="2597"/>
      <c r="H17" s="2597"/>
      <c r="I17" s="2597"/>
      <c r="J17" s="2597"/>
      <c r="K17" s="259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590" t="s">
        <v>2202</v>
      </c>
      <c r="C20" s="2590"/>
      <c r="D20" s="2590"/>
      <c r="E20" s="2590"/>
      <c r="F20" s="2590"/>
      <c r="G20" s="2590"/>
      <c r="H20" s="2590"/>
      <c r="I20" s="2590"/>
      <c r="J20" s="2590"/>
      <c r="K20" s="259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590" t="s">
        <v>2203</v>
      </c>
      <c r="C23" s="2590"/>
      <c r="D23" s="2590"/>
      <c r="E23" s="2590"/>
      <c r="F23" s="2590"/>
      <c r="G23" s="2590"/>
      <c r="H23" s="2590"/>
      <c r="I23" s="2590"/>
      <c r="J23" s="2590"/>
      <c r="K23" s="259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590" t="s">
        <v>2151</v>
      </c>
      <c r="C26" s="2590"/>
      <c r="D26" s="2590"/>
      <c r="E26" s="2590"/>
      <c r="F26" s="2590"/>
      <c r="G26" s="2590"/>
      <c r="H26" s="2590"/>
      <c r="I26" s="2590"/>
      <c r="J26" s="2590"/>
      <c r="K26" s="259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590" t="s">
        <v>2204</v>
      </c>
      <c r="C29" s="2590"/>
      <c r="D29" s="2590"/>
      <c r="E29" s="2590"/>
      <c r="F29" s="2590"/>
      <c r="G29" s="2590"/>
      <c r="H29" s="2590"/>
      <c r="I29" s="2590"/>
      <c r="J29" s="2590"/>
      <c r="K29" s="259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590" t="s">
        <v>2205</v>
      </c>
      <c r="C32" s="2590"/>
      <c r="D32" s="2590"/>
      <c r="E32" s="2590"/>
      <c r="F32" s="2590"/>
      <c r="G32" s="2590"/>
      <c r="H32" s="2590"/>
      <c r="I32" s="2590"/>
      <c r="J32" s="2590"/>
      <c r="K32" s="259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590" t="s">
        <v>2206</v>
      </c>
      <c r="C35" s="2590"/>
      <c r="D35" s="2590"/>
      <c r="E35" s="2590"/>
      <c r="F35" s="2590"/>
      <c r="G35" s="2590"/>
      <c r="H35" s="2590"/>
      <c r="I35" s="2590"/>
      <c r="J35" s="2590"/>
      <c r="K35" s="259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590" t="s">
        <v>2207</v>
      </c>
      <c r="C38" s="2590"/>
      <c r="D38" s="2590"/>
      <c r="E38" s="2590"/>
      <c r="F38" s="2590"/>
      <c r="G38" s="2590"/>
      <c r="H38" s="2590"/>
      <c r="I38" s="2590"/>
      <c r="J38" s="2590"/>
      <c r="K38" s="259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590" t="s">
        <v>2208</v>
      </c>
      <c r="C41" s="2590"/>
      <c r="D41" s="2590"/>
      <c r="E41" s="2590"/>
      <c r="F41" s="2590"/>
      <c r="G41" s="2590"/>
      <c r="H41" s="2590"/>
      <c r="I41" s="2590"/>
      <c r="J41" s="2590"/>
      <c r="K41" s="259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B41:K41"/>
    <mergeCell ref="B38:K38"/>
    <mergeCell ref="B29:K29"/>
    <mergeCell ref="B32:K32"/>
    <mergeCell ref="B35:K35"/>
    <mergeCell ref="B26:K26"/>
    <mergeCell ref="F12:K12"/>
    <mergeCell ref="B1:K1"/>
    <mergeCell ref="B2:K2"/>
    <mergeCell ref="B3:K3"/>
    <mergeCell ref="B4:K4"/>
    <mergeCell ref="B6:K6"/>
    <mergeCell ref="B20:K20"/>
    <mergeCell ref="B23:K23"/>
    <mergeCell ref="D14:F14"/>
    <mergeCell ref="I14:K14"/>
    <mergeCell ref="D16:K16"/>
    <mergeCell ref="D17:K17"/>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topLeftCell="A10" zoomScale="110" zoomScaleNormal="110" workbookViewId="0">
      <selection activeCell="B5" sqref="B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568" t="str">
        <f>'Single Audit Cover'!A7</f>
        <v>Cahokia CUSD 187</v>
      </c>
      <c r="C1" s="2568"/>
      <c r="D1" s="2568"/>
      <c r="E1" s="1469"/>
    </row>
    <row r="2" spans="2:5" s="1279" customFormat="1" ht="12.75" customHeight="1" x14ac:dyDescent="0.2">
      <c r="B2" s="2570">
        <f>'Single Audit Cover'!E7</f>
        <v>50082187026</v>
      </c>
      <c r="C2" s="2570"/>
      <c r="D2" s="2570"/>
      <c r="E2" s="1470"/>
    </row>
    <row r="3" spans="2:5" ht="12.75" customHeight="1" x14ac:dyDescent="0.2">
      <c r="B3" s="2591" t="s">
        <v>1763</v>
      </c>
      <c r="C3" s="2591"/>
      <c r="D3" s="2591"/>
      <c r="E3" s="1271"/>
    </row>
    <row r="4" spans="2:5" s="1279" customFormat="1" ht="12.75" customHeight="1" x14ac:dyDescent="0.2">
      <c r="B4" s="2601" t="str">
        <f>'Single Audit Cover'!A4</f>
        <v>Year Ending June 30, 2019</v>
      </c>
      <c r="C4" s="2601"/>
      <c r="D4" s="2601"/>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c r="C7" s="324"/>
      <c r="D7" s="324"/>
      <c r="E7" s="324"/>
    </row>
    <row r="8" spans="2:5" ht="13.5" customHeight="1" x14ac:dyDescent="0.25">
      <c r="B8" s="2047" t="s">
        <v>2221</v>
      </c>
      <c r="C8" s="2048" t="s">
        <v>2209</v>
      </c>
      <c r="D8" s="2048" t="s">
        <v>2210</v>
      </c>
      <c r="E8" s="324"/>
    </row>
    <row r="9" spans="2:5" ht="13.5" customHeight="1" x14ac:dyDescent="0.25">
      <c r="B9" s="2049"/>
      <c r="C9" s="2048"/>
      <c r="D9" s="2048" t="s">
        <v>2211</v>
      </c>
      <c r="E9" s="323"/>
    </row>
    <row r="10" spans="2:5" ht="13.5" customHeight="1" x14ac:dyDescent="0.25">
      <c r="B10" s="2047"/>
      <c r="C10" s="2048"/>
      <c r="D10" s="2048" t="s">
        <v>2212</v>
      </c>
      <c r="E10" s="323"/>
    </row>
    <row r="11" spans="2:5" ht="13.5" customHeight="1" x14ac:dyDescent="0.25">
      <c r="B11" s="2047"/>
      <c r="C11" s="2048"/>
      <c r="D11" s="2048" t="s">
        <v>2213</v>
      </c>
      <c r="E11" s="323"/>
    </row>
    <row r="12" spans="2:5" ht="13.5" customHeight="1" x14ac:dyDescent="0.25">
      <c r="B12" s="2047"/>
      <c r="C12" s="2048"/>
      <c r="D12" s="2048" t="s">
        <v>2214</v>
      </c>
      <c r="E12" s="323"/>
    </row>
    <row r="13" spans="2:5" ht="13.5" customHeight="1" x14ac:dyDescent="0.25">
      <c r="B13" s="2047"/>
      <c r="C13" s="2048"/>
      <c r="D13" s="2048"/>
      <c r="E13" s="323"/>
    </row>
    <row r="14" spans="2:5" ht="13.5" customHeight="1" x14ac:dyDescent="0.25">
      <c r="B14" s="2047" t="s">
        <v>2229</v>
      </c>
      <c r="C14" s="2048" t="s">
        <v>2215</v>
      </c>
      <c r="D14" s="2048" t="s">
        <v>2216</v>
      </c>
      <c r="E14" s="323"/>
    </row>
    <row r="15" spans="2:5" ht="13.5" customHeight="1" x14ac:dyDescent="0.25">
      <c r="B15" s="2047"/>
      <c r="C15" s="2048"/>
      <c r="D15" s="2048" t="s">
        <v>2217</v>
      </c>
      <c r="E15" s="323"/>
    </row>
    <row r="16" spans="2:5" ht="13.5" customHeight="1" x14ac:dyDescent="0.25">
      <c r="B16" s="2047"/>
      <c r="C16" s="2048"/>
      <c r="D16" s="2048" t="s">
        <v>2218</v>
      </c>
      <c r="E16" s="323"/>
    </row>
    <row r="17" spans="2:5" ht="13.5" customHeight="1" x14ac:dyDescent="0.25">
      <c r="B17" s="2047"/>
      <c r="C17" s="2048"/>
      <c r="D17" s="2048" t="s">
        <v>2219</v>
      </c>
      <c r="E17" s="323"/>
    </row>
    <row r="18" spans="2:5" ht="13.5" customHeight="1" x14ac:dyDescent="0.25">
      <c r="B18" s="2047"/>
      <c r="C18" s="2048"/>
      <c r="D18" s="2048" t="s">
        <v>2220</v>
      </c>
      <c r="E18" s="323"/>
    </row>
    <row r="19" spans="2:5" ht="13.5" customHeight="1" x14ac:dyDescent="0.2">
      <c r="B19" s="1474"/>
      <c r="C19" s="323"/>
      <c r="D19" s="323"/>
      <c r="E19" s="323"/>
    </row>
    <row r="20" spans="2:5" ht="13.5" customHeight="1" x14ac:dyDescent="0.2">
      <c r="B20" s="1474" t="s">
        <v>2228</v>
      </c>
      <c r="C20" s="323" t="s">
        <v>2235</v>
      </c>
      <c r="D20" s="323" t="s">
        <v>2236</v>
      </c>
      <c r="E20" s="323"/>
    </row>
    <row r="21" spans="2:5" ht="13.5" customHeight="1" x14ac:dyDescent="0.2">
      <c r="B21" s="1474"/>
      <c r="C21" s="323"/>
      <c r="D21" s="323" t="s">
        <v>2237</v>
      </c>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5">
      <c r="B25" s="2053" t="s">
        <v>2233</v>
      </c>
      <c r="C25" s="2050" t="s">
        <v>2238</v>
      </c>
      <c r="D25" s="2050" t="s">
        <v>2230</v>
      </c>
      <c r="E25" s="323"/>
    </row>
    <row r="26" spans="2:5" ht="13.5" customHeight="1" x14ac:dyDescent="0.25">
      <c r="B26" s="2053"/>
      <c r="C26" s="2050"/>
      <c r="D26" s="2050" t="s">
        <v>2231</v>
      </c>
      <c r="E26" s="323"/>
    </row>
    <row r="27" spans="2:5" ht="13.5" customHeight="1" x14ac:dyDescent="0.25">
      <c r="B27" s="2052"/>
      <c r="C27" s="2050"/>
      <c r="D27" s="2050" t="s">
        <v>2232</v>
      </c>
      <c r="E27" s="323"/>
    </row>
    <row r="28" spans="2:5" ht="13.5" customHeight="1" x14ac:dyDescent="0.25">
      <c r="B28" s="2053"/>
      <c r="C28" s="2051"/>
      <c r="D28" s="2051"/>
      <c r="E28" s="323"/>
    </row>
    <row r="29" spans="2:5" ht="13.5" customHeight="1" x14ac:dyDescent="0.25">
      <c r="B29" s="2053"/>
      <c r="C29" s="2051"/>
      <c r="D29" s="2051"/>
      <c r="E29" s="323"/>
    </row>
    <row r="30" spans="2:5" ht="13.5" customHeight="1" x14ac:dyDescent="0.25">
      <c r="B30" s="2053"/>
      <c r="C30" s="2051"/>
      <c r="D30" s="2051"/>
      <c r="E30" s="323"/>
    </row>
    <row r="31" spans="2:5" ht="13.5" customHeight="1" x14ac:dyDescent="0.25">
      <c r="B31" s="2053" t="s">
        <v>2234</v>
      </c>
      <c r="C31" s="2051" t="s">
        <v>2222</v>
      </c>
      <c r="D31" s="2051" t="s">
        <v>2223</v>
      </c>
      <c r="E31" s="323"/>
    </row>
    <row r="32" spans="2:5" ht="13.5" customHeight="1" x14ac:dyDescent="0.25">
      <c r="B32" s="2053"/>
      <c r="C32" s="2051" t="s">
        <v>2224</v>
      </c>
      <c r="D32" s="2051" t="s">
        <v>2225</v>
      </c>
      <c r="E32" s="323"/>
    </row>
    <row r="33" spans="2:5" ht="13.5" customHeight="1" x14ac:dyDescent="0.25">
      <c r="B33" s="2052"/>
      <c r="C33" s="2051"/>
      <c r="D33" s="2051" t="s">
        <v>2226</v>
      </c>
      <c r="E33" s="323"/>
    </row>
    <row r="34" spans="2:5" ht="13.5" customHeight="1" x14ac:dyDescent="0.25">
      <c r="B34" s="2053"/>
      <c r="C34" s="2051"/>
      <c r="D34" s="2051" t="s">
        <v>2227</v>
      </c>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4" t="s">
        <v>1313</v>
      </c>
      <c r="C44" s="322"/>
    </row>
    <row r="45" spans="2:5" ht="12.2" customHeight="1" x14ac:dyDescent="0.2">
      <c r="B45" s="1481" t="s">
        <v>1766</v>
      </c>
    </row>
    <row r="46" spans="2:5" ht="12.2" customHeight="1" x14ac:dyDescent="0.2">
      <c r="B46" s="1481" t="s">
        <v>1767</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 top="0.52" bottom="0.57999999999999996" header="0.26" footer="0.26"/>
  <pageSetup scale="95"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B5" sqref="B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83" t="s">
        <v>1168</v>
      </c>
      <c r="B2" s="2183"/>
      <c r="C2" s="2183"/>
      <c r="D2" s="2183"/>
      <c r="E2" s="2183"/>
      <c r="F2" s="2183"/>
      <c r="G2" s="2183"/>
      <c r="H2" s="2183"/>
      <c r="I2" s="2183"/>
      <c r="J2" s="218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97" t="s">
        <v>1633</v>
      </c>
      <c r="B35" s="2198"/>
      <c r="C35" s="2198"/>
      <c r="D35" s="2198"/>
      <c r="E35" s="2199"/>
      <c r="F35" s="2199"/>
      <c r="G35" s="2199"/>
      <c r="H35" s="2199"/>
      <c r="I35" s="219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97" t="s">
        <v>313</v>
      </c>
      <c r="B47" s="2200"/>
      <c r="C47" s="2200"/>
      <c r="D47" s="2200"/>
      <c r="E47" s="2201"/>
      <c r="F47" s="2201"/>
      <c r="G47" s="2201"/>
      <c r="H47" s="2201"/>
      <c r="I47" s="220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v>43707</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04"/>
      <c r="C57" s="2205"/>
      <c r="D57" s="2205"/>
      <c r="E57" s="2205"/>
      <c r="F57" s="2205"/>
      <c r="G57" s="2205"/>
      <c r="H57" s="2205"/>
      <c r="I57" s="2205"/>
      <c r="J57" s="2206"/>
    </row>
    <row r="58" spans="1:10" s="181" customFormat="1" x14ac:dyDescent="0.2">
      <c r="A58" s="253"/>
      <c r="B58" s="2207"/>
      <c r="C58" s="2208"/>
      <c r="D58" s="2208"/>
      <c r="E58" s="2208"/>
      <c r="F58" s="2208"/>
      <c r="G58" s="2208"/>
      <c r="H58" s="2208"/>
      <c r="I58" s="2208"/>
      <c r="J58" s="2209"/>
    </row>
    <row r="59" spans="1:10" s="181" customFormat="1" x14ac:dyDescent="0.2">
      <c r="A59" s="253"/>
      <c r="B59" s="2207"/>
      <c r="C59" s="2208"/>
      <c r="D59" s="2208"/>
      <c r="E59" s="2208"/>
      <c r="F59" s="2208"/>
      <c r="G59" s="2208"/>
      <c r="H59" s="2208"/>
      <c r="I59" s="2208"/>
      <c r="J59" s="2209"/>
    </row>
    <row r="60" spans="1:10" s="181" customFormat="1" x14ac:dyDescent="0.2">
      <c r="A60" s="253"/>
      <c r="B60" s="2207"/>
      <c r="C60" s="2208"/>
      <c r="D60" s="2208"/>
      <c r="E60" s="2208"/>
      <c r="F60" s="2208"/>
      <c r="G60" s="2208"/>
      <c r="H60" s="2208"/>
      <c r="I60" s="2208"/>
      <c r="J60" s="2209"/>
    </row>
    <row r="61" spans="1:10" s="181" customFormat="1" x14ac:dyDescent="0.2">
      <c r="A61" s="253"/>
      <c r="B61" s="2207"/>
      <c r="C61" s="2208"/>
      <c r="D61" s="2208"/>
      <c r="E61" s="2208"/>
      <c r="F61" s="2208"/>
      <c r="G61" s="2208"/>
      <c r="H61" s="2208"/>
      <c r="I61" s="2208"/>
      <c r="J61" s="2209"/>
    </row>
    <row r="62" spans="1:10" s="181" customFormat="1" x14ac:dyDescent="0.2">
      <c r="A62" s="253"/>
      <c r="B62" s="2207"/>
      <c r="C62" s="2208"/>
      <c r="D62" s="2208"/>
      <c r="E62" s="2208"/>
      <c r="F62" s="2208"/>
      <c r="G62" s="2208"/>
      <c r="H62" s="2208"/>
      <c r="I62" s="2208"/>
      <c r="J62" s="2209"/>
    </row>
    <row r="63" spans="1:10" s="181" customFormat="1" x14ac:dyDescent="0.2">
      <c r="A63" s="253"/>
      <c r="B63" s="2207"/>
      <c r="C63" s="2208"/>
      <c r="D63" s="2208"/>
      <c r="E63" s="2208"/>
      <c r="F63" s="2208"/>
      <c r="G63" s="2208"/>
      <c r="H63" s="2208"/>
      <c r="I63" s="2208"/>
      <c r="J63" s="2209"/>
    </row>
    <row r="64" spans="1:10" s="181" customFormat="1" x14ac:dyDescent="0.2">
      <c r="A64" s="253"/>
      <c r="B64" s="2207"/>
      <c r="C64" s="2208"/>
      <c r="D64" s="2208"/>
      <c r="E64" s="2208"/>
      <c r="F64" s="2208"/>
      <c r="G64" s="2208"/>
      <c r="H64" s="2208"/>
      <c r="I64" s="2208"/>
      <c r="J64" s="2209"/>
    </row>
    <row r="65" spans="1:10" s="181" customFormat="1" x14ac:dyDescent="0.2">
      <c r="A65" s="253"/>
      <c r="B65" s="2207"/>
      <c r="C65" s="2208"/>
      <c r="D65" s="2208"/>
      <c r="E65" s="2208"/>
      <c r="F65" s="2208"/>
      <c r="G65" s="2208"/>
      <c r="H65" s="2208"/>
      <c r="I65" s="2208"/>
      <c r="J65" s="2209"/>
    </row>
    <row r="66" spans="1:10" s="181" customFormat="1" x14ac:dyDescent="0.2">
      <c r="A66" s="253"/>
      <c r="B66" s="2207"/>
      <c r="C66" s="2208"/>
      <c r="D66" s="2208"/>
      <c r="E66" s="2208"/>
      <c r="F66" s="2208"/>
      <c r="G66" s="2208"/>
      <c r="H66" s="2208"/>
      <c r="I66" s="2208"/>
      <c r="J66" s="2209"/>
    </row>
    <row r="67" spans="1:10" s="181" customFormat="1" ht="9" customHeight="1" x14ac:dyDescent="0.2">
      <c r="A67" s="254"/>
      <c r="B67" s="2210"/>
      <c r="C67" s="2211"/>
      <c r="D67" s="2211"/>
      <c r="E67" s="2211"/>
      <c r="F67" s="2211"/>
      <c r="G67" s="2211"/>
      <c r="H67" s="2211"/>
      <c r="I67" s="2211"/>
      <c r="J67" s="221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97" t="s">
        <v>1323</v>
      </c>
      <c r="B70" s="2200"/>
      <c r="C70" s="2200"/>
      <c r="D70" s="2200"/>
      <c r="E70" s="2201"/>
      <c r="F70" s="2201"/>
      <c r="G70" s="2201"/>
      <c r="H70" s="2201"/>
      <c r="I70" s="220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6"/>
      <c r="J77" s="261">
        <v>43342</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02" t="s">
        <v>1320</v>
      </c>
      <c r="B83" s="2202"/>
      <c r="C83" s="2202"/>
      <c r="D83" s="220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84"/>
      <c r="C102" s="2185"/>
      <c r="D102" s="2185"/>
      <c r="E102" s="2185"/>
      <c r="F102" s="2185"/>
      <c r="G102" s="2185"/>
      <c r="H102" s="2185"/>
      <c r="I102" s="2186"/>
    </row>
    <row r="103" spans="1:9" s="181" customFormat="1" ht="11.25" customHeight="1" x14ac:dyDescent="0.2">
      <c r="A103" s="316"/>
      <c r="B103" s="2187"/>
      <c r="C103" s="2188"/>
      <c r="D103" s="2188"/>
      <c r="E103" s="2188"/>
      <c r="F103" s="2188"/>
      <c r="G103" s="2188"/>
      <c r="H103" s="2188"/>
      <c r="I103" s="2189"/>
    </row>
    <row r="104" spans="1:9" s="181" customFormat="1" ht="11.25" customHeight="1" x14ac:dyDescent="0.2">
      <c r="A104" s="316"/>
      <c r="B104" s="2187"/>
      <c r="C104" s="2188"/>
      <c r="D104" s="2188"/>
      <c r="E104" s="2188"/>
      <c r="F104" s="2188"/>
      <c r="G104" s="2188"/>
      <c r="H104" s="2188"/>
      <c r="I104" s="2189"/>
    </row>
    <row r="105" spans="1:9" s="181" customFormat="1" x14ac:dyDescent="0.2">
      <c r="A105" s="316"/>
      <c r="B105" s="2187"/>
      <c r="C105" s="2188"/>
      <c r="D105" s="2188"/>
      <c r="E105" s="2188"/>
      <c r="F105" s="2188"/>
      <c r="G105" s="2188"/>
      <c r="H105" s="2188"/>
      <c r="I105" s="2189"/>
    </row>
    <row r="106" spans="1:9" s="181" customFormat="1" ht="11.25" customHeight="1" x14ac:dyDescent="0.2">
      <c r="A106" s="316"/>
      <c r="B106" s="2187"/>
      <c r="C106" s="2188"/>
      <c r="D106" s="2188"/>
      <c r="E106" s="2188"/>
      <c r="F106" s="2188"/>
      <c r="G106" s="2188"/>
      <c r="H106" s="2188"/>
      <c r="I106" s="2189"/>
    </row>
    <row r="107" spans="1:9" s="181" customFormat="1" ht="11.25" customHeight="1" x14ac:dyDescent="0.2">
      <c r="A107" s="316"/>
      <c r="B107" s="2187"/>
      <c r="C107" s="2188"/>
      <c r="D107" s="2188"/>
      <c r="E107" s="2188"/>
      <c r="F107" s="2188"/>
      <c r="G107" s="2188"/>
      <c r="H107" s="2188"/>
      <c r="I107" s="2189"/>
    </row>
    <row r="108" spans="1:9" s="181" customFormat="1" ht="11.25" customHeight="1" x14ac:dyDescent="0.2">
      <c r="A108" s="316"/>
      <c r="B108" s="2187"/>
      <c r="C108" s="2188"/>
      <c r="D108" s="2188"/>
      <c r="E108" s="2188"/>
      <c r="F108" s="2188"/>
      <c r="G108" s="2188"/>
      <c r="H108" s="2188"/>
      <c r="I108" s="2189"/>
    </row>
    <row r="109" spans="1:9" s="181" customFormat="1" ht="11.25" customHeight="1" x14ac:dyDescent="0.2">
      <c r="A109" s="316"/>
      <c r="B109" s="2187"/>
      <c r="C109" s="2188"/>
      <c r="D109" s="2188"/>
      <c r="E109" s="2188"/>
      <c r="F109" s="2188"/>
      <c r="G109" s="2188"/>
      <c r="H109" s="2188"/>
      <c r="I109" s="2189"/>
    </row>
    <row r="110" spans="1:9" s="181" customFormat="1" ht="11.25" customHeight="1" x14ac:dyDescent="0.2">
      <c r="A110" s="316"/>
      <c r="B110" s="2187"/>
      <c r="C110" s="2188"/>
      <c r="D110" s="2188"/>
      <c r="E110" s="2188"/>
      <c r="F110" s="2188"/>
      <c r="G110" s="2188"/>
      <c r="H110" s="2188"/>
      <c r="I110" s="2189"/>
    </row>
    <row r="111" spans="1:9" s="181" customFormat="1" ht="11.25" customHeight="1" x14ac:dyDescent="0.2">
      <c r="A111" s="316"/>
      <c r="B111" s="2187"/>
      <c r="C111" s="2188"/>
      <c r="D111" s="2188"/>
      <c r="E111" s="2188"/>
      <c r="F111" s="2188"/>
      <c r="G111" s="2188"/>
      <c r="H111" s="2188"/>
      <c r="I111" s="2189"/>
    </row>
    <row r="112" spans="1:9" s="181" customFormat="1" ht="11.25" customHeight="1" x14ac:dyDescent="0.2">
      <c r="A112" s="316"/>
      <c r="B112" s="2190"/>
      <c r="C112" s="2191"/>
      <c r="D112" s="2191"/>
      <c r="E112" s="2191"/>
      <c r="F112" s="2191"/>
      <c r="G112" s="2191"/>
      <c r="H112" s="2191"/>
      <c r="I112" s="219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93" t="s">
        <v>2090</v>
      </c>
      <c r="D114" s="219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94" t="s">
        <v>1330</v>
      </c>
      <c r="D117" s="2195"/>
      <c r="E117" s="2196"/>
      <c r="F117" s="2196"/>
      <c r="G117" s="2196"/>
      <c r="H117" s="2196"/>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361</v>
      </c>
      <c r="E119" s="310"/>
      <c r="F119" s="1837" t="s">
        <v>1902</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5" sqref="B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14"/>
      <c r="B1" s="2215"/>
      <c r="C1" s="2215"/>
      <c r="D1" s="384"/>
      <c r="E1" s="384"/>
      <c r="F1" s="384"/>
      <c r="G1" s="384"/>
      <c r="H1" s="384"/>
      <c r="I1" s="384"/>
      <c r="J1" s="384"/>
      <c r="K1" s="384"/>
      <c r="L1" s="384"/>
      <c r="M1" s="384"/>
      <c r="N1" s="384"/>
      <c r="O1" s="2214"/>
      <c r="P1" s="2215"/>
      <c r="Q1" s="2215"/>
    </row>
    <row r="2" spans="1:18" ht="15" x14ac:dyDescent="0.2">
      <c r="A2" s="2218" t="s">
        <v>556</v>
      </c>
      <c r="B2" s="2218"/>
      <c r="C2" s="2218"/>
      <c r="D2" s="2218"/>
      <c r="E2" s="2218"/>
      <c r="F2" s="2218"/>
      <c r="G2" s="2218"/>
      <c r="H2" s="2218"/>
      <c r="I2" s="2218"/>
      <c r="J2" s="2218"/>
      <c r="K2" s="2218"/>
      <c r="L2" s="2218"/>
      <c r="M2" s="2218"/>
      <c r="N2" s="2218"/>
      <c r="O2" s="2218"/>
      <c r="P2" s="2218"/>
      <c r="Q2" s="2218"/>
      <c r="R2" s="2218"/>
    </row>
    <row r="3" spans="1:18" ht="12.75" x14ac:dyDescent="0.2">
      <c r="A3" s="2219" t="s">
        <v>1413</v>
      </c>
      <c r="B3" s="2219"/>
      <c r="C3" s="2219"/>
      <c r="D3" s="2219"/>
      <c r="E3" s="2219"/>
      <c r="F3" s="2219"/>
      <c r="G3" s="2219"/>
      <c r="H3" s="2219"/>
      <c r="I3" s="2219"/>
      <c r="J3" s="2219"/>
      <c r="K3" s="2219"/>
      <c r="L3" s="2219"/>
      <c r="M3" s="2219"/>
      <c r="N3" s="2219"/>
      <c r="O3" s="2219"/>
      <c r="P3" s="2219"/>
      <c r="Q3" s="2219"/>
      <c r="R3" s="2219"/>
    </row>
    <row r="4" spans="1:18" x14ac:dyDescent="0.2">
      <c r="A4" s="2220" t="s">
        <v>1554</v>
      </c>
      <c r="B4" s="2220"/>
      <c r="C4" s="2220"/>
      <c r="D4" s="2220"/>
      <c r="E4" s="2220"/>
      <c r="F4" s="2220"/>
      <c r="G4" s="2220"/>
      <c r="H4" s="2220"/>
      <c r="I4" s="2220"/>
      <c r="J4" s="2220"/>
      <c r="K4" s="2220"/>
      <c r="L4" s="2220"/>
      <c r="M4" s="2220"/>
      <c r="N4" s="2220"/>
      <c r="O4" s="2220"/>
      <c r="P4" s="2220"/>
      <c r="Q4" s="2220"/>
      <c r="R4" s="22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Cahokia CUSD 187</v>
      </c>
      <c r="E7" s="391"/>
      <c r="G7" s="252"/>
      <c r="H7" s="387"/>
      <c r="I7" s="387"/>
      <c r="J7" s="387"/>
      <c r="K7" s="387"/>
      <c r="L7" s="329"/>
      <c r="M7" s="329"/>
      <c r="N7" s="329"/>
      <c r="O7" s="329"/>
      <c r="P7" s="329"/>
    </row>
    <row r="8" spans="1:18" ht="12.75" x14ac:dyDescent="0.2">
      <c r="A8" s="329"/>
      <c r="B8" s="329"/>
      <c r="C8" s="389" t="s">
        <v>1125</v>
      </c>
      <c r="D8" s="392">
        <f>COVER!A13</f>
        <v>50082187026</v>
      </c>
      <c r="E8" s="393"/>
      <c r="G8" s="329"/>
      <c r="H8" s="329"/>
      <c r="I8" s="329"/>
      <c r="J8" s="329"/>
      <c r="K8" s="329"/>
      <c r="L8" s="329"/>
      <c r="M8" s="329"/>
      <c r="N8" s="329"/>
      <c r="O8" s="329"/>
      <c r="P8" s="329"/>
    </row>
    <row r="9" spans="1:18" ht="12.75" x14ac:dyDescent="0.2">
      <c r="A9" s="329"/>
      <c r="B9" s="329"/>
      <c r="C9" s="389" t="s">
        <v>713</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14171424</v>
      </c>
      <c r="I12" s="404"/>
      <c r="J12" s="404"/>
      <c r="K12" s="405">
        <f>TRUNC((H12/H13*100000),5)/100000</f>
        <v>0.29581919220000003</v>
      </c>
      <c r="L12" s="406"/>
      <c r="M12" s="360" t="s">
        <v>1144</v>
      </c>
      <c r="N12" s="360"/>
      <c r="O12" s="407">
        <v>0.35</v>
      </c>
      <c r="P12" s="218"/>
      <c r="Q12" s="218"/>
    </row>
    <row r="13" spans="1:18" s="408" customFormat="1" ht="12.75" x14ac:dyDescent="0.2">
      <c r="A13" s="218"/>
      <c r="B13" s="401"/>
      <c r="C13" s="2216" t="s">
        <v>1324</v>
      </c>
      <c r="D13" s="2217"/>
      <c r="E13" s="218"/>
      <c r="F13" s="409" t="s">
        <v>793</v>
      </c>
      <c r="G13" s="402"/>
      <c r="H13" s="403">
        <f>SUM('Acct Summary 7-8'!C8+'Acct Summary 7-8'!D8+'Acct Summary 7-8'!F8+'Acct Summary 7-8'!I8)+H14</f>
        <v>47905695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45622913</v>
      </c>
      <c r="I17" s="404"/>
      <c r="J17" s="416"/>
      <c r="K17" s="405">
        <f>TRUNC((H17/H18*100000),5)/100000</f>
        <v>0.95234842119999996</v>
      </c>
      <c r="L17" s="406"/>
      <c r="M17" s="417" t="s">
        <v>1171</v>
      </c>
      <c r="O17" s="418" t="str">
        <f>IF(AND(O16="2", J20 &gt; 2),"1",IF(AND(O16 = "1", J20 &gt; 2),"2",IF(AND(O16="1", J20 &gt;1),"1","0")))</f>
        <v>0</v>
      </c>
      <c r="P17" s="218"/>
    </row>
    <row r="18" spans="1:18" s="408" customFormat="1" ht="11.25" x14ac:dyDescent="0.2">
      <c r="A18" s="218"/>
      <c r="B18" s="401"/>
      <c r="C18" s="2216" t="s">
        <v>1317</v>
      </c>
      <c r="D18" s="2217"/>
      <c r="E18" s="218"/>
      <c r="F18" s="419" t="s">
        <v>794</v>
      </c>
      <c r="G18" s="402"/>
      <c r="H18" s="403">
        <f>SUM('Acct Summary 7-8'!C8+'Acct Summary 7-8'!D8+'Acct Summary 7-8'!F8+'Acct Summary 7-8'!I8)+H19</f>
        <v>47905695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213" t="s">
        <v>1412</v>
      </c>
      <c r="D24" s="2213"/>
      <c r="E24" s="218"/>
      <c r="F24" s="218" t="s">
        <v>445</v>
      </c>
      <c r="G24" s="402"/>
      <c r="H24" s="403">
        <f>SUM('Assets-Liab 5-6'!C4+'Assets-Liab 5-6'!D4+'Assets-Liab 5-6'!F4+'Assets-Liab 5-6'!I4+'Assets-Liab 5-6'!C5+'Assets-Liab 5-6'!D5+'Assets-Liab 5-6'!F5+'Assets-Liab 5-6'!I5)</f>
        <v>13737845</v>
      </c>
      <c r="I24" s="422"/>
      <c r="J24" s="422"/>
      <c r="K24" s="423">
        <f>TRUNC(((H24/H25*100000)/100000),2)</f>
        <v>108.4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126730.31389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1968780.1863599999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7320531</v>
      </c>
      <c r="I32" s="420"/>
      <c r="J32" s="420"/>
      <c r="K32" s="423">
        <f>TRUNC(100-((((H32/H33*100))*100)/100),2)</f>
        <v>27.74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10131133.242000001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D1" colorId="8" zoomScale="110" zoomScaleNormal="110" workbookViewId="0">
      <pane ySplit="2" topLeftCell="A21" activePane="bottomLeft" state="frozen"/>
      <selection activeCell="B5" sqref="B5"/>
      <selection pane="bottomLeft" activeCell="B5" sqref="B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22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22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223" t="s">
        <v>973</v>
      </c>
      <c r="B3" s="2224"/>
      <c r="C3" s="1557"/>
      <c r="D3" s="1558"/>
      <c r="E3" s="1558"/>
      <c r="F3" s="1558"/>
      <c r="G3" s="1558"/>
      <c r="H3" s="1558"/>
      <c r="I3" s="1558"/>
      <c r="J3" s="1558"/>
      <c r="K3" s="1558"/>
      <c r="L3" s="1558"/>
      <c r="M3" s="1559"/>
      <c r="N3" s="1560"/>
    </row>
    <row r="4" spans="1:14" ht="13.5" customHeight="1" x14ac:dyDescent="0.2">
      <c r="A4" s="463" t="s">
        <v>1651</v>
      </c>
      <c r="B4" s="464"/>
      <c r="C4" s="465">
        <f>-7319307+13412391+11194</f>
        <v>6104278</v>
      </c>
      <c r="D4" s="466">
        <f>559526+168100</f>
        <v>727626</v>
      </c>
      <c r="E4" s="466">
        <v>52184</v>
      </c>
      <c r="F4" s="466">
        <f>1539191+1138796</f>
        <v>2677987</v>
      </c>
      <c r="G4" s="466">
        <f>753482+537464</f>
        <v>1290946</v>
      </c>
      <c r="H4" s="466">
        <f>804946+177805</f>
        <v>982751</v>
      </c>
      <c r="I4" s="466">
        <f>4121695+89873</f>
        <v>4211568</v>
      </c>
      <c r="J4" s="467">
        <f>-1050146+2125350</f>
        <v>1075204</v>
      </c>
      <c r="K4" s="466">
        <v>954235</v>
      </c>
      <c r="L4" s="466">
        <v>176712</v>
      </c>
      <c r="M4" s="468"/>
      <c r="N4" s="469"/>
    </row>
    <row r="5" spans="1:14" x14ac:dyDescent="0.2">
      <c r="A5" s="463" t="s">
        <v>992</v>
      </c>
      <c r="B5" s="470">
        <v>120</v>
      </c>
      <c r="C5" s="465">
        <v>13140</v>
      </c>
      <c r="D5" s="466"/>
      <c r="E5" s="466"/>
      <c r="F5" s="466"/>
      <c r="G5" s="466"/>
      <c r="H5" s="466"/>
      <c r="I5" s="466">
        <v>3246</v>
      </c>
      <c r="J5" s="467"/>
      <c r="K5" s="471"/>
      <c r="L5" s="472">
        <v>76309</v>
      </c>
      <c r="M5" s="468"/>
      <c r="N5" s="469"/>
    </row>
    <row r="6" spans="1:14" ht="13.5" customHeight="1" x14ac:dyDescent="0.2">
      <c r="A6" s="473" t="s">
        <v>417</v>
      </c>
      <c r="B6" s="470">
        <v>130</v>
      </c>
      <c r="C6" s="465">
        <v>1486684</v>
      </c>
      <c r="D6" s="466">
        <v>208803</v>
      </c>
      <c r="E6" s="466">
        <v>1844878</v>
      </c>
      <c r="F6" s="466">
        <v>111363</v>
      </c>
      <c r="G6" s="471">
        <v>1045800</v>
      </c>
      <c r="H6" s="471"/>
      <c r="I6" s="466">
        <v>27840</v>
      </c>
      <c r="J6" s="474">
        <v>2302910</v>
      </c>
      <c r="K6" s="471">
        <v>27840</v>
      </c>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f>503019+1912838</f>
        <v>2415857</v>
      </c>
      <c r="D8" s="467"/>
      <c r="E8" s="467"/>
      <c r="F8" s="467"/>
      <c r="G8" s="478"/>
      <c r="H8" s="467"/>
      <c r="I8" s="474"/>
      <c r="J8" s="474"/>
      <c r="K8" s="479"/>
      <c r="L8" s="480"/>
      <c r="M8" s="468"/>
      <c r="N8" s="469"/>
    </row>
    <row r="9" spans="1:14" ht="13.5" customHeight="1" x14ac:dyDescent="0.2">
      <c r="A9" s="473" t="s">
        <v>270</v>
      </c>
      <c r="B9" s="470">
        <v>160</v>
      </c>
      <c r="C9" s="476"/>
      <c r="D9" s="467"/>
      <c r="E9" s="467"/>
      <c r="F9" s="467">
        <v>496021</v>
      </c>
      <c r="G9" s="467"/>
      <c r="H9" s="478"/>
      <c r="I9" s="467"/>
      <c r="J9" s="467"/>
      <c r="K9" s="467"/>
      <c r="L9" s="467"/>
      <c r="M9" s="468"/>
      <c r="N9" s="469"/>
    </row>
    <row r="10" spans="1:14" ht="13.5" customHeight="1" x14ac:dyDescent="0.2">
      <c r="A10" s="473" t="s">
        <v>991</v>
      </c>
      <c r="B10" s="470">
        <v>170</v>
      </c>
      <c r="C10" s="465">
        <v>50231</v>
      </c>
      <c r="D10" s="466">
        <v>75164</v>
      </c>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v>18875</v>
      </c>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10070190</v>
      </c>
      <c r="D13" s="1735">
        <f t="shared" ref="D13:L13" si="0">SUM(D4:D12)</f>
        <v>1011593</v>
      </c>
      <c r="E13" s="1735">
        <f t="shared" si="0"/>
        <v>1897062</v>
      </c>
      <c r="F13" s="1735">
        <f t="shared" si="0"/>
        <v>3285371</v>
      </c>
      <c r="G13" s="1735">
        <f t="shared" si="0"/>
        <v>2336746</v>
      </c>
      <c r="H13" s="1735">
        <f t="shared" si="0"/>
        <v>982751</v>
      </c>
      <c r="I13" s="1735">
        <f t="shared" si="0"/>
        <v>4242654</v>
      </c>
      <c r="J13" s="1735">
        <f t="shared" si="0"/>
        <v>3396989</v>
      </c>
      <c r="K13" s="1735">
        <f t="shared" si="0"/>
        <v>982075</v>
      </c>
      <c r="L13" s="1735">
        <f t="shared" si="0"/>
        <v>253021</v>
      </c>
      <c r="M13" s="468"/>
      <c r="N13" s="469"/>
    </row>
    <row r="14" spans="1:14" ht="18" customHeight="1" thickTop="1" x14ac:dyDescent="0.2">
      <c r="A14" s="2225" t="s">
        <v>147</v>
      </c>
      <c r="B14" s="2226"/>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530288</v>
      </c>
      <c r="N16" s="484"/>
    </row>
    <row r="17" spans="1:14" s="485" customFormat="1" ht="12.75" customHeight="1" x14ac:dyDescent="0.2">
      <c r="A17" s="482" t="s">
        <v>1403</v>
      </c>
      <c r="B17" s="483">
        <v>230</v>
      </c>
      <c r="C17" s="477"/>
      <c r="D17" s="477"/>
      <c r="E17" s="477"/>
      <c r="F17" s="477"/>
      <c r="G17" s="477"/>
      <c r="H17" s="477"/>
      <c r="I17" s="477"/>
      <c r="J17" s="477"/>
      <c r="K17" s="477"/>
      <c r="L17" s="477"/>
      <c r="M17" s="467">
        <v>21006500</v>
      </c>
      <c r="N17" s="484"/>
    </row>
    <row r="18" spans="1:14" s="485" customFormat="1" ht="12.75" customHeight="1" x14ac:dyDescent="0.2">
      <c r="A18" s="482" t="s">
        <v>1404</v>
      </c>
      <c r="B18" s="483">
        <v>240</v>
      </c>
      <c r="C18" s="477"/>
      <c r="D18" s="477"/>
      <c r="E18" s="477"/>
      <c r="F18" s="477"/>
      <c r="G18" s="477"/>
      <c r="H18" s="477"/>
      <c r="I18" s="477"/>
      <c r="J18" s="477"/>
      <c r="K18" s="477"/>
      <c r="L18" s="477"/>
      <c r="M18" s="467">
        <v>5119747</v>
      </c>
      <c r="N18" s="484"/>
    </row>
    <row r="19" spans="1:14" s="485" customFormat="1" ht="12.75" customHeight="1" x14ac:dyDescent="0.2">
      <c r="A19" s="482" t="s">
        <v>1405</v>
      </c>
      <c r="B19" s="483">
        <v>250</v>
      </c>
      <c r="C19" s="477"/>
      <c r="D19" s="477"/>
      <c r="E19" s="477"/>
      <c r="F19" s="477"/>
      <c r="G19" s="477"/>
      <c r="H19" s="477"/>
      <c r="I19" s="477"/>
      <c r="J19" s="477"/>
      <c r="K19" s="477"/>
      <c r="L19" s="477"/>
      <c r="M19" s="467">
        <f>627146+59947</f>
        <v>687093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7320531</v>
      </c>
    </row>
    <row r="23" spans="1:14" ht="13.5" customHeight="1" thickBot="1" x14ac:dyDescent="0.25">
      <c r="A23" s="1734" t="s">
        <v>643</v>
      </c>
      <c r="B23" s="1739"/>
      <c r="C23" s="468"/>
      <c r="D23" s="468"/>
      <c r="E23" s="468"/>
      <c r="F23" s="468"/>
      <c r="G23" s="468"/>
      <c r="H23" s="468"/>
      <c r="I23" s="468"/>
      <c r="J23" s="468"/>
      <c r="K23" s="468"/>
      <c r="L23" s="468"/>
      <c r="M23" s="1686">
        <f>SUM(M15:M22)</f>
        <v>27343628</v>
      </c>
      <c r="N23" s="1686">
        <f>SUM(N21:N22)</f>
        <v>7320531</v>
      </c>
    </row>
    <row r="24" spans="1:14" ht="18" customHeight="1" thickTop="1" x14ac:dyDescent="0.2">
      <c r="A24" s="2227" t="s">
        <v>598</v>
      </c>
      <c r="B24" s="2228"/>
      <c r="C24" s="1566"/>
      <c r="D24" s="1563"/>
      <c r="E24" s="1563"/>
      <c r="F24" s="1563"/>
      <c r="G24" s="1563"/>
      <c r="H24" s="1563"/>
      <c r="I24" s="1563"/>
      <c r="J24" s="1563"/>
      <c r="K24" s="1563"/>
      <c r="L24" s="1563"/>
      <c r="M24" s="1562"/>
      <c r="N24" s="156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276130</v>
      </c>
      <c r="D27" s="467">
        <v>61847</v>
      </c>
      <c r="E27" s="467"/>
      <c r="F27" s="467">
        <v>2331</v>
      </c>
      <c r="G27" s="467"/>
      <c r="H27" s="467">
        <v>31532</v>
      </c>
      <c r="I27" s="467"/>
      <c r="J27" s="467">
        <f>25487+8686</f>
        <v>34173</v>
      </c>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1053155</v>
      </c>
      <c r="D30" s="474"/>
      <c r="E30" s="467"/>
      <c r="F30" s="467"/>
      <c r="G30" s="467"/>
      <c r="H30" s="467"/>
      <c r="I30" s="467"/>
      <c r="J30" s="467"/>
      <c r="K30" s="478"/>
      <c r="L30" s="468"/>
      <c r="M30" s="468"/>
      <c r="N30" s="468"/>
    </row>
    <row r="31" spans="1:14" ht="13.5" customHeight="1" x14ac:dyDescent="0.2">
      <c r="A31" s="473" t="s">
        <v>651</v>
      </c>
      <c r="B31" s="470">
        <v>480</v>
      </c>
      <c r="C31" s="466">
        <f>26824+7274+112411-5206+119303+60845+5125+1000+2040+825+2150+1300+6025+4910+300+511+398+3621+264+1506+304970+18131+1906+459+620+2234+1392+600+220+4975+15549+304+30+866+998-590</f>
        <v>704090</v>
      </c>
      <c r="D31" s="467">
        <f>216+176</f>
        <v>392</v>
      </c>
      <c r="E31" s="467"/>
      <c r="F31" s="466"/>
      <c r="G31" s="467">
        <f>8415+13861+19169</f>
        <v>41445</v>
      </c>
      <c r="H31" s="467"/>
      <c r="I31" s="467"/>
      <c r="J31" s="467">
        <f>2086+1366+100+75+375+231+94+190+21+374+64+200+16</f>
        <v>5192</v>
      </c>
      <c r="K31" s="467"/>
      <c r="L31" s="468"/>
      <c r="M31" s="468"/>
      <c r="N31" s="468"/>
    </row>
    <row r="32" spans="1:14" ht="13.5" customHeight="1" x14ac:dyDescent="0.2">
      <c r="A32" s="490" t="s">
        <v>652</v>
      </c>
      <c r="B32" s="491">
        <v>490</v>
      </c>
      <c r="C32" s="492">
        <f>77230+1833921</f>
        <v>1911151</v>
      </c>
      <c r="D32" s="492">
        <v>257573</v>
      </c>
      <c r="E32" s="474">
        <v>2275780</v>
      </c>
      <c r="F32" s="474">
        <v>137372</v>
      </c>
      <c r="G32" s="474">
        <v>1290064</v>
      </c>
      <c r="H32" s="474"/>
      <c r="I32" s="474">
        <v>34343</v>
      </c>
      <c r="J32" s="474">
        <v>2840792</v>
      </c>
      <c r="K32" s="479">
        <v>34343</v>
      </c>
      <c r="L32" s="468"/>
      <c r="M32" s="468"/>
      <c r="N32" s="468"/>
    </row>
    <row r="33" spans="1:14" ht="13.5" customHeight="1" x14ac:dyDescent="0.2">
      <c r="A33" s="493" t="s">
        <v>303</v>
      </c>
      <c r="B33" s="491">
        <v>493</v>
      </c>
      <c r="C33" s="467"/>
      <c r="D33" s="467"/>
      <c r="E33" s="467"/>
      <c r="F33" s="467"/>
      <c r="G33" s="467"/>
      <c r="H33" s="467"/>
      <c r="I33" s="467"/>
      <c r="J33" s="467"/>
      <c r="K33" s="467"/>
      <c r="L33" s="467">
        <v>253021</v>
      </c>
      <c r="M33" s="468"/>
      <c r="N33" s="469"/>
    </row>
    <row r="34" spans="1:14" ht="13.5" customHeight="1" thickBot="1" x14ac:dyDescent="0.25">
      <c r="A34" s="1736" t="s">
        <v>654</v>
      </c>
      <c r="B34" s="1737"/>
      <c r="C34" s="1738">
        <f>SUM(C25:C33)</f>
        <v>3944526</v>
      </c>
      <c r="D34" s="1738">
        <f t="shared" ref="D34:K34" si="1">SUM(D25:D33)</f>
        <v>319812</v>
      </c>
      <c r="E34" s="1738">
        <f t="shared" si="1"/>
        <v>2275780</v>
      </c>
      <c r="F34" s="1738">
        <f t="shared" si="1"/>
        <v>139703</v>
      </c>
      <c r="G34" s="1738">
        <f t="shared" si="1"/>
        <v>1331509</v>
      </c>
      <c r="H34" s="1738">
        <f t="shared" si="1"/>
        <v>31532</v>
      </c>
      <c r="I34" s="1738">
        <f t="shared" si="1"/>
        <v>34343</v>
      </c>
      <c r="J34" s="1738">
        <f t="shared" si="1"/>
        <v>2880157</v>
      </c>
      <c r="K34" s="1738">
        <f t="shared" si="1"/>
        <v>34343</v>
      </c>
      <c r="L34" s="1719">
        <f>SUM(L33)</f>
        <v>253021</v>
      </c>
      <c r="M34" s="468"/>
      <c r="N34" s="480"/>
    </row>
    <row r="35" spans="1:14" ht="18" customHeight="1" thickTop="1" x14ac:dyDescent="0.2">
      <c r="A35" s="2229" t="s">
        <v>529</v>
      </c>
      <c r="B35" s="2230"/>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7320531</v>
      </c>
    </row>
    <row r="37" spans="1:14" ht="13.5" thickBot="1" x14ac:dyDescent="0.25">
      <c r="A37" s="1734" t="s">
        <v>653</v>
      </c>
      <c r="B37" s="1739"/>
      <c r="C37" s="477"/>
      <c r="D37" s="477"/>
      <c r="E37" s="477"/>
      <c r="F37" s="477"/>
      <c r="G37" s="477"/>
      <c r="H37" s="477"/>
      <c r="I37" s="477"/>
      <c r="J37" s="477"/>
      <c r="K37" s="477"/>
      <c r="L37" s="480"/>
      <c r="M37" s="468"/>
      <c r="N37" s="1686">
        <f>SUM(N36:N36)</f>
        <v>7320531</v>
      </c>
    </row>
    <row r="38" spans="1:14" s="329" customFormat="1" ht="13.5" customHeight="1" thickTop="1" x14ac:dyDescent="0.2">
      <c r="A38" s="496" t="s">
        <v>420</v>
      </c>
      <c r="B38" s="483">
        <v>714</v>
      </c>
      <c r="C38" s="466">
        <v>6125664</v>
      </c>
      <c r="D38" s="466">
        <v>691781</v>
      </c>
      <c r="E38" s="466">
        <v>-378718</v>
      </c>
      <c r="F38" s="466">
        <v>3145668</v>
      </c>
      <c r="G38" s="466">
        <v>1005237</v>
      </c>
      <c r="H38" s="466">
        <v>951219</v>
      </c>
      <c r="I38" s="466">
        <v>4208311</v>
      </c>
      <c r="J38" s="467">
        <v>516832</v>
      </c>
      <c r="K38" s="466">
        <v>947732</v>
      </c>
      <c r="L38" s="481"/>
      <c r="M38" s="497"/>
      <c r="N38" s="497"/>
    </row>
    <row r="39" spans="1:14" s="329" customFormat="1" ht="13.5" customHeight="1" x14ac:dyDescent="0.2">
      <c r="A39" s="496" t="s">
        <v>342</v>
      </c>
      <c r="B39" s="483">
        <v>730</v>
      </c>
      <c r="C39" s="466"/>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27343628</v>
      </c>
      <c r="N40" s="497"/>
    </row>
    <row r="41" spans="1:14" ht="13.5" customHeight="1" thickBot="1" x14ac:dyDescent="0.25">
      <c r="A41" s="1734" t="s">
        <v>655</v>
      </c>
      <c r="B41" s="1704"/>
      <c r="C41" s="1686">
        <f>(SUM(C34,C37,C38,C39))</f>
        <v>10070190</v>
      </c>
      <c r="D41" s="1686">
        <f t="shared" ref="D41:L41" si="2">SUM(D34,D37,D38:D39)</f>
        <v>1011593</v>
      </c>
      <c r="E41" s="1686">
        <f t="shared" si="2"/>
        <v>1897062</v>
      </c>
      <c r="F41" s="1686">
        <f t="shared" si="2"/>
        <v>3285371</v>
      </c>
      <c r="G41" s="1686">
        <f t="shared" si="2"/>
        <v>2336746</v>
      </c>
      <c r="H41" s="1686">
        <f t="shared" si="2"/>
        <v>982751</v>
      </c>
      <c r="I41" s="1686">
        <f t="shared" si="2"/>
        <v>4242654</v>
      </c>
      <c r="J41" s="1686">
        <f t="shared" si="2"/>
        <v>3396989</v>
      </c>
      <c r="K41" s="1686">
        <f t="shared" si="2"/>
        <v>982075</v>
      </c>
      <c r="L41" s="1686">
        <f t="shared" si="2"/>
        <v>253021</v>
      </c>
      <c r="M41" s="1686">
        <f>SUM(M40)</f>
        <v>27343628</v>
      </c>
      <c r="N41" s="1686">
        <f>SUM(N37)</f>
        <v>7320531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activeCell="B5" sqref="B5"/>
      <selection pane="bottomLeft" activeCell="B5" sqref="B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23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24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251" t="s">
        <v>1175</v>
      </c>
      <c r="B3" s="2252"/>
      <c r="C3" s="1571"/>
      <c r="D3" s="1572"/>
      <c r="E3" s="1572"/>
      <c r="F3" s="1572"/>
      <c r="G3" s="1572"/>
      <c r="H3" s="1572"/>
      <c r="I3" s="1572"/>
      <c r="J3" s="1572"/>
      <c r="K3" s="1573"/>
      <c r="L3" s="506"/>
    </row>
    <row r="4" spans="1:13" ht="15.75" customHeight="1" x14ac:dyDescent="0.2">
      <c r="A4" s="1926" t="s">
        <v>1499</v>
      </c>
      <c r="B4" s="1927">
        <v>1000</v>
      </c>
      <c r="C4" s="1740">
        <f>'Revenues 9-14'!C109</f>
        <v>3495594</v>
      </c>
      <c r="D4" s="1740">
        <f>'Revenues 9-14'!D109</f>
        <v>274613</v>
      </c>
      <c r="E4" s="1740">
        <f>'Revenues 9-14'!E109</f>
        <v>2320055</v>
      </c>
      <c r="F4" s="1740">
        <f>'Revenues 9-14'!F109</f>
        <v>474947</v>
      </c>
      <c r="G4" s="1740">
        <f>'Revenues 9-14'!G109</f>
        <v>1656490</v>
      </c>
      <c r="H4" s="1740">
        <f>'Revenues 9-14'!H109</f>
        <v>609940</v>
      </c>
      <c r="I4" s="1740">
        <f>'Revenues 9-14'!I109</f>
        <v>85900</v>
      </c>
      <c r="J4" s="1740">
        <f>'Revenues 9-14'!J109</f>
        <v>2839344</v>
      </c>
      <c r="K4" s="1740">
        <f>'Revenues 9-14'!K109</f>
        <v>45631</v>
      </c>
      <c r="L4" s="347"/>
    </row>
    <row r="5" spans="1:13" ht="15.75" customHeight="1" x14ac:dyDescent="0.2">
      <c r="A5" s="1574" t="s">
        <v>1500</v>
      </c>
      <c r="B5" s="1575">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4" t="s">
        <v>1501</v>
      </c>
      <c r="B6" s="1576">
        <v>3000</v>
      </c>
      <c r="C6" s="1741">
        <f>'Revenues 9-14'!C170</f>
        <v>27674420</v>
      </c>
      <c r="D6" s="1741">
        <f>'Revenues 9-14'!D170</f>
        <v>2500000</v>
      </c>
      <c r="E6" s="1741">
        <f>'Revenues 9-14'!E170</f>
        <v>0</v>
      </c>
      <c r="F6" s="1741">
        <f>'Revenues 9-14'!F170</f>
        <v>3866641</v>
      </c>
      <c r="G6" s="1741">
        <f>'Revenues 9-14'!G170</f>
        <v>3405</v>
      </c>
      <c r="H6" s="1741">
        <f>'Revenues 9-14'!H170</f>
        <v>0</v>
      </c>
      <c r="I6" s="1741">
        <f>'Revenues 9-14'!I170</f>
        <v>0</v>
      </c>
      <c r="J6" s="1741">
        <f>'Revenues 9-14'!J170</f>
        <v>0</v>
      </c>
      <c r="K6" s="1741">
        <f>'Revenues 9-14'!K170</f>
        <v>0</v>
      </c>
      <c r="L6" s="347"/>
      <c r="M6" s="513"/>
    </row>
    <row r="7" spans="1:13" ht="15.75" customHeight="1" x14ac:dyDescent="0.2">
      <c r="A7" s="1574" t="s">
        <v>1502</v>
      </c>
      <c r="B7" s="1576">
        <v>4000</v>
      </c>
      <c r="C7" s="1741">
        <f>'Revenues 9-14'!C267</f>
        <v>9533580</v>
      </c>
      <c r="D7" s="1741">
        <f>'Revenues 9-14'!D267</f>
        <v>0</v>
      </c>
      <c r="E7" s="1741">
        <f>'Revenues 9-14'!E267</f>
        <v>0</v>
      </c>
      <c r="F7" s="1741">
        <f>'Revenues 9-14'!F267</f>
        <v>0</v>
      </c>
      <c r="G7" s="1741">
        <f>'Revenues 9-14'!G267</f>
        <v>313514</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40703594</v>
      </c>
      <c r="D8" s="1686">
        <f t="shared" ref="D8:K8" si="0">SUM(D4:D7)</f>
        <v>2774613</v>
      </c>
      <c r="E8" s="1686">
        <f t="shared" si="0"/>
        <v>2320055</v>
      </c>
      <c r="F8" s="1686">
        <f t="shared" si="0"/>
        <v>4341588</v>
      </c>
      <c r="G8" s="1686">
        <f t="shared" si="0"/>
        <v>1973409</v>
      </c>
      <c r="H8" s="1686">
        <f t="shared" si="0"/>
        <v>609940</v>
      </c>
      <c r="I8" s="1686">
        <f t="shared" si="0"/>
        <v>85900</v>
      </c>
      <c r="J8" s="1686">
        <f t="shared" si="0"/>
        <v>2839344</v>
      </c>
      <c r="K8" s="1686">
        <f t="shared" si="0"/>
        <v>45631</v>
      </c>
      <c r="L8" s="347"/>
    </row>
    <row r="9" spans="1:13" ht="15.75" thickTop="1" x14ac:dyDescent="0.2">
      <c r="A9" s="514" t="s">
        <v>1653</v>
      </c>
      <c r="B9" s="515">
        <v>3998</v>
      </c>
      <c r="C9" s="481">
        <v>13915633</v>
      </c>
      <c r="D9" s="516"/>
      <c r="E9" s="481"/>
      <c r="F9" s="481"/>
      <c r="G9" s="517"/>
      <c r="H9" s="481"/>
      <c r="I9" s="509" t="s">
        <v>1169</v>
      </c>
      <c r="J9" s="478"/>
      <c r="K9" s="481"/>
      <c r="L9" s="347"/>
    </row>
    <row r="10" spans="1:13" s="519" customFormat="1" ht="13.5" thickBot="1" x14ac:dyDescent="0.25">
      <c r="A10" s="1734" t="s">
        <v>1173</v>
      </c>
      <c r="B10" s="1707"/>
      <c r="C10" s="1686">
        <f>SUM(C8:C9)</f>
        <v>54619227</v>
      </c>
      <c r="D10" s="1686">
        <f t="shared" ref="D10:K10" si="1">SUM(D8:D9)</f>
        <v>2774613</v>
      </c>
      <c r="E10" s="1686">
        <f t="shared" si="1"/>
        <v>2320055</v>
      </c>
      <c r="F10" s="1686">
        <f t="shared" si="1"/>
        <v>4341588</v>
      </c>
      <c r="G10" s="1686">
        <f t="shared" si="1"/>
        <v>1973409</v>
      </c>
      <c r="H10" s="1686">
        <f t="shared" si="1"/>
        <v>609940</v>
      </c>
      <c r="I10" s="1686">
        <f t="shared" si="1"/>
        <v>85900</v>
      </c>
      <c r="J10" s="1686">
        <f t="shared" si="1"/>
        <v>2839344</v>
      </c>
      <c r="K10" s="1686">
        <f t="shared" si="1"/>
        <v>45631</v>
      </c>
      <c r="L10" s="518"/>
    </row>
    <row r="11" spans="1:13" s="519" customFormat="1" ht="16.7" customHeight="1" thickTop="1" x14ac:dyDescent="0.2">
      <c r="A11" s="2225" t="s">
        <v>1176</v>
      </c>
      <c r="B11" s="2226"/>
      <c r="C11" s="1568"/>
      <c r="D11" s="1569"/>
      <c r="E11" s="1569"/>
      <c r="F11" s="1569"/>
      <c r="G11" s="1569"/>
      <c r="H11" s="1569"/>
      <c r="I11" s="1569"/>
      <c r="J11" s="1569"/>
      <c r="K11" s="1570"/>
      <c r="L11" s="518"/>
    </row>
    <row r="12" spans="1:13" ht="15.75" customHeight="1" x14ac:dyDescent="0.2">
      <c r="A12" s="1574" t="s">
        <v>456</v>
      </c>
      <c r="B12" s="1576">
        <v>1000</v>
      </c>
      <c r="C12" s="1740">
        <f>'Expenditures 15-22'!K33</f>
        <v>23248039</v>
      </c>
      <c r="D12" s="520" t="s">
        <v>1169</v>
      </c>
      <c r="E12" s="468" t="s">
        <v>1169</v>
      </c>
      <c r="F12" s="468" t="s">
        <v>1169</v>
      </c>
      <c r="G12" s="1740">
        <f>'Expenditures 15-22'!K229</f>
        <v>547139</v>
      </c>
      <c r="H12" s="521"/>
      <c r="I12" s="468" t="s">
        <v>1169</v>
      </c>
      <c r="J12" s="468" t="s">
        <v>1169</v>
      </c>
      <c r="K12" s="521" t="s">
        <v>1169</v>
      </c>
      <c r="L12" s="347"/>
    </row>
    <row r="13" spans="1:13" ht="15.75" customHeight="1" x14ac:dyDescent="0.2">
      <c r="A13" s="1574" t="s">
        <v>457</v>
      </c>
      <c r="B13" s="1576">
        <v>2000</v>
      </c>
      <c r="C13" s="1741">
        <f>'Expenditures 15-22'!K74</f>
        <v>16509491</v>
      </c>
      <c r="D13" s="1741">
        <f>'Expenditures 15-22'!K129</f>
        <v>2650293</v>
      </c>
      <c r="E13" s="469" t="s">
        <v>1169</v>
      </c>
      <c r="F13" s="1741">
        <f>'Expenditures 15-22'!K184</f>
        <v>2739034</v>
      </c>
      <c r="G13" s="1741">
        <f>'Expenditures 15-22'!K279</f>
        <v>1370375</v>
      </c>
      <c r="H13" s="1741">
        <f>'Expenditures 15-22'!K303</f>
        <v>493293</v>
      </c>
      <c r="I13" s="468" t="s">
        <v>1169</v>
      </c>
      <c r="J13" s="1741">
        <f>'Expenditures 15-22'!K330</f>
        <v>2087100</v>
      </c>
      <c r="K13" s="1745">
        <f>'Expenditures 15-22'!K352</f>
        <v>41059</v>
      </c>
      <c r="L13" s="347"/>
    </row>
    <row r="14" spans="1:13" ht="15.75" customHeight="1" x14ac:dyDescent="0.2">
      <c r="A14" s="1574" t="s">
        <v>449</v>
      </c>
      <c r="B14" s="1576">
        <v>3000</v>
      </c>
      <c r="C14" s="1741">
        <f>'Expenditures 15-22'!K75</f>
        <v>400180</v>
      </c>
      <c r="D14" s="1741">
        <f>'Expenditures 15-22'!K130</f>
        <v>0</v>
      </c>
      <c r="E14" s="520" t="s">
        <v>1169</v>
      </c>
      <c r="F14" s="1741">
        <f>'Expenditures 15-22'!K185</f>
        <v>0</v>
      </c>
      <c r="G14" s="1741">
        <f>'Expenditures 15-22'!K280</f>
        <v>40830</v>
      </c>
      <c r="H14" s="512"/>
      <c r="I14" s="468" t="s">
        <v>1169</v>
      </c>
      <c r="J14" s="468" t="s">
        <v>1169</v>
      </c>
      <c r="K14" s="512" t="s">
        <v>1169</v>
      </c>
      <c r="L14" s="347"/>
    </row>
    <row r="15" spans="1:13" ht="15.75" customHeight="1" x14ac:dyDescent="0.2">
      <c r="A15" s="1574" t="s">
        <v>107</v>
      </c>
      <c r="B15" s="1576">
        <v>4000</v>
      </c>
      <c r="C15" s="1741">
        <f>'Expenditures 15-22'!K102</f>
        <v>75876</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4" t="s">
        <v>450</v>
      </c>
      <c r="B16" s="1576">
        <v>5000</v>
      </c>
      <c r="C16" s="1741">
        <f>'Expenditures 15-22'!K112</f>
        <v>0</v>
      </c>
      <c r="D16" s="1741">
        <f>'Expenditures 15-22'!K149</f>
        <v>0</v>
      </c>
      <c r="E16" s="1741">
        <f>'Expenditures 15-22'!K172</f>
        <v>2385775</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40233586</v>
      </c>
      <c r="D17" s="1686">
        <f t="shared" si="2"/>
        <v>2650293</v>
      </c>
      <c r="E17" s="1686">
        <f t="shared" si="2"/>
        <v>2385775</v>
      </c>
      <c r="F17" s="1686">
        <f t="shared" si="2"/>
        <v>2739034</v>
      </c>
      <c r="G17" s="1686">
        <f t="shared" si="2"/>
        <v>1958344</v>
      </c>
      <c r="H17" s="1686">
        <f t="shared" si="2"/>
        <v>493293</v>
      </c>
      <c r="I17" s="468"/>
      <c r="J17" s="1686">
        <f>SUM(J12:J16)</f>
        <v>2087100</v>
      </c>
      <c r="K17" s="1686">
        <f>SUM(K12:K16)</f>
        <v>41059</v>
      </c>
      <c r="L17" s="347"/>
    </row>
    <row r="18" spans="1:12" ht="15" customHeight="1" thickTop="1" x14ac:dyDescent="0.2">
      <c r="A18" s="1742" t="s">
        <v>1654</v>
      </c>
      <c r="B18" s="1743">
        <v>4180</v>
      </c>
      <c r="C18" s="1740">
        <f t="shared" ref="C18:H18" si="3">C9</f>
        <v>13915633</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54149219</v>
      </c>
      <c r="D19" s="1686">
        <f t="shared" si="4"/>
        <v>2650293</v>
      </c>
      <c r="E19" s="1686">
        <f t="shared" si="4"/>
        <v>2385775</v>
      </c>
      <c r="F19" s="1686">
        <f t="shared" si="4"/>
        <v>2739034</v>
      </c>
      <c r="G19" s="1686">
        <f t="shared" si="4"/>
        <v>1958344</v>
      </c>
      <c r="H19" s="1686">
        <f t="shared" si="4"/>
        <v>493293</v>
      </c>
      <c r="I19" s="468"/>
      <c r="J19" s="1686">
        <f>SUM(J17:J18)</f>
        <v>2087100</v>
      </c>
      <c r="K19" s="1686">
        <f>SUM(K17:K18)</f>
        <v>41059</v>
      </c>
      <c r="L19" s="347"/>
    </row>
    <row r="20" spans="1:12" ht="16.5" thickTop="1" thickBot="1" x14ac:dyDescent="0.25">
      <c r="A20" s="2241" t="s">
        <v>1655</v>
      </c>
      <c r="B20" s="2242"/>
      <c r="C20" s="1744">
        <f>C8-C17</f>
        <v>470008</v>
      </c>
      <c r="D20" s="1744">
        <f t="shared" ref="D20:K20" si="5">D8-D17</f>
        <v>124320</v>
      </c>
      <c r="E20" s="1744">
        <f t="shared" si="5"/>
        <v>-65720</v>
      </c>
      <c r="F20" s="1744">
        <f t="shared" si="5"/>
        <v>1602554</v>
      </c>
      <c r="G20" s="1744">
        <f t="shared" si="5"/>
        <v>15065</v>
      </c>
      <c r="H20" s="1744">
        <f t="shared" si="5"/>
        <v>116647</v>
      </c>
      <c r="I20" s="1744">
        <f t="shared" si="5"/>
        <v>85900</v>
      </c>
      <c r="J20" s="1744">
        <f t="shared" si="5"/>
        <v>752244</v>
      </c>
      <c r="K20" s="1744">
        <f t="shared" si="5"/>
        <v>4572</v>
      </c>
      <c r="L20" s="347"/>
    </row>
    <row r="21" spans="1:12" ht="16.7" customHeight="1" thickTop="1" x14ac:dyDescent="0.2">
      <c r="A21" s="2253" t="s">
        <v>595</v>
      </c>
      <c r="B21" s="2254"/>
      <c r="C21" s="1568"/>
      <c r="D21" s="1569"/>
      <c r="E21" s="1569"/>
      <c r="F21" s="1569"/>
      <c r="G21" s="1569"/>
      <c r="H21" s="1569"/>
      <c r="I21" s="1569"/>
      <c r="J21" s="1569"/>
      <c r="K21" s="1570"/>
      <c r="L21" s="524"/>
    </row>
    <row r="22" spans="1:12" ht="15.75" customHeight="1" collapsed="1" x14ac:dyDescent="0.2">
      <c r="A22" s="2249" t="s">
        <v>596</v>
      </c>
      <c r="B22" s="2250"/>
      <c r="C22" s="477"/>
      <c r="D22" s="477"/>
      <c r="E22" s="477"/>
      <c r="F22" s="477"/>
      <c r="G22" s="477"/>
      <c r="H22" s="477"/>
      <c r="I22" s="477"/>
      <c r="J22" s="477"/>
      <c r="K22" s="477"/>
      <c r="L22" s="347"/>
    </row>
    <row r="23" spans="1:12" s="485" customFormat="1" ht="15.75" customHeight="1" x14ac:dyDescent="0.2">
      <c r="A23" s="2245" t="s">
        <v>293</v>
      </c>
      <c r="B23" s="2246"/>
      <c r="C23" s="480"/>
      <c r="D23" s="477"/>
      <c r="E23" s="477"/>
      <c r="F23" s="477"/>
      <c r="G23" s="477"/>
      <c r="H23" s="477"/>
      <c r="I23" s="477"/>
      <c r="J23" s="477"/>
      <c r="K23" s="477"/>
      <c r="L23" s="524"/>
    </row>
    <row r="24" spans="1:12" s="485" customFormat="1" ht="13.5" customHeight="1" x14ac:dyDescent="0.2">
      <c r="A24" s="1487" t="s">
        <v>1656</v>
      </c>
      <c r="B24" s="525">
        <v>7110</v>
      </c>
      <c r="C24" s="467"/>
      <c r="D24" s="477"/>
      <c r="E24" s="477"/>
      <c r="F24" s="477"/>
      <c r="G24" s="477"/>
      <c r="H24" s="477"/>
      <c r="I24" s="477"/>
      <c r="J24" s="477"/>
      <c r="K24" s="477"/>
      <c r="L24" s="524"/>
    </row>
    <row r="25" spans="1:12" s="485" customFormat="1" ht="13.5" customHeight="1" x14ac:dyDescent="0.2">
      <c r="A25" s="1487" t="s">
        <v>1657</v>
      </c>
      <c r="B25" s="525">
        <v>7110</v>
      </c>
      <c r="C25" s="467"/>
      <c r="D25" s="467"/>
      <c r="E25" s="467"/>
      <c r="F25" s="467"/>
      <c r="G25" s="467"/>
      <c r="H25" s="467"/>
      <c r="I25" s="477"/>
      <c r="J25" s="467"/>
      <c r="K25" s="467"/>
      <c r="L25" s="524"/>
    </row>
    <row r="26" spans="1:12" s="485" customFormat="1" ht="13.5" customHeight="1" x14ac:dyDescent="0.2">
      <c r="A26" s="1487" t="s">
        <v>184</v>
      </c>
      <c r="B26" s="483">
        <v>7120</v>
      </c>
      <c r="C26" s="467"/>
      <c r="D26" s="467"/>
      <c r="E26" s="467"/>
      <c r="F26" s="467"/>
      <c r="G26" s="467"/>
      <c r="H26" s="467"/>
      <c r="I26" s="477"/>
      <c r="J26" s="467"/>
      <c r="K26" s="467"/>
      <c r="L26" s="524"/>
    </row>
    <row r="27" spans="1:12" s="485" customFormat="1" ht="13.5" customHeight="1" x14ac:dyDescent="0.2">
      <c r="A27" s="1487" t="s">
        <v>185</v>
      </c>
      <c r="B27" s="483">
        <v>7130</v>
      </c>
      <c r="C27" s="467"/>
      <c r="D27" s="467"/>
      <c r="E27" s="526"/>
      <c r="F27" s="467"/>
      <c r="G27" s="480"/>
      <c r="H27" s="480"/>
      <c r="I27" s="480"/>
      <c r="J27" s="480"/>
      <c r="K27" s="480"/>
      <c r="L27" s="524"/>
    </row>
    <row r="28" spans="1:12" s="485" customFormat="1" ht="13.5" customHeight="1" x14ac:dyDescent="0.2">
      <c r="A28" s="1487" t="s">
        <v>1398</v>
      </c>
      <c r="B28" s="483">
        <v>7140</v>
      </c>
      <c r="C28" s="467"/>
      <c r="D28" s="467"/>
      <c r="E28" s="467"/>
      <c r="F28" s="467"/>
      <c r="G28" s="467"/>
      <c r="H28" s="467"/>
      <c r="I28" s="467"/>
      <c r="J28" s="467"/>
      <c r="K28" s="467"/>
      <c r="L28" s="524"/>
    </row>
    <row r="29" spans="1:12" s="485" customFormat="1" ht="13.5" customHeight="1" x14ac:dyDescent="0.2">
      <c r="A29" s="1487" t="s">
        <v>294</v>
      </c>
      <c r="B29" s="483">
        <v>7150</v>
      </c>
      <c r="C29" s="475"/>
      <c r="D29" s="467"/>
      <c r="E29" s="475"/>
      <c r="F29" s="475"/>
      <c r="G29" s="475"/>
      <c r="H29" s="475"/>
      <c r="I29" s="475"/>
      <c r="J29" s="475"/>
      <c r="K29" s="475"/>
      <c r="L29" s="524"/>
    </row>
    <row r="30" spans="1:12" s="485" customFormat="1" ht="26.25" x14ac:dyDescent="0.2">
      <c r="A30" s="1487" t="s">
        <v>1791</v>
      </c>
      <c r="B30" s="527">
        <v>7160</v>
      </c>
      <c r="C30" s="477"/>
      <c r="D30" s="467"/>
      <c r="E30" s="477"/>
      <c r="F30" s="477"/>
      <c r="G30" s="477"/>
      <c r="H30" s="477"/>
      <c r="I30" s="477"/>
      <c r="J30" s="477"/>
      <c r="K30" s="477"/>
      <c r="L30" s="524"/>
    </row>
    <row r="31" spans="1:12" s="485" customFormat="1" ht="26.25" x14ac:dyDescent="0.2">
      <c r="A31" s="1487" t="s">
        <v>1795</v>
      </c>
      <c r="B31" s="527">
        <v>7170</v>
      </c>
      <c r="C31" s="477"/>
      <c r="D31" s="477"/>
      <c r="E31" s="474"/>
      <c r="F31" s="477"/>
      <c r="G31" s="477"/>
      <c r="H31" s="477"/>
      <c r="I31" s="477"/>
      <c r="J31" s="477"/>
      <c r="K31" s="477"/>
      <c r="L31" s="524"/>
    </row>
    <row r="32" spans="1:12" s="485" customFormat="1" ht="15.75" customHeight="1" x14ac:dyDescent="0.2">
      <c r="A32" s="2247" t="s">
        <v>981</v>
      </c>
      <c r="B32" s="2248"/>
      <c r="C32" s="477"/>
      <c r="D32" s="477"/>
      <c r="E32" s="475"/>
      <c r="F32" s="477"/>
      <c r="G32" s="477"/>
      <c r="H32" s="477"/>
      <c r="I32" s="477"/>
      <c r="J32" s="477"/>
      <c r="K32" s="477"/>
      <c r="L32" s="524"/>
    </row>
    <row r="33" spans="1:12" s="485" customFormat="1" x14ac:dyDescent="0.2">
      <c r="A33" s="1487" t="s">
        <v>412</v>
      </c>
      <c r="B33" s="525">
        <v>7210</v>
      </c>
      <c r="C33" s="467"/>
      <c r="D33" s="467"/>
      <c r="E33" s="467"/>
      <c r="F33" s="467"/>
      <c r="G33" s="477"/>
      <c r="H33" s="467"/>
      <c r="I33" s="467"/>
      <c r="J33" s="467"/>
      <c r="K33" s="467"/>
      <c r="L33" s="524"/>
    </row>
    <row r="34" spans="1:12" s="485" customFormat="1" x14ac:dyDescent="0.2">
      <c r="A34" s="1487" t="s">
        <v>1001</v>
      </c>
      <c r="B34" s="525">
        <v>7220</v>
      </c>
      <c r="C34" s="467"/>
      <c r="D34" s="467"/>
      <c r="E34" s="467"/>
      <c r="F34" s="467"/>
      <c r="G34" s="477"/>
      <c r="H34" s="478"/>
      <c r="I34" s="478"/>
      <c r="J34" s="478"/>
      <c r="K34" s="478"/>
      <c r="L34" s="524"/>
    </row>
    <row r="35" spans="1:12" s="485" customFormat="1" x14ac:dyDescent="0.2">
      <c r="A35" s="1487" t="s">
        <v>990</v>
      </c>
      <c r="B35" s="525">
        <v>7230</v>
      </c>
      <c r="C35" s="467"/>
      <c r="D35" s="467"/>
      <c r="E35" s="467"/>
      <c r="F35" s="467"/>
      <c r="G35" s="480"/>
      <c r="H35" s="467"/>
      <c r="I35" s="467"/>
      <c r="J35" s="467"/>
      <c r="K35" s="467"/>
      <c r="L35" s="524"/>
    </row>
    <row r="36" spans="1:12" s="485" customFormat="1" ht="15" x14ac:dyDescent="0.2">
      <c r="A36" s="1487" t="s">
        <v>1658</v>
      </c>
      <c r="B36" s="525">
        <v>7300</v>
      </c>
      <c r="C36" s="467"/>
      <c r="D36" s="467"/>
      <c r="E36" s="467"/>
      <c r="F36" s="467"/>
      <c r="G36" s="467"/>
      <c r="H36" s="467"/>
      <c r="I36" s="475"/>
      <c r="J36" s="467">
        <v>0</v>
      </c>
      <c r="K36" s="467"/>
      <c r="L36" s="524"/>
    </row>
    <row r="37" spans="1:12" s="485" customFormat="1" x14ac:dyDescent="0.2">
      <c r="A37" s="1487" t="s">
        <v>441</v>
      </c>
      <c r="B37" s="525">
        <v>7400</v>
      </c>
      <c r="C37" s="475"/>
      <c r="D37" s="475"/>
      <c r="E37" s="1741">
        <f>SUM(C54:D57,H54:H57)</f>
        <v>0</v>
      </c>
      <c r="F37" s="475"/>
      <c r="G37" s="475"/>
      <c r="H37" s="475"/>
      <c r="I37" s="477"/>
      <c r="J37" s="475"/>
      <c r="K37" s="475"/>
      <c r="L37" s="524"/>
    </row>
    <row r="38" spans="1:12" s="485" customFormat="1" x14ac:dyDescent="0.2">
      <c r="A38" s="1487" t="s">
        <v>442</v>
      </c>
      <c r="B38" s="525">
        <v>7500</v>
      </c>
      <c r="C38" s="477"/>
      <c r="D38" s="477"/>
      <c r="E38" s="1741">
        <f>SUM(C58:D61,H58:H61)</f>
        <v>0</v>
      </c>
      <c r="F38" s="477"/>
      <c r="G38" s="477"/>
      <c r="H38" s="477"/>
      <c r="I38" s="477"/>
      <c r="J38" s="477"/>
      <c r="K38" s="477"/>
      <c r="L38" s="524"/>
    </row>
    <row r="39" spans="1:12" s="485" customFormat="1" x14ac:dyDescent="0.2">
      <c r="A39" s="1487" t="s">
        <v>443</v>
      </c>
      <c r="B39" s="525">
        <v>7600</v>
      </c>
      <c r="C39" s="477"/>
      <c r="D39" s="477"/>
      <c r="E39" s="1741">
        <f>SUM(C62:D65)</f>
        <v>0</v>
      </c>
      <c r="F39" s="477"/>
      <c r="G39" s="477"/>
      <c r="H39" s="477"/>
      <c r="I39" s="477"/>
      <c r="J39" s="477"/>
      <c r="K39" s="477"/>
      <c r="L39" s="524"/>
    </row>
    <row r="40" spans="1:12" s="485" customFormat="1" ht="13.5" customHeight="1" x14ac:dyDescent="0.2">
      <c r="A40" s="1487" t="s">
        <v>642</v>
      </c>
      <c r="B40" s="483">
        <v>7700</v>
      </c>
      <c r="C40" s="477"/>
      <c r="D40" s="477"/>
      <c r="E40" s="1741">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41">
        <f>SUM(C70:D73)</f>
        <v>0</v>
      </c>
      <c r="I41" s="477"/>
      <c r="J41" s="477"/>
      <c r="K41" s="480"/>
      <c r="L41" s="524"/>
    </row>
    <row r="42" spans="1:12" s="485" customFormat="1" ht="13.5" customHeight="1" x14ac:dyDescent="0.2">
      <c r="A42" s="1487" t="s">
        <v>641</v>
      </c>
      <c r="B42" s="483">
        <v>7900</v>
      </c>
      <c r="C42" s="467"/>
      <c r="D42" s="467"/>
      <c r="E42" s="467"/>
      <c r="F42" s="467"/>
      <c r="G42" s="467"/>
      <c r="H42" s="467"/>
      <c r="I42" s="480"/>
      <c r="J42" s="480"/>
      <c r="K42" s="467"/>
      <c r="L42" s="524"/>
    </row>
    <row r="43" spans="1:12" s="485" customFormat="1" ht="13.5" customHeight="1" x14ac:dyDescent="0.2">
      <c r="A43" s="1487" t="s">
        <v>373</v>
      </c>
      <c r="B43" s="483">
        <v>7990</v>
      </c>
      <c r="C43" s="467"/>
      <c r="D43" s="467"/>
      <c r="E43" s="467"/>
      <c r="F43" s="467"/>
      <c r="G43" s="467"/>
      <c r="H43" s="467"/>
      <c r="I43" s="467"/>
      <c r="J43" s="467"/>
      <c r="K43" s="467"/>
      <c r="L43" s="524"/>
    </row>
    <row r="44" spans="1:12" s="485" customFormat="1" ht="13.5" customHeight="1" thickBot="1" x14ac:dyDescent="0.25">
      <c r="A44" s="2255" t="s">
        <v>374</v>
      </c>
      <c r="B44" s="2256"/>
      <c r="C44" s="1701">
        <f>SUM(C24:C43)</f>
        <v>0</v>
      </c>
      <c r="D44" s="1701">
        <f t="shared" ref="D44:K44" si="6">SUM(D24:D43)</f>
        <v>0</v>
      </c>
      <c r="E44" s="1701">
        <f t="shared" si="6"/>
        <v>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249" t="s">
        <v>108</v>
      </c>
      <c r="B45" s="2250"/>
      <c r="C45" s="528"/>
      <c r="D45" s="528"/>
      <c r="E45" s="528"/>
      <c r="F45" s="528"/>
      <c r="G45" s="528"/>
      <c r="H45" s="528"/>
      <c r="I45" s="528"/>
      <c r="J45" s="528"/>
      <c r="K45" s="528"/>
      <c r="L45" s="347"/>
    </row>
    <row r="46" spans="1:12" s="485" customFormat="1" ht="15.75" customHeight="1" x14ac:dyDescent="0.2">
      <c r="A46" s="2257" t="s">
        <v>109</v>
      </c>
      <c r="B46" s="2258"/>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41">
        <f>SUM(C24,C25:H25,J25:K25)</f>
        <v>0</v>
      </c>
      <c r="J47" s="477"/>
      <c r="K47" s="477"/>
      <c r="L47" s="529"/>
    </row>
    <row r="48" spans="1:12" s="485" customFormat="1" ht="15" x14ac:dyDescent="0.2">
      <c r="A48" s="1488" t="s">
        <v>1660</v>
      </c>
      <c r="B48" s="483">
        <v>8120</v>
      </c>
      <c r="C48" s="480"/>
      <c r="D48" s="480"/>
      <c r="E48" s="477"/>
      <c r="F48" s="480"/>
      <c r="G48" s="477"/>
      <c r="H48" s="477"/>
      <c r="I48" s="1741">
        <f>SUM(C26:H26,J26,K26)</f>
        <v>0</v>
      </c>
      <c r="J48" s="477"/>
      <c r="K48" s="477"/>
      <c r="L48" s="529"/>
    </row>
    <row r="49" spans="1:12" s="485" customFormat="1" x14ac:dyDescent="0.2">
      <c r="A49" s="1488" t="s">
        <v>185</v>
      </c>
      <c r="B49" s="483">
        <v>8130</v>
      </c>
      <c r="C49" s="467"/>
      <c r="D49" s="467"/>
      <c r="E49" s="480"/>
      <c r="F49" s="467"/>
      <c r="G49" s="480"/>
      <c r="H49" s="480"/>
      <c r="I49" s="477"/>
      <c r="J49" s="480"/>
      <c r="K49" s="477"/>
      <c r="L49" s="524"/>
    </row>
    <row r="50" spans="1:12" s="485" customFormat="1" x14ac:dyDescent="0.2">
      <c r="A50" s="1488" t="s">
        <v>1398</v>
      </c>
      <c r="B50" s="483">
        <v>8140</v>
      </c>
      <c r="C50" s="467"/>
      <c r="D50" s="467"/>
      <c r="E50" s="467"/>
      <c r="F50" s="467"/>
      <c r="G50" s="467"/>
      <c r="H50" s="467"/>
      <c r="I50" s="477"/>
      <c r="J50" s="467"/>
      <c r="K50" s="477"/>
      <c r="L50" s="524"/>
    </row>
    <row r="51" spans="1:12" s="485" customFormat="1" x14ac:dyDescent="0.2">
      <c r="A51" s="1488" t="s">
        <v>294</v>
      </c>
      <c r="B51" s="483">
        <v>8150</v>
      </c>
      <c r="C51" s="475"/>
      <c r="D51" s="475"/>
      <c r="E51" s="475"/>
      <c r="F51" s="475"/>
      <c r="G51" s="475"/>
      <c r="H51" s="1741">
        <f>SUM(D29)</f>
        <v>0</v>
      </c>
      <c r="I51" s="477"/>
      <c r="J51" s="475"/>
      <c r="K51" s="480"/>
      <c r="L51" s="524"/>
    </row>
    <row r="52" spans="1:12" s="485" customFormat="1" ht="26.25" x14ac:dyDescent="0.2">
      <c r="A52" s="1488" t="s">
        <v>1794</v>
      </c>
      <c r="B52" s="483">
        <v>8160</v>
      </c>
      <c r="C52" s="477"/>
      <c r="D52" s="477"/>
      <c r="E52" s="477"/>
      <c r="F52" s="477"/>
      <c r="G52" s="477"/>
      <c r="H52" s="477"/>
      <c r="I52" s="477"/>
      <c r="J52" s="477"/>
      <c r="K52" s="1741">
        <f>D30</f>
        <v>0</v>
      </c>
      <c r="L52" s="524"/>
    </row>
    <row r="53" spans="1:12" s="485" customFormat="1" ht="26.25" x14ac:dyDescent="0.2">
      <c r="A53" s="1488" t="s">
        <v>1793</v>
      </c>
      <c r="B53" s="483">
        <v>8170</v>
      </c>
      <c r="C53" s="480"/>
      <c r="D53" s="480"/>
      <c r="E53" s="477"/>
      <c r="F53" s="477"/>
      <c r="G53" s="477"/>
      <c r="H53" s="480"/>
      <c r="I53" s="477"/>
      <c r="J53" s="477"/>
      <c r="K53" s="1741">
        <f>E31</f>
        <v>0</v>
      </c>
      <c r="L53" s="524"/>
    </row>
    <row r="54" spans="1:12" s="485" customFormat="1" ht="13.5" thickBot="1" x14ac:dyDescent="0.25">
      <c r="A54" s="1488" t="s">
        <v>692</v>
      </c>
      <c r="B54" s="483">
        <v>8410</v>
      </c>
      <c r="C54" s="530"/>
      <c r="D54" s="530"/>
      <c r="E54" s="477"/>
      <c r="F54" s="477"/>
      <c r="G54" s="477"/>
      <c r="H54" s="530"/>
      <c r="I54" s="477"/>
      <c r="J54" s="477"/>
      <c r="K54" s="475"/>
      <c r="L54" s="524"/>
    </row>
    <row r="55" spans="1:12" s="485" customFormat="1" ht="14.25" thickTop="1" thickBot="1" x14ac:dyDescent="0.25">
      <c r="A55" s="1489" t="s">
        <v>693</v>
      </c>
      <c r="B55" s="483">
        <v>8420</v>
      </c>
      <c r="C55" s="531"/>
      <c r="D55" s="531"/>
      <c r="E55" s="477"/>
      <c r="F55" s="477"/>
      <c r="G55" s="477"/>
      <c r="H55" s="530"/>
      <c r="I55" s="477"/>
      <c r="J55" s="477"/>
      <c r="K55" s="477"/>
      <c r="L55" s="524"/>
    </row>
    <row r="56" spans="1:12" s="485" customFormat="1" ht="14.25" thickTop="1" thickBot="1" x14ac:dyDescent="0.25">
      <c r="A56" s="1488" t="s">
        <v>581</v>
      </c>
      <c r="B56" s="483">
        <v>8430</v>
      </c>
      <c r="C56" s="531"/>
      <c r="D56" s="531"/>
      <c r="E56" s="477"/>
      <c r="F56" s="477"/>
      <c r="G56" s="477"/>
      <c r="H56" s="530"/>
      <c r="I56" s="477"/>
      <c r="J56" s="477"/>
      <c r="K56" s="477"/>
      <c r="L56" s="524"/>
    </row>
    <row r="57" spans="1:12" s="485" customFormat="1" ht="14.25" thickTop="1" thickBot="1" x14ac:dyDescent="0.25">
      <c r="A57" s="1489" t="s">
        <v>578</v>
      </c>
      <c r="B57" s="483">
        <v>8440</v>
      </c>
      <c r="C57" s="531"/>
      <c r="D57" s="531"/>
      <c r="E57" s="477"/>
      <c r="F57" s="477"/>
      <c r="G57" s="477"/>
      <c r="H57" s="530"/>
      <c r="I57" s="477"/>
      <c r="J57" s="477"/>
      <c r="K57" s="477"/>
      <c r="L57" s="524"/>
    </row>
    <row r="58" spans="1:12" s="485" customFormat="1" ht="14.25" thickTop="1" thickBot="1" x14ac:dyDescent="0.25">
      <c r="A58" s="1488" t="s">
        <v>579</v>
      </c>
      <c r="B58" s="483">
        <v>8510</v>
      </c>
      <c r="C58" s="531"/>
      <c r="D58" s="531"/>
      <c r="E58" s="477"/>
      <c r="F58" s="477"/>
      <c r="G58" s="477"/>
      <c r="H58" s="530"/>
      <c r="I58" s="477"/>
      <c r="J58" s="477"/>
      <c r="K58" s="477"/>
      <c r="L58" s="524"/>
    </row>
    <row r="59" spans="1:12" s="485" customFormat="1" ht="14.25" thickTop="1" thickBot="1" x14ac:dyDescent="0.25">
      <c r="A59" s="1490" t="s">
        <v>694</v>
      </c>
      <c r="B59" s="483">
        <v>8520</v>
      </c>
      <c r="C59" s="531"/>
      <c r="D59" s="531"/>
      <c r="E59" s="477"/>
      <c r="F59" s="477"/>
      <c r="G59" s="477"/>
      <c r="H59" s="530"/>
      <c r="I59" s="477"/>
      <c r="J59" s="477"/>
      <c r="K59" s="477"/>
      <c r="L59" s="524"/>
    </row>
    <row r="60" spans="1:12" s="485" customFormat="1" ht="14.25" thickTop="1" thickBot="1" x14ac:dyDescent="0.25">
      <c r="A60" s="1488" t="s">
        <v>580</v>
      </c>
      <c r="B60" s="483">
        <v>8530</v>
      </c>
      <c r="C60" s="531"/>
      <c r="D60" s="531"/>
      <c r="E60" s="477"/>
      <c r="F60" s="477"/>
      <c r="G60" s="477"/>
      <c r="H60" s="530"/>
      <c r="I60" s="477"/>
      <c r="J60" s="477"/>
      <c r="K60" s="477"/>
      <c r="L60" s="524"/>
    </row>
    <row r="61" spans="1:12" s="485" customFormat="1" ht="14.25" thickTop="1" thickBot="1" x14ac:dyDescent="0.25">
      <c r="A61" s="1489" t="s">
        <v>743</v>
      </c>
      <c r="B61" s="483">
        <v>8540</v>
      </c>
      <c r="C61" s="531"/>
      <c r="D61" s="531"/>
      <c r="E61" s="477"/>
      <c r="F61" s="477"/>
      <c r="G61" s="477"/>
      <c r="H61" s="530"/>
      <c r="I61" s="477"/>
      <c r="J61" s="477"/>
      <c r="K61" s="477"/>
      <c r="L61" s="524"/>
    </row>
    <row r="62" spans="1:12" s="485" customFormat="1" ht="13.5" customHeight="1" thickTop="1" thickBot="1" x14ac:dyDescent="0.25">
      <c r="A62" s="1488" t="s">
        <v>744</v>
      </c>
      <c r="B62" s="483">
        <v>8610</v>
      </c>
      <c r="C62" s="531"/>
      <c r="D62" s="531"/>
      <c r="E62" s="477"/>
      <c r="F62" s="477"/>
      <c r="G62" s="477"/>
      <c r="H62" s="477"/>
      <c r="I62" s="477"/>
      <c r="J62" s="477"/>
      <c r="K62" s="477"/>
      <c r="L62" s="524"/>
    </row>
    <row r="63" spans="1:12" s="485" customFormat="1" ht="14.25" thickTop="1" thickBot="1" x14ac:dyDescent="0.25">
      <c r="A63" s="1489" t="s">
        <v>695</v>
      </c>
      <c r="B63" s="483">
        <v>8620</v>
      </c>
      <c r="C63" s="531"/>
      <c r="D63" s="531"/>
      <c r="E63" s="477"/>
      <c r="F63" s="477"/>
      <c r="G63" s="477"/>
      <c r="H63" s="477"/>
      <c r="I63" s="477"/>
      <c r="J63" s="477"/>
      <c r="K63" s="477"/>
      <c r="L63" s="524"/>
    </row>
    <row r="64" spans="1:12" s="485" customFormat="1" ht="13.5" customHeight="1" thickTop="1" thickBot="1" x14ac:dyDescent="0.25">
      <c r="A64" s="1488" t="s">
        <v>745</v>
      </c>
      <c r="B64" s="483">
        <v>8630</v>
      </c>
      <c r="C64" s="531"/>
      <c r="D64" s="531"/>
      <c r="E64" s="477"/>
      <c r="F64" s="477"/>
      <c r="G64" s="477"/>
      <c r="H64" s="477"/>
      <c r="I64" s="477"/>
      <c r="J64" s="477"/>
      <c r="K64" s="477"/>
      <c r="L64" s="524"/>
    </row>
    <row r="65" spans="1:12" s="485" customFormat="1" ht="14.25" thickTop="1" thickBot="1" x14ac:dyDescent="0.25">
      <c r="A65" s="1489" t="s">
        <v>746</v>
      </c>
      <c r="B65" s="483">
        <v>8640</v>
      </c>
      <c r="C65" s="531"/>
      <c r="D65" s="531"/>
      <c r="E65" s="477"/>
      <c r="F65" s="477"/>
      <c r="G65" s="477"/>
      <c r="H65" s="477"/>
      <c r="I65" s="477"/>
      <c r="J65" s="477"/>
      <c r="K65" s="477"/>
      <c r="L65" s="524"/>
    </row>
    <row r="66" spans="1:12" s="485" customFormat="1" ht="14.25" thickTop="1" thickBot="1" x14ac:dyDescent="0.25">
      <c r="A66" s="1488" t="s">
        <v>747</v>
      </c>
      <c r="B66" s="483">
        <v>8710</v>
      </c>
      <c r="C66" s="531"/>
      <c r="D66" s="531"/>
      <c r="E66" s="477"/>
      <c r="F66" s="477"/>
      <c r="G66" s="477"/>
      <c r="H66" s="477"/>
      <c r="I66" s="477"/>
      <c r="J66" s="477"/>
      <c r="K66" s="477"/>
      <c r="L66" s="524"/>
    </row>
    <row r="67" spans="1:12" s="485" customFormat="1" ht="14.25" thickTop="1" thickBot="1" x14ac:dyDescent="0.25">
      <c r="A67" s="1489" t="s">
        <v>696</v>
      </c>
      <c r="B67" s="483">
        <v>8720</v>
      </c>
      <c r="C67" s="531"/>
      <c r="D67" s="531"/>
      <c r="E67" s="477"/>
      <c r="F67" s="477"/>
      <c r="G67" s="477"/>
      <c r="H67" s="477"/>
      <c r="I67" s="477"/>
      <c r="J67" s="477"/>
      <c r="K67" s="477"/>
      <c r="L67" s="524"/>
    </row>
    <row r="68" spans="1:12" s="485" customFormat="1" ht="14.25" thickTop="1" thickBot="1" x14ac:dyDescent="0.25">
      <c r="A68" s="1490" t="s">
        <v>748</v>
      </c>
      <c r="B68" s="483">
        <v>8730</v>
      </c>
      <c r="C68" s="531"/>
      <c r="D68" s="531"/>
      <c r="E68" s="477"/>
      <c r="F68" s="477"/>
      <c r="G68" s="477"/>
      <c r="H68" s="477"/>
      <c r="I68" s="477"/>
      <c r="J68" s="477"/>
      <c r="K68" s="477"/>
      <c r="L68" s="524"/>
    </row>
    <row r="69" spans="1:12" s="485" customFormat="1" ht="14.25" thickTop="1" thickBot="1" x14ac:dyDescent="0.25">
      <c r="A69" s="1489" t="s">
        <v>749</v>
      </c>
      <c r="B69" s="483">
        <v>8740</v>
      </c>
      <c r="C69" s="531"/>
      <c r="D69" s="531"/>
      <c r="E69" s="477"/>
      <c r="F69" s="477"/>
      <c r="G69" s="477"/>
      <c r="H69" s="477"/>
      <c r="I69" s="477"/>
      <c r="J69" s="477"/>
      <c r="K69" s="477"/>
      <c r="L69" s="524"/>
    </row>
    <row r="70" spans="1:12" s="485" customFormat="1" ht="14.25" thickTop="1" thickBot="1" x14ac:dyDescent="0.25">
      <c r="A70" s="1488" t="s">
        <v>750</v>
      </c>
      <c r="B70" s="483">
        <v>8810</v>
      </c>
      <c r="C70" s="531"/>
      <c r="D70" s="531"/>
      <c r="E70" s="477"/>
      <c r="F70" s="477"/>
      <c r="G70" s="477"/>
      <c r="H70" s="477"/>
      <c r="I70" s="477"/>
      <c r="J70" s="477"/>
      <c r="K70" s="477"/>
      <c r="L70" s="524"/>
    </row>
    <row r="71" spans="1:12" s="485" customFormat="1" ht="14.25" thickTop="1" thickBot="1" x14ac:dyDescent="0.25">
      <c r="A71" s="1488" t="s">
        <v>754</v>
      </c>
      <c r="B71" s="483">
        <v>8820</v>
      </c>
      <c r="C71" s="531"/>
      <c r="D71" s="531"/>
      <c r="E71" s="477"/>
      <c r="F71" s="477"/>
      <c r="G71" s="477"/>
      <c r="H71" s="477"/>
      <c r="I71" s="477"/>
      <c r="J71" s="477"/>
      <c r="K71" s="477"/>
      <c r="L71" s="524"/>
    </row>
    <row r="72" spans="1:12" s="485" customFormat="1" ht="14.25" thickTop="1" thickBot="1" x14ac:dyDescent="0.25">
      <c r="A72" s="1488" t="s">
        <v>751</v>
      </c>
      <c r="B72" s="483">
        <v>8830</v>
      </c>
      <c r="C72" s="531"/>
      <c r="D72" s="531"/>
      <c r="E72" s="477"/>
      <c r="F72" s="477"/>
      <c r="G72" s="477"/>
      <c r="H72" s="477"/>
      <c r="I72" s="477"/>
      <c r="J72" s="477"/>
      <c r="K72" s="477"/>
      <c r="L72" s="524"/>
    </row>
    <row r="73" spans="1:12" s="485" customFormat="1" ht="14.25" thickTop="1" thickBot="1" x14ac:dyDescent="0.25">
      <c r="A73" s="1488" t="s">
        <v>752</v>
      </c>
      <c r="B73" s="483">
        <v>8840</v>
      </c>
      <c r="C73" s="531"/>
      <c r="D73" s="531"/>
      <c r="E73" s="477"/>
      <c r="F73" s="477"/>
      <c r="G73" s="477"/>
      <c r="H73" s="477"/>
      <c r="I73" s="477"/>
      <c r="J73" s="477"/>
      <c r="K73" s="480"/>
      <c r="L73" s="524"/>
    </row>
    <row r="74" spans="1:12" s="485" customFormat="1" ht="14.25" thickTop="1" thickBot="1" x14ac:dyDescent="0.25">
      <c r="A74" s="1488" t="s">
        <v>375</v>
      </c>
      <c r="B74" s="483">
        <v>8910</v>
      </c>
      <c r="C74" s="531"/>
      <c r="D74" s="531"/>
      <c r="E74" s="480"/>
      <c r="F74" s="530"/>
      <c r="G74" s="530"/>
      <c r="H74" s="530"/>
      <c r="I74" s="480"/>
      <c r="J74" s="480"/>
      <c r="K74" s="530"/>
      <c r="L74" s="524"/>
    </row>
    <row r="75" spans="1:12" s="485" customFormat="1" ht="14.25" thickTop="1" thickBot="1" x14ac:dyDescent="0.25">
      <c r="A75" s="1491" t="s">
        <v>439</v>
      </c>
      <c r="B75" s="483">
        <v>8990</v>
      </c>
      <c r="C75" s="531"/>
      <c r="D75" s="531"/>
      <c r="E75" s="530"/>
      <c r="F75" s="532"/>
      <c r="G75" s="532"/>
      <c r="H75" s="532"/>
      <c r="I75" s="530"/>
      <c r="J75" s="530"/>
      <c r="K75" s="532"/>
      <c r="L75" s="524"/>
    </row>
    <row r="76" spans="1:12" s="485" customFormat="1" ht="14.25" thickTop="1" thickBot="1" x14ac:dyDescent="0.25">
      <c r="A76" s="2231" t="s">
        <v>440</v>
      </c>
      <c r="B76" s="2232"/>
      <c r="C76" s="1701">
        <f t="shared" ref="C76:K76" si="7">SUM(C47:C75)</f>
        <v>0</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233" t="s">
        <v>1177</v>
      </c>
      <c r="B77" s="2234"/>
      <c r="C77" s="1701">
        <f t="shared" ref="C77:K77" si="8">C44-C76</f>
        <v>0</v>
      </c>
      <c r="D77" s="1701">
        <f t="shared" si="8"/>
        <v>0</v>
      </c>
      <c r="E77" s="1701">
        <f t="shared" si="8"/>
        <v>0</v>
      </c>
      <c r="F77" s="1701">
        <f t="shared" si="8"/>
        <v>0</v>
      </c>
      <c r="G77" s="1701">
        <f t="shared" si="8"/>
        <v>0</v>
      </c>
      <c r="H77" s="1701">
        <f t="shared" si="8"/>
        <v>0</v>
      </c>
      <c r="I77" s="1701">
        <f t="shared" si="8"/>
        <v>0</v>
      </c>
      <c r="J77" s="1701">
        <f t="shared" si="8"/>
        <v>0</v>
      </c>
      <c r="K77" s="1701">
        <f t="shared" si="8"/>
        <v>0</v>
      </c>
      <c r="L77" s="347"/>
    </row>
    <row r="78" spans="1:12" ht="21.75" customHeight="1" thickTop="1" thickBot="1" x14ac:dyDescent="0.25">
      <c r="A78" s="2237" t="s">
        <v>597</v>
      </c>
      <c r="B78" s="2238"/>
      <c r="C78" s="1700">
        <f t="shared" ref="C78:K78" si="9">C20+C77</f>
        <v>470008</v>
      </c>
      <c r="D78" s="1700">
        <f t="shared" si="9"/>
        <v>124320</v>
      </c>
      <c r="E78" s="1700">
        <f t="shared" si="9"/>
        <v>-65720</v>
      </c>
      <c r="F78" s="1700">
        <f t="shared" si="9"/>
        <v>1602554</v>
      </c>
      <c r="G78" s="1700">
        <f t="shared" si="9"/>
        <v>15065</v>
      </c>
      <c r="H78" s="1700">
        <f t="shared" si="9"/>
        <v>116647</v>
      </c>
      <c r="I78" s="1700">
        <f t="shared" si="9"/>
        <v>85900</v>
      </c>
      <c r="J78" s="1700">
        <f t="shared" si="9"/>
        <v>752244</v>
      </c>
      <c r="K78" s="1700">
        <f t="shared" si="9"/>
        <v>4572</v>
      </c>
      <c r="L78" s="533"/>
    </row>
    <row r="79" spans="1:12" ht="13.5" thickTop="1" x14ac:dyDescent="0.2">
      <c r="A79" s="1492" t="s">
        <v>1944</v>
      </c>
      <c r="B79" s="534"/>
      <c r="C79" s="478">
        <v>5655656</v>
      </c>
      <c r="D79" s="535">
        <v>567461</v>
      </c>
      <c r="E79" s="535">
        <v>-312998</v>
      </c>
      <c r="F79" s="535">
        <v>1543114</v>
      </c>
      <c r="G79" s="535">
        <v>990172</v>
      </c>
      <c r="H79" s="535">
        <v>834572</v>
      </c>
      <c r="I79" s="535">
        <v>4122411</v>
      </c>
      <c r="J79" s="535">
        <v>-235412</v>
      </c>
      <c r="K79" s="535">
        <v>943160</v>
      </c>
      <c r="L79" s="347"/>
    </row>
    <row r="80" spans="1:12" x14ac:dyDescent="0.2">
      <c r="A80" s="2243" t="s">
        <v>1792</v>
      </c>
      <c r="B80" s="2244"/>
      <c r="C80" s="467"/>
      <c r="D80" s="467"/>
      <c r="E80" s="467"/>
      <c r="F80" s="467"/>
      <c r="G80" s="467"/>
      <c r="H80" s="467"/>
      <c r="I80" s="467"/>
      <c r="J80" s="467"/>
      <c r="K80" s="467"/>
      <c r="L80" s="347"/>
    </row>
    <row r="81" spans="1:12" ht="13.5" thickBot="1" x14ac:dyDescent="0.25">
      <c r="A81" s="2235" t="s">
        <v>1945</v>
      </c>
      <c r="B81" s="2236"/>
      <c r="C81" s="1686">
        <f>(SUM(C78:C80))</f>
        <v>6125664</v>
      </c>
      <c r="D81" s="1686">
        <f>SUM(D78:D80)</f>
        <v>691781</v>
      </c>
      <c r="E81" s="1686">
        <f t="shared" ref="E81:K81" si="10">SUM(E78:E80)</f>
        <v>-378718</v>
      </c>
      <c r="F81" s="1686">
        <f t="shared" si="10"/>
        <v>3145668</v>
      </c>
      <c r="G81" s="1686">
        <f t="shared" si="10"/>
        <v>1005237</v>
      </c>
      <c r="H81" s="1686">
        <f t="shared" si="10"/>
        <v>951219</v>
      </c>
      <c r="I81" s="1686">
        <f t="shared" si="10"/>
        <v>4208311</v>
      </c>
      <c r="J81" s="1686">
        <f t="shared" si="10"/>
        <v>516832</v>
      </c>
      <c r="K81" s="1686">
        <f t="shared" si="10"/>
        <v>947732</v>
      </c>
      <c r="L81" s="347"/>
    </row>
    <row r="82" spans="1:12" ht="0.75" customHeight="1" thickTop="1" thickBot="1" x14ac:dyDescent="0.25">
      <c r="A82" s="536" t="s">
        <v>343</v>
      </c>
      <c r="B82" s="537"/>
      <c r="C82" s="538">
        <f>(C81-C79)</f>
        <v>470008</v>
      </c>
      <c r="D82" s="538">
        <f t="shared" ref="D82:K82" si="11">(D81-D79)</f>
        <v>124320</v>
      </c>
      <c r="E82" s="538">
        <f t="shared" si="11"/>
        <v>-65720</v>
      </c>
      <c r="F82" s="538">
        <f t="shared" si="11"/>
        <v>1602554</v>
      </c>
      <c r="G82" s="538">
        <f t="shared" si="11"/>
        <v>15065</v>
      </c>
      <c r="H82" s="538">
        <f t="shared" si="11"/>
        <v>116647</v>
      </c>
      <c r="I82" s="538">
        <f t="shared" si="11"/>
        <v>85900</v>
      </c>
      <c r="J82" s="538">
        <f t="shared" si="11"/>
        <v>752244</v>
      </c>
      <c r="K82" s="538">
        <f t="shared" si="11"/>
        <v>4572</v>
      </c>
    </row>
    <row r="83" spans="1:12" ht="14.25" hidden="1" thickTop="1" thickBot="1" x14ac:dyDescent="0.25">
      <c r="A83" s="539" t="s">
        <v>344</v>
      </c>
      <c r="B83" s="464"/>
      <c r="C83" s="540">
        <f>C82/C81</f>
        <v>7.6727682092912697E-2</v>
      </c>
      <c r="D83" s="540">
        <f t="shared" ref="D83:K83" si="12">D82/D81</f>
        <v>0.17971005274790722</v>
      </c>
      <c r="E83" s="540">
        <f t="shared" si="12"/>
        <v>0.17353281333340376</v>
      </c>
      <c r="F83" s="540">
        <f t="shared" si="12"/>
        <v>0.50944791376585197</v>
      </c>
      <c r="G83" s="540">
        <f t="shared" si="12"/>
        <v>1.4986515617710052E-2</v>
      </c>
      <c r="H83" s="540">
        <f t="shared" si="12"/>
        <v>0.12262896346687777</v>
      </c>
      <c r="I83" s="540">
        <f t="shared" si="12"/>
        <v>2.0411989513132466E-2</v>
      </c>
      <c r="J83" s="540">
        <f t="shared" si="12"/>
        <v>1.4554903721131818</v>
      </c>
      <c r="K83" s="540">
        <f t="shared" si="12"/>
        <v>4.8241485989710172E-3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84" activePane="bottomLeft" state="frozen"/>
      <selection activeCell="B5" sqref="B5"/>
      <selection pane="bottomLeft" activeCell="C99" sqref="C9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239" t="s">
        <v>1799</v>
      </c>
      <c r="B1" s="452"/>
      <c r="C1" s="453" t="s">
        <v>425</v>
      </c>
      <c r="D1" s="453" t="s">
        <v>426</v>
      </c>
      <c r="E1" s="453" t="s">
        <v>427</v>
      </c>
      <c r="F1" s="453" t="s">
        <v>428</v>
      </c>
      <c r="G1" s="453" t="s">
        <v>429</v>
      </c>
      <c r="H1" s="453" t="s">
        <v>430</v>
      </c>
      <c r="I1" s="453" t="s">
        <v>431</v>
      </c>
      <c r="J1" s="453" t="s">
        <v>432</v>
      </c>
      <c r="K1" s="453" t="s">
        <v>756</v>
      </c>
    </row>
    <row r="2" spans="1:12" ht="36" x14ac:dyDescent="0.2">
      <c r="A2" s="224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481">
        <v>1730153</v>
      </c>
      <c r="D5" s="481">
        <v>251478</v>
      </c>
      <c r="E5" s="466">
        <v>2313648</v>
      </c>
      <c r="F5" s="548">
        <v>134116</v>
      </c>
      <c r="G5" s="466">
        <v>722908</v>
      </c>
      <c r="H5" s="466"/>
      <c r="I5" s="466">
        <v>33527</v>
      </c>
      <c r="J5" s="467">
        <v>2751081</v>
      </c>
      <c r="K5" s="466">
        <v>33527</v>
      </c>
    </row>
    <row r="6" spans="1:12" ht="15" x14ac:dyDescent="0.2">
      <c r="A6" s="463" t="s">
        <v>1662</v>
      </c>
      <c r="B6" s="470">
        <v>1130</v>
      </c>
      <c r="C6" s="466">
        <v>33527</v>
      </c>
      <c r="D6" s="466"/>
      <c r="E6" s="475"/>
      <c r="F6" s="475"/>
      <c r="G6" s="468"/>
      <c r="H6" s="468"/>
      <c r="I6" s="468"/>
      <c r="J6" s="468"/>
      <c r="K6" s="468"/>
    </row>
    <row r="7" spans="1:12" x14ac:dyDescent="0.2">
      <c r="A7" s="463" t="s">
        <v>110</v>
      </c>
      <c r="B7" s="549">
        <v>1140</v>
      </c>
      <c r="C7" s="466">
        <v>26827</v>
      </c>
      <c r="D7" s="466"/>
      <c r="E7" s="468"/>
      <c r="F7" s="467"/>
      <c r="G7" s="467"/>
      <c r="H7" s="467"/>
      <c r="I7" s="468"/>
      <c r="J7" s="468"/>
      <c r="K7" s="468"/>
    </row>
    <row r="8" spans="1:12" x14ac:dyDescent="0.2">
      <c r="A8" s="463" t="s">
        <v>413</v>
      </c>
      <c r="B8" s="470">
        <v>1150</v>
      </c>
      <c r="C8" s="475"/>
      <c r="D8" s="475"/>
      <c r="E8" s="477"/>
      <c r="F8" s="477"/>
      <c r="G8" s="481">
        <v>526359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1790507</v>
      </c>
      <c r="D12" s="1705">
        <f t="shared" si="0"/>
        <v>251478</v>
      </c>
      <c r="E12" s="1705">
        <f t="shared" si="0"/>
        <v>2313648</v>
      </c>
      <c r="F12" s="1705">
        <f t="shared" si="0"/>
        <v>134116</v>
      </c>
      <c r="G12" s="1705">
        <f t="shared" si="0"/>
        <v>1249267</v>
      </c>
      <c r="H12" s="1705">
        <f t="shared" si="0"/>
        <v>0</v>
      </c>
      <c r="I12" s="1705">
        <f t="shared" si="0"/>
        <v>33527</v>
      </c>
      <c r="J12" s="1705">
        <f t="shared" si="0"/>
        <v>2751081</v>
      </c>
      <c r="K12" s="1686">
        <f t="shared" si="0"/>
        <v>33527</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1325836</v>
      </c>
      <c r="D16" s="466"/>
      <c r="E16" s="466"/>
      <c r="F16" s="466">
        <v>200000</v>
      </c>
      <c r="G16" s="466">
        <v>396000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1325836</v>
      </c>
      <c r="D18" s="1708">
        <f t="shared" ref="D18:K18" si="1">SUM(D14:D17)</f>
        <v>0</v>
      </c>
      <c r="E18" s="1708">
        <f t="shared" si="1"/>
        <v>0</v>
      </c>
      <c r="F18" s="1708">
        <f t="shared" si="1"/>
        <v>200000</v>
      </c>
      <c r="G18" s="1708">
        <f t="shared" si="1"/>
        <v>396000</v>
      </c>
      <c r="H18" s="1708">
        <f t="shared" si="1"/>
        <v>0</v>
      </c>
      <c r="I18" s="1708">
        <f t="shared" si="1"/>
        <v>0</v>
      </c>
      <c r="J18" s="1708">
        <f t="shared" si="1"/>
        <v>0</v>
      </c>
      <c r="K18" s="1709">
        <f t="shared" si="1"/>
        <v>0</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3980</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3" t="s">
        <v>594</v>
      </c>
      <c r="B39" s="556">
        <v>1354</v>
      </c>
      <c r="C39" s="489"/>
      <c r="D39" s="468"/>
      <c r="E39" s="468"/>
      <c r="F39" s="468"/>
      <c r="G39" s="468"/>
      <c r="H39" s="468"/>
      <c r="I39" s="468"/>
      <c r="J39" s="468"/>
      <c r="K39" s="468"/>
    </row>
    <row r="40" spans="1:11" ht="12.75" customHeight="1" thickBot="1" x14ac:dyDescent="0.25">
      <c r="A40" s="1706" t="s">
        <v>538</v>
      </c>
      <c r="B40" s="1707"/>
      <c r="C40" s="1686">
        <f>SUM(C20:C39)</f>
        <v>3980</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481">
        <v>48572</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4" t="s">
        <v>60</v>
      </c>
      <c r="B51" s="557">
        <v>1431</v>
      </c>
      <c r="C51" s="468"/>
      <c r="D51" s="468"/>
      <c r="E51" s="468"/>
      <c r="F51" s="466"/>
      <c r="G51" s="468"/>
      <c r="H51" s="468"/>
      <c r="I51" s="468"/>
      <c r="J51" s="468"/>
      <c r="K51" s="468"/>
    </row>
    <row r="52" spans="1:11" ht="12.75" customHeight="1" x14ac:dyDescent="0.2">
      <c r="A52" s="1494" t="s">
        <v>1106</v>
      </c>
      <c r="B52" s="557">
        <v>1432</v>
      </c>
      <c r="C52" s="468"/>
      <c r="D52" s="468"/>
      <c r="E52" s="468"/>
      <c r="F52" s="466"/>
      <c r="G52" s="468"/>
      <c r="H52" s="468"/>
      <c r="I52" s="468"/>
      <c r="J52" s="468"/>
      <c r="K52" s="468"/>
    </row>
    <row r="53" spans="1:11" ht="12.75" customHeight="1" x14ac:dyDescent="0.2">
      <c r="A53" s="1494" t="s">
        <v>61</v>
      </c>
      <c r="B53" s="557">
        <v>1433</v>
      </c>
      <c r="C53" s="468"/>
      <c r="D53" s="468"/>
      <c r="E53" s="468"/>
      <c r="F53" s="466"/>
      <c r="G53" s="468"/>
      <c r="H53" s="468"/>
      <c r="I53" s="468"/>
      <c r="J53" s="468"/>
      <c r="K53" s="468"/>
    </row>
    <row r="54" spans="1:11" ht="12.75" customHeight="1" x14ac:dyDescent="0.2">
      <c r="A54" s="1494" t="s">
        <v>62</v>
      </c>
      <c r="B54" s="557">
        <v>1434</v>
      </c>
      <c r="C54" s="468"/>
      <c r="D54" s="468"/>
      <c r="E54" s="468"/>
      <c r="F54" s="467"/>
      <c r="G54" s="468"/>
      <c r="H54" s="468"/>
      <c r="I54" s="468"/>
      <c r="J54" s="468"/>
      <c r="K54" s="468"/>
    </row>
    <row r="55" spans="1:11" ht="12.75" customHeight="1" x14ac:dyDescent="0.2">
      <c r="A55" s="1494" t="s">
        <v>63</v>
      </c>
      <c r="B55" s="557">
        <v>1441</v>
      </c>
      <c r="C55" s="468"/>
      <c r="D55" s="468"/>
      <c r="E55" s="468"/>
      <c r="F55" s="466"/>
      <c r="G55" s="468"/>
      <c r="H55" s="468"/>
      <c r="I55" s="468"/>
      <c r="J55" s="468"/>
      <c r="K55" s="468"/>
    </row>
    <row r="56" spans="1:11" ht="12.75" customHeight="1" x14ac:dyDescent="0.2">
      <c r="A56" s="1494" t="s">
        <v>1107</v>
      </c>
      <c r="B56" s="557">
        <v>1442</v>
      </c>
      <c r="C56" s="468"/>
      <c r="D56" s="468"/>
      <c r="E56" s="468"/>
      <c r="F56" s="466"/>
      <c r="G56" s="468"/>
      <c r="H56" s="468"/>
      <c r="I56" s="468"/>
      <c r="J56" s="468"/>
      <c r="K56" s="468"/>
    </row>
    <row r="57" spans="1:11" ht="12.75" customHeight="1" x14ac:dyDescent="0.2">
      <c r="A57" s="1494" t="s">
        <v>489</v>
      </c>
      <c r="B57" s="557">
        <v>1443</v>
      </c>
      <c r="C57" s="468"/>
      <c r="D57" s="468"/>
      <c r="E57" s="468"/>
      <c r="F57" s="466"/>
      <c r="G57" s="468"/>
      <c r="H57" s="468"/>
      <c r="I57" s="468"/>
      <c r="J57" s="468"/>
      <c r="K57" s="468"/>
    </row>
    <row r="58" spans="1:11" ht="12.75" customHeight="1" x14ac:dyDescent="0.2">
      <c r="A58" s="1494" t="s">
        <v>65</v>
      </c>
      <c r="B58" s="557">
        <v>1444</v>
      </c>
      <c r="C58" s="468"/>
      <c r="D58" s="468"/>
      <c r="E58" s="468"/>
      <c r="F58" s="466"/>
      <c r="G58" s="468"/>
      <c r="H58" s="468"/>
      <c r="I58" s="468"/>
      <c r="J58" s="468"/>
      <c r="K58" s="468"/>
    </row>
    <row r="59" spans="1:11" ht="12.75" customHeight="1" x14ac:dyDescent="0.2">
      <c r="A59" s="1494" t="s">
        <v>878</v>
      </c>
      <c r="B59" s="557">
        <v>1451</v>
      </c>
      <c r="C59" s="468"/>
      <c r="D59" s="468"/>
      <c r="E59" s="468"/>
      <c r="F59" s="466"/>
      <c r="G59" s="468"/>
      <c r="H59" s="468"/>
      <c r="I59" s="468"/>
      <c r="J59" s="468"/>
      <c r="K59" s="468"/>
    </row>
    <row r="60" spans="1:11" ht="12.75" customHeight="1" x14ac:dyDescent="0.2">
      <c r="A60" s="1494"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5"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48572</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56539</v>
      </c>
      <c r="D65" s="466">
        <v>22230</v>
      </c>
      <c r="E65" s="466">
        <v>6407</v>
      </c>
      <c r="F65" s="467">
        <v>36276</v>
      </c>
      <c r="G65" s="466">
        <f>11234-11</f>
        <v>11223</v>
      </c>
      <c r="H65" s="466">
        <v>9940</v>
      </c>
      <c r="I65" s="466">
        <v>52373</v>
      </c>
      <c r="J65" s="467">
        <v>12205</v>
      </c>
      <c r="K65" s="466">
        <v>12104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56539</v>
      </c>
      <c r="D67" s="1686">
        <f t="shared" ref="D67:K67" si="2">SUM(D65:D66)</f>
        <v>22230</v>
      </c>
      <c r="E67" s="1686">
        <f t="shared" si="2"/>
        <v>6407</v>
      </c>
      <c r="F67" s="1686">
        <f t="shared" si="2"/>
        <v>36276</v>
      </c>
      <c r="G67" s="1686">
        <f t="shared" si="2"/>
        <v>11223</v>
      </c>
      <c r="H67" s="1686">
        <f t="shared" si="2"/>
        <v>9940</v>
      </c>
      <c r="I67" s="1686">
        <f t="shared" si="2"/>
        <v>52373</v>
      </c>
      <c r="J67" s="1686">
        <f t="shared" si="2"/>
        <v>12205</v>
      </c>
      <c r="K67" s="1686">
        <f t="shared" si="2"/>
        <v>12104</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5167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548</v>
      </c>
      <c r="B75" s="1707"/>
      <c r="C75" s="1686">
        <f>SUM(C69:C74)</f>
        <v>5167</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516">
        <v>8036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8036</v>
      </c>
      <c r="D82" s="1686">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0</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3"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f>104976+19542</f>
        <v>124518</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v>600000</v>
      </c>
      <c r="I100" s="467"/>
      <c r="J100" s="489"/>
      <c r="K100" s="467"/>
    </row>
    <row r="101" spans="1:12" ht="12.75" customHeight="1" x14ac:dyDescent="0.2">
      <c r="A101" s="463" t="s">
        <v>246</v>
      </c>
      <c r="B101" s="470">
        <v>1970</v>
      </c>
      <c r="C101" s="489">
        <v>5190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v>0</v>
      </c>
      <c r="K106" s="467"/>
    </row>
    <row r="107" spans="1:12" ht="12.75" customHeight="1" x14ac:dyDescent="0.2">
      <c r="A107" s="463" t="s">
        <v>78</v>
      </c>
      <c r="B107" s="470">
        <v>1999</v>
      </c>
      <c r="C107" s="551">
        <f>69400+105510+911</f>
        <v>175821</v>
      </c>
      <c r="D107" s="466">
        <v>905</v>
      </c>
      <c r="E107" s="466"/>
      <c r="F107" s="466">
        <v>55983</v>
      </c>
      <c r="G107" s="466"/>
      <c r="H107" s="466"/>
      <c r="I107" s="466"/>
      <c r="J107" s="467">
        <f>74542+1516</f>
        <v>76058</v>
      </c>
      <c r="K107" s="466"/>
    </row>
    <row r="108" spans="1:12" ht="12.75" customHeight="1" thickBot="1" x14ac:dyDescent="0.25">
      <c r="A108" s="1706" t="s">
        <v>487</v>
      </c>
      <c r="B108" s="1710"/>
      <c r="C108" s="1705">
        <f>SUM(C95:C107)</f>
        <v>305529</v>
      </c>
      <c r="D108" s="1705">
        <f t="shared" ref="D108:K108" si="3">SUM(D95:D107)</f>
        <v>905</v>
      </c>
      <c r="E108" s="1705">
        <f t="shared" si="3"/>
        <v>0</v>
      </c>
      <c r="F108" s="1705">
        <f t="shared" si="3"/>
        <v>55983</v>
      </c>
      <c r="G108" s="1705">
        <f t="shared" si="3"/>
        <v>0</v>
      </c>
      <c r="H108" s="1705">
        <f t="shared" si="3"/>
        <v>600000</v>
      </c>
      <c r="I108" s="1705">
        <f t="shared" si="3"/>
        <v>0</v>
      </c>
      <c r="J108" s="1705">
        <f t="shared" si="3"/>
        <v>76058</v>
      </c>
      <c r="K108" s="1686">
        <f t="shared" si="3"/>
        <v>0</v>
      </c>
    </row>
    <row r="109" spans="1:12" ht="14.25" thickTop="1" thickBot="1" x14ac:dyDescent="0.25">
      <c r="A109" s="1711" t="s">
        <v>248</v>
      </c>
      <c r="B109" s="1712" t="s">
        <v>570</v>
      </c>
      <c r="C109" s="1713">
        <f t="shared" ref="C109:K109" si="4">SUM(C12,C18,C40,C63,C67,C75,C82,C93,C108,)</f>
        <v>3495594</v>
      </c>
      <c r="D109" s="1713">
        <f t="shared" si="4"/>
        <v>274613</v>
      </c>
      <c r="E109" s="1713">
        <f t="shared" si="4"/>
        <v>2320055</v>
      </c>
      <c r="F109" s="1713">
        <f t="shared" si="4"/>
        <v>474947</v>
      </c>
      <c r="G109" s="1713">
        <f t="shared" si="4"/>
        <v>1656490</v>
      </c>
      <c r="H109" s="1713">
        <f t="shared" si="4"/>
        <v>609940</v>
      </c>
      <c r="I109" s="1713">
        <f t="shared" si="4"/>
        <v>85900</v>
      </c>
      <c r="J109" s="1713">
        <f t="shared" si="4"/>
        <v>2839344</v>
      </c>
      <c r="K109" s="1700">
        <f t="shared" si="4"/>
        <v>45631</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1"/>
      <c r="F116" s="521"/>
      <c r="G116" s="521"/>
      <c r="H116" s="561"/>
      <c r="I116" s="468"/>
      <c r="J116" s="521"/>
      <c r="K116" s="521"/>
    </row>
    <row r="117" spans="1:11" ht="12.75" customHeight="1" x14ac:dyDescent="0.2">
      <c r="A117" s="463" t="s">
        <v>1667</v>
      </c>
      <c r="B117" s="562">
        <v>3001</v>
      </c>
      <c r="C117" s="516">
        <v>26387399</v>
      </c>
      <c r="D117" s="481">
        <v>2500000</v>
      </c>
      <c r="E117" s="466"/>
      <c r="F117" s="481">
        <v>1390000</v>
      </c>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8" t="s">
        <v>1931</v>
      </c>
      <c r="B120" s="562">
        <v>3030</v>
      </c>
      <c r="C120" s="551"/>
      <c r="D120" s="466"/>
      <c r="E120" s="466"/>
      <c r="F120" s="466"/>
      <c r="G120" s="466"/>
      <c r="H120" s="466"/>
      <c r="I120" s="468"/>
      <c r="J120" s="467"/>
      <c r="K120" s="466"/>
    </row>
    <row r="121" spans="1:11" x14ac:dyDescent="0.2">
      <c r="A121" s="1494" t="s">
        <v>1798</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26387399</v>
      </c>
      <c r="D122" s="1705">
        <f t="shared" si="5"/>
        <v>2500000</v>
      </c>
      <c r="E122" s="1705">
        <f t="shared" si="5"/>
        <v>0</v>
      </c>
      <c r="F122" s="1705">
        <f t="shared" si="5"/>
        <v>1390000</v>
      </c>
      <c r="G122" s="1705">
        <f t="shared" si="5"/>
        <v>0</v>
      </c>
      <c r="H122" s="1705">
        <f t="shared" si="5"/>
        <v>0</v>
      </c>
      <c r="I122" s="468"/>
      <c r="J122" s="1705">
        <f>SUM(J117:J121)</f>
        <v>0</v>
      </c>
      <c r="K122" s="1686">
        <f>SUM(K117:K121)</f>
        <v>0</v>
      </c>
    </row>
    <row r="123" spans="1:11" ht="15.75" customHeight="1" thickTop="1" x14ac:dyDescent="0.2">
      <c r="A123" s="1590" t="s">
        <v>1490</v>
      </c>
      <c r="B123" s="1595"/>
      <c r="C123" s="565"/>
      <c r="D123" s="509"/>
      <c r="E123" s="468"/>
      <c r="F123" s="566"/>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7">
        <v>3100</v>
      </c>
      <c r="C125" s="481">
        <v>722867</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172272</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895139</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22939</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22939</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598" t="s">
        <v>670</v>
      </c>
      <c r="B142" s="1599"/>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6" t="s">
        <v>1056</v>
      </c>
      <c r="B146" s="568">
        <v>3360</v>
      </c>
      <c r="C146" s="569">
        <v>41564</v>
      </c>
      <c r="D146" s="570"/>
      <c r="E146" s="509"/>
      <c r="F146" s="468"/>
      <c r="G146" s="571"/>
      <c r="H146" s="468"/>
      <c r="I146" s="468"/>
      <c r="J146" s="468"/>
      <c r="K146" s="468"/>
    </row>
    <row r="147" spans="1:11" ht="12.75" customHeight="1" thickBot="1" x14ac:dyDescent="0.25">
      <c r="A147" s="1497" t="s">
        <v>922</v>
      </c>
      <c r="B147" s="572">
        <v>3365</v>
      </c>
      <c r="C147" s="573"/>
      <c r="D147" s="532"/>
      <c r="E147" s="561"/>
      <c r="F147" s="468"/>
      <c r="G147" s="532"/>
      <c r="H147" s="468"/>
      <c r="I147" s="468"/>
      <c r="J147" s="468"/>
      <c r="K147" s="468"/>
    </row>
    <row r="148" spans="1:11" ht="12.75" customHeight="1" thickTop="1" thickBot="1" x14ac:dyDescent="0.25">
      <c r="A148" s="1498" t="s">
        <v>138</v>
      </c>
      <c r="B148" s="574">
        <v>3370</v>
      </c>
      <c r="C148" s="573">
        <v>22705</v>
      </c>
      <c r="D148" s="573"/>
      <c r="E148" s="509"/>
      <c r="F148" s="468"/>
      <c r="G148" s="468"/>
      <c r="H148" s="468"/>
      <c r="I148" s="468"/>
      <c r="J148" s="468"/>
      <c r="K148" s="468"/>
    </row>
    <row r="149" spans="1:11" ht="12.75" customHeight="1" thickTop="1" thickBot="1" x14ac:dyDescent="0.25">
      <c r="A149" s="1498" t="s">
        <v>767</v>
      </c>
      <c r="B149" s="574">
        <v>3410</v>
      </c>
      <c r="C149" s="575"/>
      <c r="D149" s="576"/>
      <c r="E149" s="577"/>
      <c r="F149" s="530"/>
      <c r="G149" s="530"/>
      <c r="H149" s="530"/>
      <c r="I149" s="530"/>
      <c r="J149" s="530"/>
      <c r="K149" s="530"/>
    </row>
    <row r="150" spans="1:11" ht="12.75" customHeight="1" thickTop="1" thickBot="1" x14ac:dyDescent="0.25">
      <c r="A150" s="1498" t="s">
        <v>68</v>
      </c>
      <c r="B150" s="574">
        <v>3499</v>
      </c>
      <c r="C150" s="575"/>
      <c r="D150" s="576"/>
      <c r="E150" s="532"/>
      <c r="F150" s="532"/>
      <c r="G150" s="532"/>
      <c r="H150" s="532"/>
      <c r="I150" s="532"/>
      <c r="J150" s="532"/>
      <c r="K150" s="532"/>
    </row>
    <row r="151" spans="1:11" ht="15.75" customHeight="1" thickTop="1" x14ac:dyDescent="0.2">
      <c r="A151" s="1598" t="s">
        <v>453</v>
      </c>
      <c r="B151" s="1600"/>
      <c r="C151" s="553"/>
      <c r="D151" s="468"/>
      <c r="E151" s="561"/>
      <c r="F151" s="468"/>
      <c r="G151" s="468"/>
      <c r="H151" s="468"/>
      <c r="I151" s="468"/>
      <c r="J151" s="468"/>
      <c r="K151" s="468"/>
    </row>
    <row r="152" spans="1:11" ht="12.75" customHeight="1" x14ac:dyDescent="0.2">
      <c r="A152" s="463" t="s">
        <v>1448</v>
      </c>
      <c r="B152" s="562">
        <v>3500</v>
      </c>
      <c r="C152" s="551"/>
      <c r="D152" s="466"/>
      <c r="E152" s="561"/>
      <c r="F152" s="466">
        <v>1724628</v>
      </c>
      <c r="G152" s="467"/>
      <c r="H152" s="468"/>
      <c r="I152" s="468"/>
      <c r="J152" s="468"/>
      <c r="K152" s="468"/>
    </row>
    <row r="153" spans="1:11" ht="12.75" customHeight="1" x14ac:dyDescent="0.2">
      <c r="A153" s="463" t="s">
        <v>1057</v>
      </c>
      <c r="B153" s="562">
        <v>3510</v>
      </c>
      <c r="C153" s="551"/>
      <c r="D153" s="466"/>
      <c r="E153" s="561"/>
      <c r="F153" s="466">
        <v>752013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2476641</v>
      </c>
      <c r="G155" s="1705">
        <f>SUM(G152:G154)</f>
        <v>0</v>
      </c>
      <c r="H155" s="468"/>
      <c r="I155" s="468"/>
      <c r="J155" s="468"/>
      <c r="K155" s="468"/>
    </row>
    <row r="156" spans="1:11" ht="12.75" customHeight="1" thickTop="1" thickBot="1" x14ac:dyDescent="0.25">
      <c r="A156" s="1498" t="s">
        <v>380</v>
      </c>
      <c r="B156" s="574">
        <v>3610</v>
      </c>
      <c r="C156" s="576"/>
      <c r="D156" s="468"/>
      <c r="E156" s="509"/>
      <c r="F156" s="468"/>
      <c r="G156" s="468"/>
      <c r="H156" s="468"/>
      <c r="I156" s="468"/>
      <c r="J156" s="468"/>
      <c r="K156" s="468"/>
    </row>
    <row r="157" spans="1:11" ht="12.75" customHeight="1" thickTop="1" thickBot="1" x14ac:dyDescent="0.25">
      <c r="A157" s="1498" t="s">
        <v>50</v>
      </c>
      <c r="B157" s="574">
        <v>3660</v>
      </c>
      <c r="C157" s="573"/>
      <c r="D157" s="578"/>
      <c r="E157" s="561"/>
      <c r="F157" s="578"/>
      <c r="G157" s="578"/>
      <c r="H157" s="468"/>
      <c r="I157" s="468"/>
      <c r="J157" s="468"/>
      <c r="K157" s="468"/>
    </row>
    <row r="158" spans="1:11" ht="12.75" customHeight="1" thickTop="1" thickBot="1" x14ac:dyDescent="0.25">
      <c r="A158" s="1498" t="s">
        <v>1000</v>
      </c>
      <c r="B158" s="574">
        <v>3695</v>
      </c>
      <c r="C158" s="576">
        <v>65201</v>
      </c>
      <c r="D158" s="468"/>
      <c r="E158" s="561"/>
      <c r="F158" s="576"/>
      <c r="G158" s="576"/>
      <c r="H158" s="468"/>
      <c r="I158" s="468"/>
      <c r="J158" s="468"/>
      <c r="K158" s="468"/>
    </row>
    <row r="159" spans="1:11" ht="12.75" customHeight="1" thickTop="1" thickBot="1" x14ac:dyDescent="0.25">
      <c r="A159" s="1498" t="s">
        <v>1051</v>
      </c>
      <c r="B159" s="574">
        <v>3705</v>
      </c>
      <c r="C159" s="576">
        <v>147560</v>
      </c>
      <c r="D159" s="578"/>
      <c r="E159" s="561"/>
      <c r="F159" s="576"/>
      <c r="G159" s="576">
        <v>3405</v>
      </c>
      <c r="H159" s="468"/>
      <c r="I159" s="468"/>
      <c r="J159" s="468"/>
      <c r="K159" s="468"/>
    </row>
    <row r="160" spans="1:11" ht="12.75" customHeight="1" thickTop="1" thickBot="1" x14ac:dyDescent="0.25">
      <c r="A160" s="1498" t="s">
        <v>39</v>
      </c>
      <c r="B160" s="574">
        <v>3766</v>
      </c>
      <c r="C160" s="576"/>
      <c r="D160" s="578"/>
      <c r="E160" s="561"/>
      <c r="F160" s="576"/>
      <c r="G160" s="531"/>
      <c r="H160" s="468"/>
      <c r="I160" s="468"/>
      <c r="J160" s="468"/>
      <c r="K160" s="468"/>
    </row>
    <row r="161" spans="1:11" ht="12.75" customHeight="1" thickTop="1" thickBot="1" x14ac:dyDescent="0.25">
      <c r="A161" s="1498" t="s">
        <v>985</v>
      </c>
      <c r="B161" s="574">
        <v>3767</v>
      </c>
      <c r="C161" s="576"/>
      <c r="D161" s="531"/>
      <c r="E161" s="561"/>
      <c r="F161" s="531"/>
      <c r="G161" s="531"/>
      <c r="H161" s="468"/>
      <c r="I161" s="468"/>
      <c r="J161" s="468"/>
      <c r="K161" s="468"/>
    </row>
    <row r="162" spans="1:11" ht="12.75" customHeight="1" thickTop="1" thickBot="1" x14ac:dyDescent="0.25">
      <c r="A162" s="1498" t="s">
        <v>986</v>
      </c>
      <c r="B162" s="574">
        <v>3775</v>
      </c>
      <c r="C162" s="576"/>
      <c r="D162" s="573"/>
      <c r="E162" s="530"/>
      <c r="F162" s="573"/>
      <c r="G162" s="532"/>
      <c r="H162" s="530"/>
      <c r="I162" s="468"/>
      <c r="J162" s="468"/>
      <c r="K162" s="530"/>
    </row>
    <row r="163" spans="1:11" ht="12.75" customHeight="1" thickTop="1" thickBot="1" x14ac:dyDescent="0.25">
      <c r="A163" s="1498" t="s">
        <v>1449</v>
      </c>
      <c r="B163" s="574">
        <v>3780</v>
      </c>
      <c r="C163" s="531"/>
      <c r="D163" s="530"/>
      <c r="E163" s="531"/>
      <c r="F163" s="531"/>
      <c r="G163" s="531"/>
      <c r="H163" s="531"/>
      <c r="I163" s="468"/>
      <c r="J163" s="468"/>
      <c r="K163" s="531"/>
    </row>
    <row r="164" spans="1:11" ht="12.75" customHeight="1" thickTop="1" thickBot="1" x14ac:dyDescent="0.25">
      <c r="A164" s="1498" t="s">
        <v>858</v>
      </c>
      <c r="B164" s="574">
        <v>3815</v>
      </c>
      <c r="C164" s="576"/>
      <c r="D164" s="468"/>
      <c r="E164" s="561"/>
      <c r="F164" s="576"/>
      <c r="G164" s="468"/>
      <c r="H164" s="468"/>
      <c r="I164" s="468"/>
      <c r="J164" s="468"/>
      <c r="K164" s="468"/>
    </row>
    <row r="165" spans="1:11" ht="12.75" customHeight="1" thickTop="1" thickBot="1" x14ac:dyDescent="0.25">
      <c r="A165" s="1498" t="s">
        <v>397</v>
      </c>
      <c r="B165" s="574">
        <v>3825</v>
      </c>
      <c r="C165" s="576"/>
      <c r="D165" s="468"/>
      <c r="E165" s="561"/>
      <c r="F165" s="576"/>
      <c r="G165" s="468"/>
      <c r="H165" s="468"/>
      <c r="I165" s="468"/>
      <c r="J165" s="468"/>
      <c r="K165" s="468"/>
    </row>
    <row r="166" spans="1:11" ht="12.75" customHeight="1" thickTop="1" thickBot="1" x14ac:dyDescent="0.25">
      <c r="A166" s="1498" t="s">
        <v>348</v>
      </c>
      <c r="B166" s="574">
        <v>3920</v>
      </c>
      <c r="C166" s="566"/>
      <c r="D166" s="578"/>
      <c r="E166" s="468"/>
      <c r="F166" s="566"/>
      <c r="G166" s="468"/>
      <c r="H166" s="530"/>
      <c r="I166" s="468"/>
      <c r="J166" s="468"/>
      <c r="K166" s="468"/>
    </row>
    <row r="167" spans="1:11" ht="12.75" customHeight="1" thickTop="1" thickBot="1" x14ac:dyDescent="0.25">
      <c r="A167" s="1498" t="s">
        <v>349</v>
      </c>
      <c r="B167" s="574">
        <v>3925</v>
      </c>
      <c r="C167" s="521"/>
      <c r="D167" s="576"/>
      <c r="E167" s="521"/>
      <c r="F167" s="521"/>
      <c r="G167" s="468"/>
      <c r="H167" s="531"/>
      <c r="I167" s="468"/>
      <c r="J167" s="468"/>
      <c r="K167" s="530"/>
    </row>
    <row r="168" spans="1:11" ht="14.25" thickTop="1" thickBot="1" x14ac:dyDescent="0.25">
      <c r="A168" s="1498" t="s">
        <v>70</v>
      </c>
      <c r="B168" s="574">
        <v>3999</v>
      </c>
      <c r="C168" s="579">
        <f>2494+31738+57681</f>
        <v>91913</v>
      </c>
      <c r="D168" s="580"/>
      <c r="E168" s="580"/>
      <c r="F168" s="580"/>
      <c r="G168" s="581"/>
      <c r="H168" s="582"/>
      <c r="I168" s="581"/>
      <c r="J168" s="581"/>
      <c r="K168" s="582"/>
    </row>
    <row r="169" spans="1:11" ht="12.75" customHeight="1" thickTop="1" thickBot="1" x14ac:dyDescent="0.25">
      <c r="A169" s="2259" t="s">
        <v>398</v>
      </c>
      <c r="B169" s="2260"/>
      <c r="C169" s="1720">
        <f t="shared" ref="C169:K169" si="6">SUM(C132,C141,C145,C146:C150,C155,C156:C167,C168)</f>
        <v>1287021</v>
      </c>
      <c r="D169" s="1720">
        <f t="shared" si="6"/>
        <v>0</v>
      </c>
      <c r="E169" s="1720">
        <f t="shared" si="6"/>
        <v>0</v>
      </c>
      <c r="F169" s="1720">
        <f t="shared" si="6"/>
        <v>2476641</v>
      </c>
      <c r="G169" s="1720">
        <f t="shared" si="6"/>
        <v>3405</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27674420</v>
      </c>
      <c r="D170" s="1713">
        <f t="shared" si="7"/>
        <v>2500000</v>
      </c>
      <c r="E170" s="1713">
        <f t="shared" si="7"/>
        <v>0</v>
      </c>
      <c r="F170" s="1713">
        <f t="shared" si="7"/>
        <v>3866641</v>
      </c>
      <c r="G170" s="1713">
        <f t="shared" si="7"/>
        <v>3405</v>
      </c>
      <c r="H170" s="1713">
        <f t="shared" si="7"/>
        <v>0</v>
      </c>
      <c r="I170" s="1713">
        <f t="shared" si="7"/>
        <v>0</v>
      </c>
      <c r="J170" s="1713">
        <f t="shared" si="7"/>
        <v>0</v>
      </c>
      <c r="K170" s="1700">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261" t="s">
        <v>1492</v>
      </c>
      <c r="B172" s="226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265" t="s">
        <v>1665</v>
      </c>
      <c r="B175" s="2266"/>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269" t="s">
        <v>1664</v>
      </c>
      <c r="B176" s="227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267" t="s">
        <v>785</v>
      </c>
      <c r="B181" s="2268"/>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263" t="s">
        <v>1800</v>
      </c>
      <c r="B182" s="2264"/>
      <c r="C182" s="584"/>
      <c r="D182" s="566"/>
      <c r="E182" s="509"/>
      <c r="F182" s="566"/>
      <c r="G182" s="566"/>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598" t="s">
        <v>455</v>
      </c>
      <c r="B189" s="1603"/>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1548300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657973</v>
      </c>
      <c r="D193" s="468"/>
      <c r="E193" s="561"/>
      <c r="F193" s="468"/>
      <c r="G193" s="585"/>
      <c r="H193" s="468"/>
      <c r="I193" s="468"/>
      <c r="J193" s="468"/>
      <c r="K193" s="468"/>
    </row>
    <row r="194" spans="1:11" ht="12.75" customHeight="1" x14ac:dyDescent="0.2">
      <c r="A194" s="463" t="s">
        <v>1451</v>
      </c>
      <c r="B194" s="470">
        <v>4225</v>
      </c>
      <c r="C194" s="551">
        <v>41639</v>
      </c>
      <c r="D194" s="468"/>
      <c r="E194" s="561"/>
      <c r="F194" s="468"/>
      <c r="G194" s="585"/>
      <c r="H194" s="468"/>
      <c r="I194" s="468"/>
      <c r="J194" s="468"/>
      <c r="K194" s="468"/>
    </row>
    <row r="195" spans="1:11" ht="12.75" customHeight="1" x14ac:dyDescent="0.2">
      <c r="A195" s="463" t="s">
        <v>1452</v>
      </c>
      <c r="B195" s="470">
        <v>4226</v>
      </c>
      <c r="C195" s="551">
        <v>173965</v>
      </c>
      <c r="D195" s="468"/>
      <c r="E195" s="561"/>
      <c r="F195" s="468"/>
      <c r="G195" s="585"/>
      <c r="H195" s="468"/>
      <c r="I195" s="468"/>
      <c r="J195" s="468"/>
      <c r="K195" s="468"/>
    </row>
    <row r="196" spans="1:11" ht="12.75" customHeight="1" x14ac:dyDescent="0.2">
      <c r="A196" s="463" t="s">
        <v>792</v>
      </c>
      <c r="B196" s="470">
        <v>4240</v>
      </c>
      <c r="C196" s="489">
        <v>39828</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2461705</v>
      </c>
      <c r="D198" s="468"/>
      <c r="E198" s="468"/>
      <c r="F198" s="468"/>
      <c r="G198" s="1686">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3307574</v>
      </c>
      <c r="D200" s="466"/>
      <c r="E200" s="468"/>
      <c r="F200" s="466"/>
      <c r="G200" s="466">
        <v>161355</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144086</v>
      </c>
      <c r="D203" s="466"/>
      <c r="E203" s="468"/>
      <c r="F203" s="466"/>
      <c r="G203" s="466">
        <v>82</v>
      </c>
      <c r="H203" s="468"/>
      <c r="I203" s="468"/>
      <c r="J203" s="468"/>
      <c r="K203" s="468"/>
    </row>
    <row r="204" spans="1:11" ht="12.75" customHeight="1" thickBot="1" x14ac:dyDescent="0.25">
      <c r="A204" s="1706" t="s">
        <v>400</v>
      </c>
      <c r="B204" s="1707"/>
      <c r="C204" s="1705">
        <f>SUM(C200:C203)</f>
        <v>3451660</v>
      </c>
      <c r="D204" s="1705">
        <f>SUM(D200:D203)</f>
        <v>0</v>
      </c>
      <c r="E204" s="468"/>
      <c r="F204" s="1705">
        <f>SUM(F200:F203)</f>
        <v>0</v>
      </c>
      <c r="G204" s="1705">
        <f>SUM(G200:G203)</f>
        <v>161437</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137889</v>
      </c>
      <c r="D206" s="466"/>
      <c r="E206" s="468"/>
      <c r="F206" s="466"/>
      <c r="G206" s="466">
        <v>6928</v>
      </c>
      <c r="H206" s="468"/>
      <c r="I206" s="468"/>
      <c r="J206" s="468"/>
      <c r="K206" s="468"/>
    </row>
    <row r="207" spans="1:11" ht="12.75" customHeight="1" x14ac:dyDescent="0.2">
      <c r="A207" s="463" t="s">
        <v>1453</v>
      </c>
      <c r="B207" s="470">
        <v>4421</v>
      </c>
      <c r="C207" s="551">
        <f>96485+357650+96683+385318</f>
        <v>936136</v>
      </c>
      <c r="D207" s="466"/>
      <c r="E207" s="468"/>
      <c r="F207" s="466"/>
      <c r="G207" s="466">
        <v>22582</v>
      </c>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1074025</v>
      </c>
      <c r="D209" s="1705">
        <f>SUM(D206:D208)</f>
        <v>0</v>
      </c>
      <c r="E209" s="468" t="s">
        <v>1169</v>
      </c>
      <c r="F209" s="1705">
        <f>SUM(F206:F208)</f>
        <v>0</v>
      </c>
      <c r="G209" s="1705">
        <f>SUM(G206:G208)</f>
        <v>29510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28058</v>
      </c>
      <c r="D211" s="466"/>
      <c r="E211" s="468"/>
      <c r="F211" s="466"/>
      <c r="G211" s="466">
        <v>3396</v>
      </c>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870676</v>
      </c>
      <c r="D213" s="466"/>
      <c r="E213" s="468"/>
      <c r="F213" s="466"/>
      <c r="G213" s="466">
        <v>77208</v>
      </c>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9"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898734</v>
      </c>
      <c r="D217" s="1705">
        <f>SUM(D211:D216)</f>
        <v>0</v>
      </c>
      <c r="E217" s="468"/>
      <c r="F217" s="1705">
        <f>SUM(F211:F216)</f>
        <v>0</v>
      </c>
      <c r="G217" s="1705">
        <f>SUM(G211:G216)</f>
        <v>80604</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120437</v>
      </c>
      <c r="D220" s="466"/>
      <c r="E220" s="468"/>
      <c r="F220" s="468"/>
      <c r="G220" s="466"/>
      <c r="H220" s="468"/>
      <c r="I220" s="468"/>
      <c r="J220" s="468"/>
      <c r="K220" s="468"/>
    </row>
    <row r="221" spans="1:11" ht="12.75" customHeight="1" thickBot="1" x14ac:dyDescent="0.25">
      <c r="A221" s="1721" t="s">
        <v>1085</v>
      </c>
      <c r="B221" s="1722"/>
      <c r="C221" s="1705">
        <f>SUM(C219:C220)</f>
        <v>120437</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0" t="s">
        <v>1421</v>
      </c>
      <c r="B253" s="588">
        <v>4901</v>
      </c>
      <c r="C253" s="589"/>
      <c r="D253" s="469"/>
      <c r="E253" s="468"/>
      <c r="F253" s="468"/>
      <c r="G253" s="468"/>
      <c r="H253" s="468"/>
      <c r="I253" s="468"/>
      <c r="J253" s="468"/>
      <c r="K253" s="468"/>
    </row>
    <row r="254" spans="1:11" ht="12.75" customHeight="1" thickTop="1" thickBot="1" x14ac:dyDescent="0.25">
      <c r="A254" s="1501" t="s">
        <v>1463</v>
      </c>
      <c r="B254" s="590">
        <v>4902</v>
      </c>
      <c r="C254" s="591">
        <v>686993</v>
      </c>
      <c r="D254" s="592"/>
      <c r="E254" s="469"/>
      <c r="F254" s="592"/>
      <c r="G254" s="592">
        <v>38951</v>
      </c>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289412</v>
      </c>
      <c r="D259" s="576"/>
      <c r="E259" s="468"/>
      <c r="F259" s="576"/>
      <c r="G259" s="576">
        <v>3012</v>
      </c>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1932</v>
      </c>
      <c r="B261" s="470">
        <v>4981</v>
      </c>
      <c r="C261" s="575"/>
      <c r="D261" s="576"/>
      <c r="E261" s="468"/>
      <c r="F261" s="576"/>
      <c r="G261" s="576"/>
      <c r="H261" s="468"/>
      <c r="I261" s="468"/>
      <c r="J261" s="468"/>
      <c r="K261" s="468"/>
    </row>
    <row r="262" spans="1:11" ht="12.75" customHeight="1" thickTop="1" thickBot="1" x14ac:dyDescent="0.25">
      <c r="A262" s="1929"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137785</v>
      </c>
      <c r="D263" s="576"/>
      <c r="E263" s="468"/>
      <c r="F263" s="576"/>
      <c r="G263" s="576"/>
      <c r="H263" s="468"/>
      <c r="I263" s="468"/>
      <c r="J263" s="468"/>
      <c r="K263" s="468"/>
    </row>
    <row r="264" spans="1:11" ht="12.75" customHeight="1" thickTop="1" thickBot="1" x14ac:dyDescent="0.25">
      <c r="A264" s="463" t="s">
        <v>377</v>
      </c>
      <c r="B264" s="470">
        <v>4992</v>
      </c>
      <c r="C264" s="575">
        <v>235438</v>
      </c>
      <c r="D264" s="576"/>
      <c r="E264" s="468"/>
      <c r="F264" s="576"/>
      <c r="G264" s="576"/>
      <c r="H264" s="468"/>
      <c r="I264" s="468"/>
      <c r="J264" s="468"/>
      <c r="K264" s="468"/>
    </row>
    <row r="265" spans="1:11" s="593" customFormat="1" ht="12.75" customHeight="1" thickTop="1" thickBot="1" x14ac:dyDescent="0.25">
      <c r="A265" s="563" t="s">
        <v>75</v>
      </c>
      <c r="B265" s="557">
        <v>4999</v>
      </c>
      <c r="C265" s="575">
        <f>173611+3280+500</f>
        <v>177391</v>
      </c>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9533580</v>
      </c>
      <c r="D266" s="1713">
        <f t="shared" si="10"/>
        <v>0</v>
      </c>
      <c r="E266" s="1713">
        <f t="shared" si="10"/>
        <v>0</v>
      </c>
      <c r="F266" s="1713">
        <f t="shared" si="10"/>
        <v>0</v>
      </c>
      <c r="G266" s="1713">
        <f t="shared" si="10"/>
        <v>313514</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9533580</v>
      </c>
      <c r="D267" s="1713">
        <f>SUM(D175,D181,D266)</f>
        <v>0</v>
      </c>
      <c r="E267" s="1713">
        <f>SUM(E175,E266)</f>
        <v>0</v>
      </c>
      <c r="F267" s="1713">
        <f t="shared" ref="F267:K267" si="11">SUM(F175,F181,F266)</f>
        <v>0</v>
      </c>
      <c r="G267" s="1713">
        <f t="shared" si="11"/>
        <v>313514</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40703594</v>
      </c>
      <c r="D268" s="1713">
        <f t="shared" si="12"/>
        <v>2774613</v>
      </c>
      <c r="E268" s="1713">
        <f t="shared" si="12"/>
        <v>2320055</v>
      </c>
      <c r="F268" s="1713">
        <f t="shared" si="12"/>
        <v>4341588</v>
      </c>
      <c r="G268" s="1713">
        <f t="shared" si="12"/>
        <v>1973409</v>
      </c>
      <c r="H268" s="1713">
        <f t="shared" si="12"/>
        <v>609940</v>
      </c>
      <c r="I268" s="1713">
        <f t="shared" si="12"/>
        <v>85900</v>
      </c>
      <c r="J268" s="1713">
        <f t="shared" si="12"/>
        <v>2839344</v>
      </c>
      <c r="K268" s="1700">
        <f t="shared" si="12"/>
        <v>45631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11" activePane="bottomLeft" state="frozen"/>
      <selection activeCell="B5" sqref="B5"/>
      <selection pane="bottomLeft" activeCell="B5" sqref="B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239"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27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279" t="s">
        <v>297</v>
      </c>
      <c r="B3" s="2280"/>
      <c r="C3" s="1546"/>
      <c r="D3" s="1546"/>
      <c r="E3" s="1546"/>
      <c r="F3" s="1546"/>
      <c r="G3" s="1546"/>
      <c r="H3" s="1546"/>
      <c r="I3" s="1546"/>
      <c r="J3" s="1546"/>
      <c r="K3" s="1547"/>
      <c r="L3" s="1548"/>
      <c r="M3" s="609"/>
      <c r="N3" s="609"/>
    </row>
    <row r="4" spans="1:14" s="259" customFormat="1" ht="15.75" customHeight="1" x14ac:dyDescent="0.2">
      <c r="A4" s="1604" t="s">
        <v>44</v>
      </c>
      <c r="B4" s="1605" t="s">
        <v>570</v>
      </c>
      <c r="C4" s="610"/>
      <c r="D4" s="610"/>
      <c r="E4" s="610"/>
      <c r="F4" s="610"/>
      <c r="G4" s="610"/>
      <c r="H4" s="610"/>
      <c r="I4" s="611"/>
      <c r="J4" s="610"/>
      <c r="K4" s="612"/>
      <c r="L4" s="610"/>
      <c r="M4" s="613"/>
      <c r="N4" s="613"/>
    </row>
    <row r="5" spans="1:14" x14ac:dyDescent="0.2">
      <c r="A5" s="1502" t="s">
        <v>961</v>
      </c>
      <c r="B5" s="614">
        <v>1100</v>
      </c>
      <c r="C5" s="466">
        <f>968+14775+6140560-359+3003195</f>
        <v>9159139</v>
      </c>
      <c r="D5" s="466">
        <f>12388+125+1905+1817265+753601-6</f>
        <v>2585278</v>
      </c>
      <c r="E5" s="466">
        <f>441396+1300+16</f>
        <v>442712</v>
      </c>
      <c r="F5" s="466">
        <f>59573+42904+2407+30484+203</f>
        <v>135571</v>
      </c>
      <c r="G5" s="466"/>
      <c r="H5" s="466"/>
      <c r="I5" s="467"/>
      <c r="J5" s="467"/>
      <c r="K5" s="1669">
        <f>SUM(C5:J5)</f>
        <v>12322700</v>
      </c>
      <c r="L5" s="466">
        <v>12962113</v>
      </c>
    </row>
    <row r="6" spans="1:14" x14ac:dyDescent="0.2">
      <c r="A6" s="1502" t="s">
        <v>1433</v>
      </c>
      <c r="B6" s="614" t="s">
        <v>1431</v>
      </c>
      <c r="C6" s="477"/>
      <c r="D6" s="477"/>
      <c r="E6" s="466"/>
      <c r="F6" s="477"/>
      <c r="G6" s="477"/>
      <c r="H6" s="477"/>
      <c r="I6" s="477"/>
      <c r="J6" s="477"/>
      <c r="K6" s="1669">
        <f>SUM(C6,E6)</f>
        <v>0</v>
      </c>
      <c r="L6" s="466"/>
    </row>
    <row r="7" spans="1:14" x14ac:dyDescent="0.2">
      <c r="A7" s="1502" t="s">
        <v>163</v>
      </c>
      <c r="B7" s="614" t="s">
        <v>967</v>
      </c>
      <c r="C7" s="467"/>
      <c r="D7" s="467"/>
      <c r="E7" s="467"/>
      <c r="F7" s="467"/>
      <c r="G7" s="467"/>
      <c r="H7" s="467"/>
      <c r="I7" s="467"/>
      <c r="J7" s="467"/>
      <c r="K7" s="1669">
        <f t="shared" ref="K7:K32" si="0">SUM(C7:J7)</f>
        <v>0</v>
      </c>
      <c r="L7" s="466"/>
    </row>
    <row r="8" spans="1:14" x14ac:dyDescent="0.2">
      <c r="A8" s="1502" t="s">
        <v>164</v>
      </c>
      <c r="B8" s="614">
        <v>1200</v>
      </c>
      <c r="C8" s="466">
        <f>28667+1320+4035483+2333+75+4590+1890</f>
        <v>4074358</v>
      </c>
      <c r="D8" s="466">
        <f>9303+170+1241370+301+10+592+244</f>
        <v>1251990</v>
      </c>
      <c r="E8" s="466">
        <v>25648</v>
      </c>
      <c r="F8" s="466">
        <v>75589</v>
      </c>
      <c r="G8" s="466"/>
      <c r="H8" s="466"/>
      <c r="I8" s="467">
        <v>22653</v>
      </c>
      <c r="J8" s="467"/>
      <c r="K8" s="1669">
        <f t="shared" si="0"/>
        <v>5450238</v>
      </c>
      <c r="L8" s="466">
        <v>5769305</v>
      </c>
    </row>
    <row r="9" spans="1:14" x14ac:dyDescent="0.2">
      <c r="A9" s="1502" t="s">
        <v>721</v>
      </c>
      <c r="B9" s="614" t="s">
        <v>968</v>
      </c>
      <c r="C9" s="467">
        <f>296873+11875</f>
        <v>308748</v>
      </c>
      <c r="D9" s="467">
        <f>92730+1531</f>
        <v>94261</v>
      </c>
      <c r="E9" s="467"/>
      <c r="F9" s="467">
        <f>8223-1100</f>
        <v>7123</v>
      </c>
      <c r="G9" s="467"/>
      <c r="H9" s="467"/>
      <c r="I9" s="467">
        <v>36345</v>
      </c>
      <c r="J9" s="467"/>
      <c r="K9" s="1669">
        <f t="shared" si="0"/>
        <v>446477</v>
      </c>
      <c r="L9" s="466">
        <v>409813</v>
      </c>
    </row>
    <row r="10" spans="1:14" x14ac:dyDescent="0.2">
      <c r="A10" s="1502" t="s">
        <v>722</v>
      </c>
      <c r="B10" s="614">
        <v>1250</v>
      </c>
      <c r="C10" s="466">
        <v>1393251</v>
      </c>
      <c r="D10" s="466">
        <v>422761</v>
      </c>
      <c r="E10" s="466">
        <v>176881</v>
      </c>
      <c r="F10" s="466">
        <v>438080</v>
      </c>
      <c r="G10" s="466"/>
      <c r="H10" s="466"/>
      <c r="I10" s="467">
        <v>46772</v>
      </c>
      <c r="J10" s="467"/>
      <c r="K10" s="1669">
        <f t="shared" si="0"/>
        <v>2477745</v>
      </c>
      <c r="L10" s="466">
        <v>2708899</v>
      </c>
    </row>
    <row r="11" spans="1:14" x14ac:dyDescent="0.2">
      <c r="A11" s="1502" t="s">
        <v>1130</v>
      </c>
      <c r="B11" s="614" t="s">
        <v>161</v>
      </c>
      <c r="C11" s="467"/>
      <c r="D11" s="467"/>
      <c r="E11" s="467"/>
      <c r="F11" s="467"/>
      <c r="G11" s="467"/>
      <c r="H11" s="467"/>
      <c r="I11" s="467"/>
      <c r="J11" s="467"/>
      <c r="K11" s="1669">
        <f t="shared" si="0"/>
        <v>0</v>
      </c>
      <c r="L11" s="466"/>
    </row>
    <row r="12" spans="1:14" x14ac:dyDescent="0.2">
      <c r="A12" s="1502" t="s">
        <v>962</v>
      </c>
      <c r="B12" s="614">
        <v>1300</v>
      </c>
      <c r="C12" s="466"/>
      <c r="D12" s="466"/>
      <c r="E12" s="466"/>
      <c r="F12" s="466"/>
      <c r="G12" s="466"/>
      <c r="H12" s="466"/>
      <c r="I12" s="467"/>
      <c r="J12" s="467"/>
      <c r="K12" s="1669">
        <f t="shared" si="0"/>
        <v>0</v>
      </c>
      <c r="L12" s="466"/>
    </row>
    <row r="13" spans="1:14" x14ac:dyDescent="0.2">
      <c r="A13" s="1502" t="s">
        <v>723</v>
      </c>
      <c r="B13" s="614">
        <v>1400</v>
      </c>
      <c r="C13" s="466">
        <v>6880</v>
      </c>
      <c r="D13" s="466">
        <v>0</v>
      </c>
      <c r="E13" s="466">
        <v>5481</v>
      </c>
      <c r="F13" s="466">
        <f>65815+2568+7966+3900+642</f>
        <v>80891</v>
      </c>
      <c r="G13" s="466"/>
      <c r="H13" s="466"/>
      <c r="I13" s="467">
        <v>9636</v>
      </c>
      <c r="J13" s="467"/>
      <c r="K13" s="1669">
        <f t="shared" si="0"/>
        <v>102888</v>
      </c>
      <c r="L13" s="466">
        <v>140063</v>
      </c>
    </row>
    <row r="14" spans="1:14" x14ac:dyDescent="0.2">
      <c r="A14" s="1502" t="s">
        <v>963</v>
      </c>
      <c r="B14" s="614">
        <v>1500</v>
      </c>
      <c r="C14" s="466">
        <f>254927+28922+12063+12965+18588+1292+1438</f>
        <v>330195</v>
      </c>
      <c r="D14" s="466">
        <f>37320+5130+2721+967+3081+638+403</f>
        <v>50260</v>
      </c>
      <c r="E14" s="466">
        <f>115652+7462+10247+17755</f>
        <v>151116</v>
      </c>
      <c r="F14" s="466">
        <f>84208+7381+6580+5100</f>
        <v>103269</v>
      </c>
      <c r="G14" s="466"/>
      <c r="H14" s="466">
        <f>18732+2039+3577</f>
        <v>24348</v>
      </c>
      <c r="I14" s="467"/>
      <c r="J14" s="467"/>
      <c r="K14" s="1669">
        <f t="shared" si="0"/>
        <v>659188</v>
      </c>
      <c r="L14" s="466">
        <v>913329</v>
      </c>
    </row>
    <row r="15" spans="1:14" x14ac:dyDescent="0.2">
      <c r="A15" s="1502" t="s">
        <v>964</v>
      </c>
      <c r="B15" s="614">
        <v>1600</v>
      </c>
      <c r="C15" s="466">
        <v>5450</v>
      </c>
      <c r="D15" s="466">
        <v>703</v>
      </c>
      <c r="E15" s="466"/>
      <c r="F15" s="466"/>
      <c r="G15" s="466"/>
      <c r="H15" s="466"/>
      <c r="I15" s="467"/>
      <c r="J15" s="467"/>
      <c r="K15" s="1669">
        <f t="shared" si="0"/>
        <v>6153</v>
      </c>
      <c r="L15" s="466">
        <v>6155</v>
      </c>
    </row>
    <row r="16" spans="1:14" x14ac:dyDescent="0.2">
      <c r="A16" s="1502" t="s">
        <v>987</v>
      </c>
      <c r="B16" s="614" t="s">
        <v>424</v>
      </c>
      <c r="C16" s="466"/>
      <c r="D16" s="466"/>
      <c r="E16" s="466"/>
      <c r="F16" s="466"/>
      <c r="G16" s="466"/>
      <c r="H16" s="466"/>
      <c r="I16" s="467"/>
      <c r="J16" s="467"/>
      <c r="K16" s="1669">
        <f t="shared" si="0"/>
        <v>0</v>
      </c>
      <c r="L16" s="466"/>
    </row>
    <row r="17" spans="1:12" x14ac:dyDescent="0.2">
      <c r="A17" s="1502" t="s">
        <v>724</v>
      </c>
      <c r="B17" s="614" t="s">
        <v>162</v>
      </c>
      <c r="C17" s="467"/>
      <c r="D17" s="467"/>
      <c r="E17" s="467"/>
      <c r="F17" s="467"/>
      <c r="G17" s="467"/>
      <c r="H17" s="467"/>
      <c r="I17" s="467"/>
      <c r="J17" s="467"/>
      <c r="K17" s="1669">
        <f t="shared" si="0"/>
        <v>0</v>
      </c>
      <c r="L17" s="466"/>
    </row>
    <row r="18" spans="1:12" x14ac:dyDescent="0.2">
      <c r="A18" s="1502" t="s">
        <v>1087</v>
      </c>
      <c r="B18" s="614">
        <v>1800</v>
      </c>
      <c r="C18" s="466"/>
      <c r="D18" s="466"/>
      <c r="E18" s="466"/>
      <c r="F18" s="466"/>
      <c r="G18" s="466"/>
      <c r="H18" s="466">
        <v>945</v>
      </c>
      <c r="I18" s="467"/>
      <c r="J18" s="467"/>
      <c r="K18" s="1669">
        <f t="shared" si="0"/>
        <v>945</v>
      </c>
      <c r="L18" s="466">
        <v>2000</v>
      </c>
    </row>
    <row r="19" spans="1:12" x14ac:dyDescent="0.2">
      <c r="A19" s="1502" t="s">
        <v>134</v>
      </c>
      <c r="B19" s="614">
        <v>1900</v>
      </c>
      <c r="C19" s="466"/>
      <c r="D19" s="466"/>
      <c r="E19" s="466"/>
      <c r="F19" s="466"/>
      <c r="G19" s="466"/>
      <c r="H19" s="466"/>
      <c r="I19" s="467"/>
      <c r="J19" s="467"/>
      <c r="K19" s="1669">
        <f t="shared" si="0"/>
        <v>0</v>
      </c>
      <c r="L19" s="466"/>
    </row>
    <row r="20" spans="1:12" x14ac:dyDescent="0.2">
      <c r="A20" s="1503" t="s">
        <v>738</v>
      </c>
      <c r="B20" s="602" t="s">
        <v>725</v>
      </c>
      <c r="C20" s="477"/>
      <c r="D20" s="477"/>
      <c r="E20" s="477"/>
      <c r="F20" s="477"/>
      <c r="G20" s="477"/>
      <c r="H20" s="474">
        <v>9500</v>
      </c>
      <c r="I20" s="616"/>
      <c r="J20" s="475"/>
      <c r="K20" s="1669">
        <f t="shared" si="0"/>
        <v>9500</v>
      </c>
      <c r="L20" s="471">
        <v>20000</v>
      </c>
    </row>
    <row r="21" spans="1:12" x14ac:dyDescent="0.2">
      <c r="A21" s="1503" t="s">
        <v>739</v>
      </c>
      <c r="B21" s="602" t="s">
        <v>726</v>
      </c>
      <c r="C21" s="477"/>
      <c r="D21" s="477"/>
      <c r="E21" s="477"/>
      <c r="F21" s="477"/>
      <c r="G21" s="477"/>
      <c r="H21" s="474">
        <v>32010</v>
      </c>
      <c r="I21" s="616"/>
      <c r="J21" s="477"/>
      <c r="K21" s="1669">
        <f t="shared" si="0"/>
        <v>32010</v>
      </c>
      <c r="L21" s="471">
        <v>1700000</v>
      </c>
    </row>
    <row r="22" spans="1:12" x14ac:dyDescent="0.2">
      <c r="A22" s="1503" t="s">
        <v>740</v>
      </c>
      <c r="B22" s="602" t="s">
        <v>727</v>
      </c>
      <c r="C22" s="477"/>
      <c r="D22" s="477"/>
      <c r="E22" s="477"/>
      <c r="F22" s="477"/>
      <c r="G22" s="477"/>
      <c r="H22" s="474">
        <v>1615728</v>
      </c>
      <c r="I22" s="616"/>
      <c r="J22" s="477"/>
      <c r="K22" s="1669">
        <f t="shared" si="0"/>
        <v>1615728</v>
      </c>
      <c r="L22" s="471">
        <v>140000</v>
      </c>
    </row>
    <row r="23" spans="1:12" x14ac:dyDescent="0.2">
      <c r="A23" s="1503" t="s">
        <v>741</v>
      </c>
      <c r="B23" s="602" t="s">
        <v>728</v>
      </c>
      <c r="C23" s="477"/>
      <c r="D23" s="477"/>
      <c r="E23" s="477"/>
      <c r="F23" s="477"/>
      <c r="G23" s="477"/>
      <c r="H23" s="474">
        <v>124467</v>
      </c>
      <c r="I23" s="616"/>
      <c r="J23" s="477"/>
      <c r="K23" s="1669">
        <f t="shared" si="0"/>
        <v>124467</v>
      </c>
      <c r="L23" s="471"/>
    </row>
    <row r="24" spans="1:12" ht="12.75" customHeight="1" x14ac:dyDescent="0.2">
      <c r="A24" s="1503" t="s">
        <v>742</v>
      </c>
      <c r="B24" s="602" t="s">
        <v>729</v>
      </c>
      <c r="C24" s="477"/>
      <c r="D24" s="477"/>
      <c r="E24" s="477"/>
      <c r="F24" s="477"/>
      <c r="G24" s="477"/>
      <c r="H24" s="474"/>
      <c r="I24" s="616"/>
      <c r="J24" s="477"/>
      <c r="K24" s="1669">
        <f t="shared" si="0"/>
        <v>0</v>
      </c>
      <c r="L24" s="471"/>
    </row>
    <row r="25" spans="1:12" ht="12.75" customHeight="1" x14ac:dyDescent="0.2">
      <c r="A25" s="1503" t="s">
        <v>802</v>
      </c>
      <c r="B25" s="602" t="s">
        <v>730</v>
      </c>
      <c r="C25" s="477"/>
      <c r="D25" s="477"/>
      <c r="E25" s="477"/>
      <c r="F25" s="477"/>
      <c r="G25" s="477"/>
      <c r="H25" s="474"/>
      <c r="I25" s="616"/>
      <c r="J25" s="477"/>
      <c r="K25" s="1669">
        <f t="shared" si="0"/>
        <v>0</v>
      </c>
      <c r="L25" s="471"/>
    </row>
    <row r="26" spans="1:12" x14ac:dyDescent="0.2">
      <c r="A26" s="1503" t="s">
        <v>622</v>
      </c>
      <c r="B26" s="602" t="s">
        <v>731</v>
      </c>
      <c r="C26" s="477"/>
      <c r="D26" s="477"/>
      <c r="E26" s="477"/>
      <c r="F26" s="477"/>
      <c r="G26" s="477"/>
      <c r="H26" s="474"/>
      <c r="I26" s="616"/>
      <c r="J26" s="477"/>
      <c r="K26" s="1669">
        <f t="shared" si="0"/>
        <v>0</v>
      </c>
      <c r="L26" s="471"/>
    </row>
    <row r="27" spans="1:12" x14ac:dyDescent="0.2">
      <c r="A27" s="1503" t="s">
        <v>623</v>
      </c>
      <c r="B27" s="602" t="s">
        <v>732</v>
      </c>
      <c r="C27" s="477"/>
      <c r="D27" s="477"/>
      <c r="E27" s="477"/>
      <c r="F27" s="477"/>
      <c r="G27" s="477"/>
      <c r="H27" s="474"/>
      <c r="I27" s="616"/>
      <c r="J27" s="477"/>
      <c r="K27" s="1669">
        <f t="shared" si="0"/>
        <v>0</v>
      </c>
      <c r="L27" s="471"/>
    </row>
    <row r="28" spans="1:12" x14ac:dyDescent="0.2">
      <c r="A28" s="1503" t="s">
        <v>150</v>
      </c>
      <c r="B28" s="602" t="s">
        <v>733</v>
      </c>
      <c r="C28" s="477"/>
      <c r="D28" s="477"/>
      <c r="E28" s="477"/>
      <c r="F28" s="477"/>
      <c r="G28" s="477"/>
      <c r="H28" s="474"/>
      <c r="I28" s="616"/>
      <c r="J28" s="477"/>
      <c r="K28" s="1669">
        <f t="shared" si="0"/>
        <v>0</v>
      </c>
      <c r="L28" s="471"/>
    </row>
    <row r="29" spans="1:12" x14ac:dyDescent="0.2">
      <c r="A29" s="1503" t="s">
        <v>151</v>
      </c>
      <c r="B29" s="602" t="s">
        <v>734</v>
      </c>
      <c r="C29" s="477"/>
      <c r="D29" s="477"/>
      <c r="E29" s="477"/>
      <c r="F29" s="477"/>
      <c r="G29" s="477"/>
      <c r="H29" s="474"/>
      <c r="I29" s="616"/>
      <c r="J29" s="477"/>
      <c r="K29" s="1669">
        <f t="shared" si="0"/>
        <v>0</v>
      </c>
      <c r="L29" s="471"/>
    </row>
    <row r="30" spans="1:12" x14ac:dyDescent="0.2">
      <c r="A30" s="1503" t="s">
        <v>152</v>
      </c>
      <c r="B30" s="602" t="s">
        <v>735</v>
      </c>
      <c r="C30" s="477"/>
      <c r="D30" s="477"/>
      <c r="E30" s="477"/>
      <c r="F30" s="477"/>
      <c r="G30" s="477"/>
      <c r="H30" s="474"/>
      <c r="I30" s="616"/>
      <c r="J30" s="477"/>
      <c r="K30" s="1669">
        <f t="shared" si="0"/>
        <v>0</v>
      </c>
      <c r="L30" s="471"/>
    </row>
    <row r="31" spans="1:12" x14ac:dyDescent="0.2">
      <c r="A31" s="1503" t="s">
        <v>153</v>
      </c>
      <c r="B31" s="602" t="s">
        <v>736</v>
      </c>
      <c r="C31" s="477"/>
      <c r="D31" s="477"/>
      <c r="E31" s="477"/>
      <c r="F31" s="477"/>
      <c r="G31" s="477"/>
      <c r="H31" s="474"/>
      <c r="I31" s="616"/>
      <c r="J31" s="477"/>
      <c r="K31" s="1669">
        <f t="shared" si="0"/>
        <v>0</v>
      </c>
      <c r="L31" s="471"/>
    </row>
    <row r="32" spans="1:12" x14ac:dyDescent="0.2">
      <c r="A32" s="1504"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15278021</v>
      </c>
      <c r="D33" s="1668">
        <f t="shared" ref="D33:L33" si="1">SUM(D5:D32)</f>
        <v>4405253</v>
      </c>
      <c r="E33" s="1668">
        <f t="shared" si="1"/>
        <v>801838</v>
      </c>
      <c r="F33" s="1668">
        <f t="shared" si="1"/>
        <v>840523</v>
      </c>
      <c r="G33" s="1668">
        <f t="shared" si="1"/>
        <v>0</v>
      </c>
      <c r="H33" s="1668">
        <f t="shared" si="1"/>
        <v>1806998</v>
      </c>
      <c r="I33" s="1668">
        <f t="shared" si="1"/>
        <v>115406</v>
      </c>
      <c r="J33" s="1668">
        <f t="shared" si="1"/>
        <v>0</v>
      </c>
      <c r="K33" s="1668">
        <f t="shared" si="1"/>
        <v>23248039</v>
      </c>
      <c r="L33" s="1668">
        <f t="shared" si="1"/>
        <v>24771677</v>
      </c>
    </row>
    <row r="34" spans="1:14" s="620" customFormat="1" ht="15.75" customHeight="1" thickTop="1" x14ac:dyDescent="0.2">
      <c r="A34" s="1606" t="s">
        <v>46</v>
      </c>
      <c r="B34" s="160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2" t="s">
        <v>1089</v>
      </c>
      <c r="B36" s="614">
        <v>2110</v>
      </c>
      <c r="C36" s="481">
        <v>911647</v>
      </c>
      <c r="D36" s="481">
        <v>213756</v>
      </c>
      <c r="E36" s="481">
        <v>4595</v>
      </c>
      <c r="F36" s="481">
        <v>2365</v>
      </c>
      <c r="G36" s="481"/>
      <c r="H36" s="481"/>
      <c r="I36" s="467"/>
      <c r="J36" s="467"/>
      <c r="K36" s="1669">
        <f t="shared" ref="K36:K41" si="2">SUM(C36:J36)</f>
        <v>1132363</v>
      </c>
      <c r="L36" s="466">
        <v>1465731</v>
      </c>
    </row>
    <row r="37" spans="1:14" x14ac:dyDescent="0.2">
      <c r="A37" s="1502" t="s">
        <v>1090</v>
      </c>
      <c r="B37" s="614">
        <v>2120</v>
      </c>
      <c r="C37" s="466">
        <v>241544</v>
      </c>
      <c r="D37" s="466">
        <v>65012</v>
      </c>
      <c r="E37" s="466"/>
      <c r="F37" s="466"/>
      <c r="G37" s="466"/>
      <c r="H37" s="466"/>
      <c r="I37" s="467"/>
      <c r="J37" s="467"/>
      <c r="K37" s="1669">
        <f t="shared" si="2"/>
        <v>306556</v>
      </c>
      <c r="L37" s="466">
        <v>328255</v>
      </c>
    </row>
    <row r="38" spans="1:14" x14ac:dyDescent="0.2">
      <c r="A38" s="1502" t="s">
        <v>198</v>
      </c>
      <c r="B38" s="614">
        <v>2130</v>
      </c>
      <c r="C38" s="466">
        <v>361735</v>
      </c>
      <c r="D38" s="466">
        <v>70961</v>
      </c>
      <c r="E38" s="466">
        <v>83731</v>
      </c>
      <c r="F38" s="466">
        <v>8769</v>
      </c>
      <c r="G38" s="466"/>
      <c r="H38" s="466"/>
      <c r="I38" s="467"/>
      <c r="J38" s="467"/>
      <c r="K38" s="1669">
        <f t="shared" si="2"/>
        <v>525196</v>
      </c>
      <c r="L38" s="466">
        <v>582796</v>
      </c>
    </row>
    <row r="39" spans="1:14" x14ac:dyDescent="0.2">
      <c r="A39" s="1502" t="s">
        <v>199</v>
      </c>
      <c r="B39" s="614">
        <v>2140</v>
      </c>
      <c r="C39" s="466">
        <v>361602</v>
      </c>
      <c r="D39" s="466">
        <v>102990</v>
      </c>
      <c r="E39" s="466">
        <v>2625</v>
      </c>
      <c r="F39" s="466">
        <v>2620</v>
      </c>
      <c r="G39" s="466"/>
      <c r="H39" s="466"/>
      <c r="I39" s="467"/>
      <c r="J39" s="467"/>
      <c r="K39" s="1669">
        <f t="shared" si="2"/>
        <v>469837</v>
      </c>
      <c r="L39" s="466">
        <v>515264</v>
      </c>
    </row>
    <row r="40" spans="1:14" x14ac:dyDescent="0.2">
      <c r="A40" s="1502" t="s">
        <v>200</v>
      </c>
      <c r="B40" s="614">
        <v>2150</v>
      </c>
      <c r="C40" s="466">
        <v>323232</v>
      </c>
      <c r="D40" s="466">
        <v>97470</v>
      </c>
      <c r="E40" s="466"/>
      <c r="F40" s="466"/>
      <c r="G40" s="466"/>
      <c r="H40" s="466"/>
      <c r="I40" s="467"/>
      <c r="J40" s="467"/>
      <c r="K40" s="1669">
        <f t="shared" si="2"/>
        <v>420702</v>
      </c>
      <c r="L40" s="466">
        <v>435560</v>
      </c>
    </row>
    <row r="41" spans="1:14" x14ac:dyDescent="0.2">
      <c r="A41" s="1502" t="s">
        <v>1669</v>
      </c>
      <c r="B41" s="614">
        <v>2190</v>
      </c>
      <c r="C41" s="466"/>
      <c r="D41" s="466"/>
      <c r="E41" s="466"/>
      <c r="F41" s="466"/>
      <c r="G41" s="466"/>
      <c r="H41" s="466"/>
      <c r="I41" s="467"/>
      <c r="J41" s="467"/>
      <c r="K41" s="1669">
        <f t="shared" si="2"/>
        <v>0</v>
      </c>
      <c r="L41" s="466"/>
    </row>
    <row r="42" spans="1:14" ht="12.75" customHeight="1" thickBot="1" x14ac:dyDescent="0.25">
      <c r="A42" s="1666" t="s">
        <v>560</v>
      </c>
      <c r="B42" s="1667" t="s">
        <v>716</v>
      </c>
      <c r="C42" s="1668">
        <f>SUM(C36:C41)</f>
        <v>2199760</v>
      </c>
      <c r="D42" s="1668">
        <f t="shared" ref="D42:L42" si="3">SUM(D36:D41)</f>
        <v>550189</v>
      </c>
      <c r="E42" s="1668">
        <f t="shared" si="3"/>
        <v>90951</v>
      </c>
      <c r="F42" s="1668">
        <f t="shared" si="3"/>
        <v>13754</v>
      </c>
      <c r="G42" s="1668">
        <f t="shared" si="3"/>
        <v>0</v>
      </c>
      <c r="H42" s="1668">
        <f t="shared" si="3"/>
        <v>0</v>
      </c>
      <c r="I42" s="1668">
        <f t="shared" si="3"/>
        <v>0</v>
      </c>
      <c r="J42" s="1668">
        <f t="shared" si="3"/>
        <v>0</v>
      </c>
      <c r="K42" s="1668">
        <f t="shared" si="3"/>
        <v>2854654</v>
      </c>
      <c r="L42" s="1668">
        <f t="shared" si="3"/>
        <v>3327606</v>
      </c>
    </row>
    <row r="43" spans="1:14" ht="15.75" customHeight="1" thickTop="1" x14ac:dyDescent="0.2">
      <c r="A43" s="624" t="s">
        <v>592</v>
      </c>
      <c r="B43" s="625"/>
      <c r="C43" s="626"/>
      <c r="D43" s="626"/>
      <c r="E43" s="626"/>
      <c r="F43" s="626"/>
      <c r="G43" s="626"/>
      <c r="H43" s="626"/>
      <c r="I43" s="616"/>
      <c r="J43" s="616"/>
      <c r="K43" s="626"/>
      <c r="L43" s="626"/>
    </row>
    <row r="44" spans="1:14" x14ac:dyDescent="0.2">
      <c r="A44" s="1502" t="s">
        <v>814</v>
      </c>
      <c r="B44" s="614">
        <v>2210</v>
      </c>
      <c r="C44" s="481">
        <v>882253</v>
      </c>
      <c r="D44" s="481">
        <v>217586</v>
      </c>
      <c r="E44" s="481">
        <v>223418</v>
      </c>
      <c r="F44" s="481">
        <v>193885</v>
      </c>
      <c r="G44" s="481"/>
      <c r="H44" s="481"/>
      <c r="I44" s="467"/>
      <c r="J44" s="467"/>
      <c r="K44" s="1670">
        <f>SUM(C44:J44)</f>
        <v>1517142</v>
      </c>
      <c r="L44" s="481">
        <v>2304905</v>
      </c>
    </row>
    <row r="45" spans="1:14" x14ac:dyDescent="0.2">
      <c r="A45" s="1502" t="s">
        <v>815</v>
      </c>
      <c r="B45" s="614">
        <v>2220</v>
      </c>
      <c r="C45" s="466">
        <v>23167</v>
      </c>
      <c r="D45" s="466">
        <v>6480</v>
      </c>
      <c r="E45" s="466"/>
      <c r="F45" s="466">
        <v>3257</v>
      </c>
      <c r="G45" s="466"/>
      <c r="H45" s="466"/>
      <c r="I45" s="467"/>
      <c r="J45" s="467"/>
      <c r="K45" s="1670">
        <f>SUM(C45:J45)</f>
        <v>32904</v>
      </c>
      <c r="L45" s="466">
        <v>42692</v>
      </c>
    </row>
    <row r="46" spans="1:14" x14ac:dyDescent="0.2">
      <c r="A46" s="1502" t="s">
        <v>816</v>
      </c>
      <c r="B46" s="614">
        <v>2230</v>
      </c>
      <c r="C46" s="466"/>
      <c r="D46" s="466"/>
      <c r="E46" s="466">
        <v>3226</v>
      </c>
      <c r="F46" s="466">
        <v>11420</v>
      </c>
      <c r="G46" s="466"/>
      <c r="H46" s="466"/>
      <c r="I46" s="467"/>
      <c r="J46" s="467"/>
      <c r="K46" s="1670">
        <f>SUM(C46:J46)</f>
        <v>14646</v>
      </c>
      <c r="L46" s="466">
        <v>23691</v>
      </c>
    </row>
    <row r="47" spans="1:14" ht="12.75" customHeight="1" thickBot="1" x14ac:dyDescent="0.25">
      <c r="A47" s="1666" t="s">
        <v>561</v>
      </c>
      <c r="B47" s="1667" t="s">
        <v>32</v>
      </c>
      <c r="C47" s="1668">
        <f>SUM(C44:C46)</f>
        <v>905420</v>
      </c>
      <c r="D47" s="1668">
        <f t="shared" ref="D47:K47" si="4">SUM(D44:D46)</f>
        <v>224066</v>
      </c>
      <c r="E47" s="1668">
        <f t="shared" si="4"/>
        <v>226644</v>
      </c>
      <c r="F47" s="1668">
        <f t="shared" si="4"/>
        <v>208562</v>
      </c>
      <c r="G47" s="1668">
        <f t="shared" si="4"/>
        <v>0</v>
      </c>
      <c r="H47" s="1668">
        <f t="shared" si="4"/>
        <v>0</v>
      </c>
      <c r="I47" s="1668">
        <f t="shared" si="4"/>
        <v>0</v>
      </c>
      <c r="J47" s="1668">
        <f t="shared" si="4"/>
        <v>0</v>
      </c>
      <c r="K47" s="1668">
        <f t="shared" si="4"/>
        <v>1564692</v>
      </c>
      <c r="L47" s="1668">
        <f>SUM(L44:L46)</f>
        <v>2371288</v>
      </c>
    </row>
    <row r="48" spans="1:14" ht="15.75" customHeight="1" thickTop="1" x14ac:dyDescent="0.2">
      <c r="A48" s="624" t="s">
        <v>610</v>
      </c>
      <c r="B48" s="625"/>
      <c r="C48" s="626"/>
      <c r="D48" s="626"/>
      <c r="E48" s="626"/>
      <c r="F48" s="626"/>
      <c r="G48" s="626"/>
      <c r="H48" s="626"/>
      <c r="I48" s="616"/>
      <c r="J48" s="616"/>
      <c r="K48" s="626"/>
      <c r="L48" s="626"/>
    </row>
    <row r="49" spans="1:14" x14ac:dyDescent="0.2">
      <c r="A49" s="1502" t="s">
        <v>817</v>
      </c>
      <c r="B49" s="614">
        <v>2310</v>
      </c>
      <c r="C49" s="481">
        <f>90323</f>
        <v>90323</v>
      </c>
      <c r="D49" s="481">
        <f>8702</f>
        <v>8702</v>
      </c>
      <c r="E49" s="481">
        <f>4313+19230</f>
        <v>23543</v>
      </c>
      <c r="F49" s="481">
        <f>1625+7379</f>
        <v>9004</v>
      </c>
      <c r="G49" s="481"/>
      <c r="H49" s="481">
        <v>16601</v>
      </c>
      <c r="I49" s="467"/>
      <c r="J49" s="467"/>
      <c r="K49" s="1670">
        <f>SUM(C49:J49)</f>
        <v>148173</v>
      </c>
      <c r="L49" s="481">
        <v>94766</v>
      </c>
    </row>
    <row r="50" spans="1:14" x14ac:dyDescent="0.2">
      <c r="A50" s="1502" t="s">
        <v>818</v>
      </c>
      <c r="B50" s="614">
        <v>2320</v>
      </c>
      <c r="C50" s="466">
        <v>297716</v>
      </c>
      <c r="D50" s="466">
        <v>65620</v>
      </c>
      <c r="E50" s="466">
        <v>156</v>
      </c>
      <c r="F50" s="466"/>
      <c r="G50" s="466"/>
      <c r="H50" s="466">
        <v>65</v>
      </c>
      <c r="I50" s="467"/>
      <c r="J50" s="467"/>
      <c r="K50" s="1670">
        <f>SUM(C50:J50)</f>
        <v>363557</v>
      </c>
      <c r="L50" s="466">
        <v>369720</v>
      </c>
    </row>
    <row r="51" spans="1:14" x14ac:dyDescent="0.2">
      <c r="A51" s="1502" t="s">
        <v>42</v>
      </c>
      <c r="B51" s="614">
        <v>2330</v>
      </c>
      <c r="C51" s="466">
        <v>539698</v>
      </c>
      <c r="D51" s="466">
        <v>138962</v>
      </c>
      <c r="E51" s="466">
        <v>95610</v>
      </c>
      <c r="F51" s="466">
        <v>23579</v>
      </c>
      <c r="G51" s="466"/>
      <c r="H51" s="466">
        <v>4820</v>
      </c>
      <c r="I51" s="467">
        <v>4091</v>
      </c>
      <c r="J51" s="467"/>
      <c r="K51" s="1670">
        <f>SUM(C51:J51)</f>
        <v>806760</v>
      </c>
      <c r="L51" s="466">
        <v>831723</v>
      </c>
    </row>
    <row r="52" spans="1:14" ht="22.5" x14ac:dyDescent="0.2">
      <c r="A52" s="1503" t="s">
        <v>298</v>
      </c>
      <c r="B52" s="627" t="s">
        <v>366</v>
      </c>
      <c r="C52" s="474"/>
      <c r="D52" s="474"/>
      <c r="E52" s="474"/>
      <c r="F52" s="474"/>
      <c r="G52" s="474"/>
      <c r="H52" s="474"/>
      <c r="I52" s="474"/>
      <c r="J52" s="474"/>
      <c r="K52" s="1670">
        <f>SUM(C52:J52)</f>
        <v>0</v>
      </c>
      <c r="L52" s="474"/>
    </row>
    <row r="53" spans="1:14" ht="12.75" customHeight="1" thickBot="1" x14ac:dyDescent="0.25">
      <c r="A53" s="1666" t="s">
        <v>717</v>
      </c>
      <c r="B53" s="1667" t="s">
        <v>33</v>
      </c>
      <c r="C53" s="1668">
        <f>SUM(C49:C52)</f>
        <v>927737</v>
      </c>
      <c r="D53" s="1668">
        <f t="shared" ref="D53:L53" si="5">SUM(D49:D52)</f>
        <v>213284</v>
      </c>
      <c r="E53" s="1668">
        <f t="shared" si="5"/>
        <v>119309</v>
      </c>
      <c r="F53" s="1668">
        <f t="shared" si="5"/>
        <v>32583</v>
      </c>
      <c r="G53" s="1668">
        <f t="shared" si="5"/>
        <v>0</v>
      </c>
      <c r="H53" s="1668">
        <f t="shared" si="5"/>
        <v>21486</v>
      </c>
      <c r="I53" s="1668">
        <f t="shared" si="5"/>
        <v>4091</v>
      </c>
      <c r="J53" s="1668">
        <f t="shared" si="5"/>
        <v>0</v>
      </c>
      <c r="K53" s="1668">
        <f t="shared" si="5"/>
        <v>1318490</v>
      </c>
      <c r="L53" s="1668">
        <f t="shared" si="5"/>
        <v>1296209</v>
      </c>
    </row>
    <row r="54" spans="1:14" ht="15.75" customHeight="1" thickTop="1" x14ac:dyDescent="0.2">
      <c r="A54" s="624" t="s">
        <v>611</v>
      </c>
      <c r="B54" s="625"/>
      <c r="C54" s="626"/>
      <c r="D54" s="626"/>
      <c r="E54" s="626"/>
      <c r="F54" s="626"/>
      <c r="G54" s="626"/>
      <c r="H54" s="626"/>
      <c r="I54" s="616"/>
      <c r="J54" s="616"/>
      <c r="K54" s="626"/>
      <c r="L54" s="626"/>
    </row>
    <row r="55" spans="1:14" x14ac:dyDescent="0.2">
      <c r="A55" s="1502" t="s">
        <v>1067</v>
      </c>
      <c r="B55" s="614">
        <v>2410</v>
      </c>
      <c r="C55" s="481">
        <v>2593444</v>
      </c>
      <c r="D55" s="481">
        <v>548208</v>
      </c>
      <c r="E55" s="481"/>
      <c r="F55" s="481">
        <v>44154</v>
      </c>
      <c r="G55" s="481"/>
      <c r="H55" s="481"/>
      <c r="I55" s="467"/>
      <c r="J55" s="467"/>
      <c r="K55" s="1670">
        <f>SUM(C55:J55)</f>
        <v>3185806</v>
      </c>
      <c r="L55" s="481">
        <v>3408999</v>
      </c>
    </row>
    <row r="56" spans="1:14" ht="12.75" customHeight="1" x14ac:dyDescent="0.2">
      <c r="A56" s="1506" t="s">
        <v>376</v>
      </c>
      <c r="B56" s="628">
        <v>2490</v>
      </c>
      <c r="C56" s="466">
        <v>3893</v>
      </c>
      <c r="D56" s="466"/>
      <c r="E56" s="466"/>
      <c r="F56" s="466"/>
      <c r="G56" s="466"/>
      <c r="H56" s="466"/>
      <c r="I56" s="467"/>
      <c r="J56" s="467"/>
      <c r="K56" s="1670">
        <f>SUM(C56:J56)</f>
        <v>3893</v>
      </c>
      <c r="L56" s="466"/>
    </row>
    <row r="57" spans="1:14" s="343" customFormat="1" ht="12.75" customHeight="1" thickBot="1" x14ac:dyDescent="0.25">
      <c r="A57" s="1666" t="s">
        <v>263</v>
      </c>
      <c r="B57" s="1671" t="s">
        <v>34</v>
      </c>
      <c r="C57" s="1672">
        <f>SUM(C55:C56)</f>
        <v>2597337</v>
      </c>
      <c r="D57" s="1672">
        <f t="shared" ref="D57:K57" si="6">SUM(D55:D56)</f>
        <v>548208</v>
      </c>
      <c r="E57" s="1672">
        <f t="shared" si="6"/>
        <v>0</v>
      </c>
      <c r="F57" s="1672">
        <f t="shared" si="6"/>
        <v>44154</v>
      </c>
      <c r="G57" s="1672">
        <f t="shared" si="6"/>
        <v>0</v>
      </c>
      <c r="H57" s="1672">
        <f t="shared" si="6"/>
        <v>0</v>
      </c>
      <c r="I57" s="1672">
        <f t="shared" si="6"/>
        <v>0</v>
      </c>
      <c r="J57" s="1672">
        <f t="shared" si="6"/>
        <v>0</v>
      </c>
      <c r="K57" s="1672">
        <f t="shared" si="6"/>
        <v>3189699</v>
      </c>
      <c r="L57" s="1668">
        <f>SUM(L55:L56)</f>
        <v>3408999</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2" t="s">
        <v>1068</v>
      </c>
      <c r="B59" s="614">
        <v>2510</v>
      </c>
      <c r="C59" s="481">
        <v>214043</v>
      </c>
      <c r="D59" s="481">
        <v>16647</v>
      </c>
      <c r="E59" s="481">
        <v>21652</v>
      </c>
      <c r="F59" s="481">
        <v>1440</v>
      </c>
      <c r="G59" s="481"/>
      <c r="H59" s="481">
        <v>2495</v>
      </c>
      <c r="I59" s="467"/>
      <c r="J59" s="467"/>
      <c r="K59" s="1670">
        <f t="shared" ref="K59:K64" si="7">SUM(C59:J59)</f>
        <v>256277</v>
      </c>
      <c r="L59" s="481">
        <v>269187</v>
      </c>
      <c r="M59" s="609"/>
      <c r="N59" s="609"/>
    </row>
    <row r="60" spans="1:14" s="343" customFormat="1" x14ac:dyDescent="0.2">
      <c r="A60" s="1502" t="s">
        <v>463</v>
      </c>
      <c r="B60" s="614">
        <v>2520</v>
      </c>
      <c r="C60" s="466">
        <v>363250</v>
      </c>
      <c r="D60" s="466">
        <v>55191</v>
      </c>
      <c r="E60" s="466">
        <v>48809</v>
      </c>
      <c r="F60" s="466">
        <v>3184</v>
      </c>
      <c r="G60" s="466"/>
      <c r="H60" s="466"/>
      <c r="I60" s="467"/>
      <c r="J60" s="467"/>
      <c r="K60" s="1670">
        <f t="shared" si="7"/>
        <v>470434</v>
      </c>
      <c r="L60" s="466">
        <v>480585</v>
      </c>
      <c r="M60" s="609"/>
      <c r="N60" s="609"/>
    </row>
    <row r="61" spans="1:14" s="343" customFormat="1" x14ac:dyDescent="0.2">
      <c r="A61" s="1502" t="s">
        <v>197</v>
      </c>
      <c r="B61" s="614">
        <v>2540</v>
      </c>
      <c r="C61" s="466">
        <v>1393341</v>
      </c>
      <c r="D61" s="466">
        <v>278704</v>
      </c>
      <c r="E61" s="466"/>
      <c r="F61" s="466"/>
      <c r="G61" s="466">
        <v>3000</v>
      </c>
      <c r="H61" s="466"/>
      <c r="I61" s="467">
        <v>849</v>
      </c>
      <c r="J61" s="467"/>
      <c r="K61" s="1670">
        <f t="shared" si="7"/>
        <v>1675894</v>
      </c>
      <c r="L61" s="466">
        <v>1856201</v>
      </c>
      <c r="M61" s="609"/>
      <c r="N61" s="609"/>
    </row>
    <row r="62" spans="1:14" s="343" customFormat="1" x14ac:dyDescent="0.2">
      <c r="A62" s="1502" t="s">
        <v>953</v>
      </c>
      <c r="B62" s="614">
        <v>2550</v>
      </c>
      <c r="C62" s="466"/>
      <c r="D62" s="466"/>
      <c r="E62" s="466">
        <v>195202</v>
      </c>
      <c r="F62" s="466"/>
      <c r="G62" s="466"/>
      <c r="H62" s="466"/>
      <c r="I62" s="467"/>
      <c r="J62" s="467"/>
      <c r="K62" s="1670">
        <f t="shared" si="7"/>
        <v>195202</v>
      </c>
      <c r="L62" s="466">
        <v>217260</v>
      </c>
      <c r="M62" s="609"/>
      <c r="N62" s="609"/>
    </row>
    <row r="63" spans="1:14" s="609" customFormat="1" x14ac:dyDescent="0.2">
      <c r="A63" s="1502" t="s">
        <v>100</v>
      </c>
      <c r="B63" s="614">
        <v>2560</v>
      </c>
      <c r="C63" s="466">
        <v>475629</v>
      </c>
      <c r="D63" s="466">
        <v>56376</v>
      </c>
      <c r="E63" s="466">
        <v>1838318</v>
      </c>
      <c r="F63" s="466">
        <v>217431</v>
      </c>
      <c r="G63" s="466">
        <v>41561</v>
      </c>
      <c r="H63" s="466"/>
      <c r="I63" s="467">
        <v>5148</v>
      </c>
      <c r="J63" s="467"/>
      <c r="K63" s="1670">
        <f t="shared" si="7"/>
        <v>2634463</v>
      </c>
      <c r="L63" s="466">
        <v>2837287</v>
      </c>
    </row>
    <row r="64" spans="1:14" s="609" customFormat="1" x14ac:dyDescent="0.2">
      <c r="A64" s="1507" t="s">
        <v>101</v>
      </c>
      <c r="B64" s="630">
        <v>2570</v>
      </c>
      <c r="C64" s="481"/>
      <c r="D64" s="481"/>
      <c r="E64" s="481">
        <v>202934</v>
      </c>
      <c r="F64" s="481">
        <v>1536</v>
      </c>
      <c r="G64" s="481"/>
      <c r="H64" s="481"/>
      <c r="I64" s="467"/>
      <c r="J64" s="467"/>
      <c r="K64" s="1670">
        <f t="shared" si="7"/>
        <v>204470</v>
      </c>
      <c r="L64" s="481">
        <v>135925</v>
      </c>
    </row>
    <row r="65" spans="1:14" s="343" customFormat="1" ht="12.75" customHeight="1" thickBot="1" x14ac:dyDescent="0.25">
      <c r="A65" s="1666" t="s">
        <v>719</v>
      </c>
      <c r="B65" s="1667" t="s">
        <v>35</v>
      </c>
      <c r="C65" s="1668">
        <f>SUM(C59:C64)</f>
        <v>2446263</v>
      </c>
      <c r="D65" s="1668">
        <f t="shared" ref="D65:L65" si="8">SUM(D59:D64)</f>
        <v>406918</v>
      </c>
      <c r="E65" s="1668">
        <f t="shared" si="8"/>
        <v>2306915</v>
      </c>
      <c r="F65" s="1668">
        <f t="shared" si="8"/>
        <v>223591</v>
      </c>
      <c r="G65" s="1668">
        <f t="shared" si="8"/>
        <v>44561</v>
      </c>
      <c r="H65" s="1668">
        <f t="shared" si="8"/>
        <v>2495</v>
      </c>
      <c r="I65" s="1668">
        <f t="shared" si="8"/>
        <v>5997</v>
      </c>
      <c r="J65" s="1668">
        <f t="shared" si="8"/>
        <v>0</v>
      </c>
      <c r="K65" s="1668">
        <f t="shared" si="8"/>
        <v>5436740</v>
      </c>
      <c r="L65" s="1668">
        <f t="shared" si="8"/>
        <v>5796445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2" t="s">
        <v>1060</v>
      </c>
      <c r="B67" s="614">
        <v>2610</v>
      </c>
      <c r="C67" s="466"/>
      <c r="D67" s="466"/>
      <c r="E67" s="466"/>
      <c r="F67" s="466"/>
      <c r="G67" s="466"/>
      <c r="H67" s="466"/>
      <c r="I67" s="467"/>
      <c r="J67" s="467"/>
      <c r="K67" s="1670">
        <f>SUM(C67:J67)</f>
        <v>0</v>
      </c>
      <c r="L67" s="481"/>
      <c r="M67" s="609"/>
      <c r="N67" s="609"/>
    </row>
    <row r="68" spans="1:14" s="343" customFormat="1" x14ac:dyDescent="0.2">
      <c r="A68" s="1502" t="s">
        <v>607</v>
      </c>
      <c r="B68" s="614">
        <v>2620</v>
      </c>
      <c r="C68" s="466">
        <v>7125</v>
      </c>
      <c r="D68" s="466">
        <v>1334</v>
      </c>
      <c r="E68" s="466">
        <v>140930</v>
      </c>
      <c r="F68" s="466">
        <v>632</v>
      </c>
      <c r="G68" s="466"/>
      <c r="H68" s="466"/>
      <c r="I68" s="467"/>
      <c r="J68" s="467"/>
      <c r="K68" s="1670">
        <f>SUM(C68:J68)</f>
        <v>150021</v>
      </c>
      <c r="L68" s="466">
        <v>847000</v>
      </c>
      <c r="M68" s="609"/>
      <c r="N68" s="609"/>
    </row>
    <row r="69" spans="1:14" s="343" customFormat="1" x14ac:dyDescent="0.2">
      <c r="A69" s="1502" t="s">
        <v>1061</v>
      </c>
      <c r="B69" s="614">
        <v>2630</v>
      </c>
      <c r="C69" s="466">
        <v>447503</v>
      </c>
      <c r="D69" s="466">
        <v>64717</v>
      </c>
      <c r="E69" s="466">
        <v>242621</v>
      </c>
      <c r="F69" s="466">
        <v>257764</v>
      </c>
      <c r="G69" s="466"/>
      <c r="H69" s="466">
        <v>705</v>
      </c>
      <c r="I69" s="467"/>
      <c r="J69" s="467"/>
      <c r="K69" s="1670">
        <f>SUM(C69:J69)</f>
        <v>1013310</v>
      </c>
      <c r="L69" s="466">
        <v>1313117</v>
      </c>
      <c r="M69" s="609"/>
      <c r="N69" s="609"/>
    </row>
    <row r="70" spans="1:14" s="343" customFormat="1" x14ac:dyDescent="0.2">
      <c r="A70" s="1502" t="s">
        <v>403</v>
      </c>
      <c r="B70" s="614">
        <v>2640</v>
      </c>
      <c r="C70" s="466">
        <v>250026</v>
      </c>
      <c r="D70" s="466">
        <v>38936</v>
      </c>
      <c r="E70" s="466">
        <v>7371</v>
      </c>
      <c r="F70" s="466">
        <v>5161</v>
      </c>
      <c r="G70" s="466"/>
      <c r="H70" s="466">
        <v>7530</v>
      </c>
      <c r="I70" s="467"/>
      <c r="J70" s="467"/>
      <c r="K70" s="1670">
        <f>SUM(C70:J70)</f>
        <v>309024</v>
      </c>
      <c r="L70" s="466">
        <v>367091</v>
      </c>
      <c r="M70" s="609"/>
      <c r="N70" s="609"/>
    </row>
    <row r="71" spans="1:14" s="343" customFormat="1" x14ac:dyDescent="0.2">
      <c r="A71" s="1502" t="s">
        <v>404</v>
      </c>
      <c r="B71" s="614">
        <v>2660</v>
      </c>
      <c r="C71" s="466"/>
      <c r="D71" s="466"/>
      <c r="E71" s="466">
        <v>39328</v>
      </c>
      <c r="F71" s="466">
        <v>17469</v>
      </c>
      <c r="G71" s="466"/>
      <c r="H71" s="466"/>
      <c r="I71" s="467"/>
      <c r="J71" s="467"/>
      <c r="K71" s="1670">
        <f>SUM(C71:J71)</f>
        <v>56797</v>
      </c>
      <c r="L71" s="466">
        <v>38900</v>
      </c>
      <c r="M71" s="609"/>
      <c r="N71" s="609"/>
    </row>
    <row r="72" spans="1:14" s="343" customFormat="1" ht="12.75" customHeight="1" thickBot="1" x14ac:dyDescent="0.25">
      <c r="A72" s="1666" t="s">
        <v>37</v>
      </c>
      <c r="B72" s="1673" t="s">
        <v>36</v>
      </c>
      <c r="C72" s="1668">
        <f>SUM(C67:C71)</f>
        <v>704654</v>
      </c>
      <c r="D72" s="1668">
        <f t="shared" ref="D72:K72" si="9">SUM(D67:D71)</f>
        <v>104987</v>
      </c>
      <c r="E72" s="1668">
        <f t="shared" si="9"/>
        <v>430250</v>
      </c>
      <c r="F72" s="1668">
        <f t="shared" si="9"/>
        <v>281026</v>
      </c>
      <c r="G72" s="1668">
        <f t="shared" si="9"/>
        <v>0</v>
      </c>
      <c r="H72" s="1668">
        <f t="shared" si="9"/>
        <v>8235</v>
      </c>
      <c r="I72" s="1668">
        <f t="shared" si="9"/>
        <v>0</v>
      </c>
      <c r="J72" s="1668">
        <f t="shared" si="9"/>
        <v>0</v>
      </c>
      <c r="K72" s="1668">
        <f t="shared" si="9"/>
        <v>1529152</v>
      </c>
      <c r="L72" s="1668">
        <f>SUM(L67:L71)</f>
        <v>2566108</v>
      </c>
      <c r="M72" s="609"/>
      <c r="N72" s="609"/>
    </row>
    <row r="73" spans="1:14" s="343" customFormat="1" ht="14.25" thickTop="1" thickBot="1" x14ac:dyDescent="0.25">
      <c r="A73" s="1508" t="s">
        <v>980</v>
      </c>
      <c r="B73" s="632" t="s">
        <v>574</v>
      </c>
      <c r="C73" s="573">
        <v>335366</v>
      </c>
      <c r="D73" s="573">
        <v>29012</v>
      </c>
      <c r="E73" s="573">
        <v>171894</v>
      </c>
      <c r="F73" s="573">
        <f>79352+195</f>
        <v>79547</v>
      </c>
      <c r="G73" s="573"/>
      <c r="H73" s="573">
        <f>200+45</f>
        <v>245</v>
      </c>
      <c r="I73" s="531"/>
      <c r="J73" s="531"/>
      <c r="K73" s="1668">
        <f>SUM(C73:J73)</f>
        <v>616064</v>
      </c>
      <c r="L73" s="576">
        <v>961324</v>
      </c>
      <c r="M73" s="609"/>
      <c r="N73" s="609"/>
    </row>
    <row r="74" spans="1:14" ht="12.75" customHeight="1" thickTop="1" thickBot="1" x14ac:dyDescent="0.25">
      <c r="A74" s="1666" t="s">
        <v>811</v>
      </c>
      <c r="B74" s="1674">
        <v>2000</v>
      </c>
      <c r="C74" s="1675">
        <f>SUM(C42,C47,C53,C57,C65,C72,C73)</f>
        <v>10116537</v>
      </c>
      <c r="D74" s="1675">
        <f t="shared" ref="D74:K74" si="10">SUM(D42,D47,D53,D57,D65,D72,D73)</f>
        <v>2076664</v>
      </c>
      <c r="E74" s="1675">
        <f t="shared" si="10"/>
        <v>3345963</v>
      </c>
      <c r="F74" s="1675">
        <f t="shared" si="10"/>
        <v>883217</v>
      </c>
      <c r="G74" s="1675">
        <f t="shared" si="10"/>
        <v>44561</v>
      </c>
      <c r="H74" s="1675">
        <f t="shared" si="10"/>
        <v>32461</v>
      </c>
      <c r="I74" s="1675">
        <f t="shared" si="10"/>
        <v>10088</v>
      </c>
      <c r="J74" s="1675">
        <f t="shared" si="10"/>
        <v>0</v>
      </c>
      <c r="K74" s="1675">
        <f t="shared" si="10"/>
        <v>16509491</v>
      </c>
      <c r="L74" s="1675">
        <f>SUM(L42,L47,L53,L57,L65,L72,L73)</f>
        <v>19727979</v>
      </c>
    </row>
    <row r="75" spans="1:14" s="259" customFormat="1" ht="15.75" customHeight="1" thickTop="1" thickBot="1" x14ac:dyDescent="0.25">
      <c r="A75" s="1608" t="s">
        <v>47</v>
      </c>
      <c r="B75" s="1609" t="s">
        <v>575</v>
      </c>
      <c r="C75" s="573">
        <f>152003+80117</f>
        <v>232120</v>
      </c>
      <c r="D75" s="573">
        <f>27771+21839</f>
        <v>49610</v>
      </c>
      <c r="E75" s="573">
        <f>56965+2809</f>
        <v>59774</v>
      </c>
      <c r="F75" s="573">
        <f>53676+4101</f>
        <v>57777</v>
      </c>
      <c r="G75" s="573"/>
      <c r="H75" s="573"/>
      <c r="I75" s="531">
        <v>899</v>
      </c>
      <c r="J75" s="531"/>
      <c r="K75" s="1668">
        <f>SUM(C75:J75)</f>
        <v>400180</v>
      </c>
      <c r="L75" s="576">
        <v>589893</v>
      </c>
      <c r="M75" s="613"/>
      <c r="N75" s="613"/>
    </row>
    <row r="76" spans="1:14" s="633" customFormat="1" ht="15.75" customHeight="1" thickTop="1" x14ac:dyDescent="0.2">
      <c r="A76" s="1610" t="s">
        <v>365</v>
      </c>
      <c r="B76" s="160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2" t="s">
        <v>496</v>
      </c>
      <c r="B78" s="614">
        <v>4110</v>
      </c>
      <c r="C78" s="616"/>
      <c r="D78" s="616"/>
      <c r="E78" s="481"/>
      <c r="F78" s="616"/>
      <c r="G78" s="616"/>
      <c r="H78" s="634"/>
      <c r="I78" s="477"/>
      <c r="J78" s="477"/>
      <c r="K78" s="1669">
        <f t="shared" ref="K78:K83" si="11">SUM(C78:J78)</f>
        <v>0</v>
      </c>
      <c r="L78" s="481"/>
    </row>
    <row r="79" spans="1:14" x14ac:dyDescent="0.2">
      <c r="A79" s="1502" t="s">
        <v>304</v>
      </c>
      <c r="B79" s="614">
        <v>4120</v>
      </c>
      <c r="C79" s="616"/>
      <c r="D79" s="616"/>
      <c r="E79" s="466"/>
      <c r="F79" s="616"/>
      <c r="G79" s="616"/>
      <c r="H79" s="466"/>
      <c r="I79" s="477"/>
      <c r="J79" s="477"/>
      <c r="K79" s="1669">
        <f t="shared" si="11"/>
        <v>0</v>
      </c>
      <c r="L79" s="466"/>
    </row>
    <row r="80" spans="1:14" x14ac:dyDescent="0.2">
      <c r="A80" s="1502" t="s">
        <v>305</v>
      </c>
      <c r="B80" s="614">
        <v>4130</v>
      </c>
      <c r="C80" s="616"/>
      <c r="D80" s="616"/>
      <c r="E80" s="466"/>
      <c r="F80" s="616"/>
      <c r="G80" s="616"/>
      <c r="H80" s="466"/>
      <c r="I80" s="477"/>
      <c r="J80" s="477"/>
      <c r="K80" s="1669">
        <f t="shared" si="11"/>
        <v>0</v>
      </c>
      <c r="L80" s="466"/>
    </row>
    <row r="81" spans="1:12" x14ac:dyDescent="0.2">
      <c r="A81" s="1502" t="s">
        <v>697</v>
      </c>
      <c r="B81" s="614">
        <v>4140</v>
      </c>
      <c r="C81" s="616"/>
      <c r="D81" s="616"/>
      <c r="E81" s="466"/>
      <c r="F81" s="616"/>
      <c r="G81" s="616"/>
      <c r="H81" s="466"/>
      <c r="I81" s="477"/>
      <c r="J81" s="477"/>
      <c r="K81" s="1669">
        <f t="shared" si="11"/>
        <v>0</v>
      </c>
      <c r="L81" s="466"/>
    </row>
    <row r="82" spans="1:12" x14ac:dyDescent="0.2">
      <c r="A82" s="1502" t="s">
        <v>86</v>
      </c>
      <c r="B82" s="614">
        <v>4170</v>
      </c>
      <c r="C82" s="616"/>
      <c r="D82" s="616"/>
      <c r="E82" s="466"/>
      <c r="F82" s="616"/>
      <c r="G82" s="616"/>
      <c r="H82" s="466"/>
      <c r="I82" s="477"/>
      <c r="J82" s="477"/>
      <c r="K82" s="1669">
        <f t="shared" si="11"/>
        <v>0</v>
      </c>
      <c r="L82" s="466"/>
    </row>
    <row r="83" spans="1:12" x14ac:dyDescent="0.2">
      <c r="A83" s="1506" t="s">
        <v>698</v>
      </c>
      <c r="B83" s="628">
        <v>4190</v>
      </c>
      <c r="C83" s="616"/>
      <c r="D83" s="616"/>
      <c r="E83" s="466">
        <v>75876</v>
      </c>
      <c r="F83" s="616"/>
      <c r="G83" s="616"/>
      <c r="H83" s="466"/>
      <c r="I83" s="477"/>
      <c r="J83" s="477"/>
      <c r="K83" s="1669">
        <f t="shared" si="11"/>
        <v>75876</v>
      </c>
      <c r="L83" s="466">
        <v>109753</v>
      </c>
    </row>
    <row r="84" spans="1:12" ht="13.5" thickBot="1" x14ac:dyDescent="0.25">
      <c r="A84" s="1666" t="s">
        <v>1485</v>
      </c>
      <c r="B84" s="1676">
        <v>4100</v>
      </c>
      <c r="C84" s="616"/>
      <c r="D84" s="616"/>
      <c r="E84" s="1668">
        <f>SUM(E78:E83)</f>
        <v>75876</v>
      </c>
      <c r="F84" s="616"/>
      <c r="G84" s="616"/>
      <c r="H84" s="1668">
        <f>SUM(H78:H83)</f>
        <v>0</v>
      </c>
      <c r="I84" s="477"/>
      <c r="J84" s="477"/>
      <c r="K84" s="1668">
        <f>SUM(K78:K83)</f>
        <v>75876</v>
      </c>
      <c r="L84" s="1668">
        <f>SUM(L78:L83)</f>
        <v>109753</v>
      </c>
    </row>
    <row r="85" spans="1:12" ht="12.75" customHeight="1" thickTop="1" thickBot="1" x14ac:dyDescent="0.25">
      <c r="A85" s="1509" t="s">
        <v>255</v>
      </c>
      <c r="B85" s="635">
        <v>4210</v>
      </c>
      <c r="C85" s="616"/>
      <c r="D85" s="616"/>
      <c r="E85" s="636"/>
      <c r="F85" s="616"/>
      <c r="G85" s="616"/>
      <c r="H85" s="535"/>
      <c r="I85" s="477"/>
      <c r="J85" s="477"/>
      <c r="K85" s="1675">
        <f>H85</f>
        <v>0</v>
      </c>
      <c r="L85" s="530"/>
    </row>
    <row r="86" spans="1:12" ht="12.75" customHeight="1" thickTop="1" thickBot="1" x14ac:dyDescent="0.25">
      <c r="A86" s="1510" t="s">
        <v>699</v>
      </c>
      <c r="B86" s="637">
        <v>4220</v>
      </c>
      <c r="C86" s="616"/>
      <c r="D86" s="616"/>
      <c r="E86" s="638"/>
      <c r="F86" s="616"/>
      <c r="G86" s="616"/>
      <c r="H86" s="467"/>
      <c r="I86" s="477"/>
      <c r="J86" s="477"/>
      <c r="K86" s="1675">
        <f t="shared" ref="K86:K98" si="12">H86</f>
        <v>0</v>
      </c>
      <c r="L86" s="530"/>
    </row>
    <row r="87" spans="1:12" ht="14.25" thickTop="1" thickBot="1" x14ac:dyDescent="0.25">
      <c r="A87" s="1511" t="s">
        <v>700</v>
      </c>
      <c r="B87" s="639">
        <v>4230</v>
      </c>
      <c r="C87" s="616"/>
      <c r="D87" s="616"/>
      <c r="E87" s="638"/>
      <c r="F87" s="616"/>
      <c r="G87" s="616"/>
      <c r="H87" s="467"/>
      <c r="I87" s="477"/>
      <c r="J87" s="477"/>
      <c r="K87" s="1675">
        <f t="shared" si="12"/>
        <v>0</v>
      </c>
      <c r="L87" s="530"/>
    </row>
    <row r="88" spans="1:12" ht="12.75" customHeight="1" thickTop="1" thickBot="1" x14ac:dyDescent="0.25">
      <c r="A88" s="1511" t="s">
        <v>765</v>
      </c>
      <c r="B88" s="639">
        <v>4240</v>
      </c>
      <c r="C88" s="616"/>
      <c r="D88" s="616"/>
      <c r="E88" s="638"/>
      <c r="F88" s="616"/>
      <c r="G88" s="616"/>
      <c r="H88" s="467"/>
      <c r="I88" s="477"/>
      <c r="J88" s="477"/>
      <c r="K88" s="1675">
        <f t="shared" si="12"/>
        <v>0</v>
      </c>
      <c r="L88" s="530"/>
    </row>
    <row r="89" spans="1:12" ht="12.75" customHeight="1" thickTop="1" thickBot="1" x14ac:dyDescent="0.25">
      <c r="A89" s="1511" t="s">
        <v>701</v>
      </c>
      <c r="B89" s="639">
        <v>4270</v>
      </c>
      <c r="C89" s="616"/>
      <c r="D89" s="616"/>
      <c r="E89" s="638"/>
      <c r="F89" s="616"/>
      <c r="G89" s="616"/>
      <c r="H89" s="467"/>
      <c r="I89" s="477"/>
      <c r="J89" s="477"/>
      <c r="K89" s="1675">
        <f t="shared" si="12"/>
        <v>0</v>
      </c>
      <c r="L89" s="530"/>
    </row>
    <row r="90" spans="1:12" ht="12.75" customHeight="1" thickTop="1" thickBot="1" x14ac:dyDescent="0.25">
      <c r="A90" s="1511" t="s">
        <v>686</v>
      </c>
      <c r="B90" s="639">
        <v>4280</v>
      </c>
      <c r="C90" s="616"/>
      <c r="D90" s="616"/>
      <c r="E90" s="638"/>
      <c r="F90" s="616"/>
      <c r="G90" s="616"/>
      <c r="H90" s="467"/>
      <c r="I90" s="477"/>
      <c r="J90" s="477"/>
      <c r="K90" s="1675">
        <f t="shared" si="12"/>
        <v>0</v>
      </c>
      <c r="L90" s="530"/>
    </row>
    <row r="91" spans="1:12" ht="12.75" customHeight="1" thickTop="1" thickBot="1" x14ac:dyDescent="0.25">
      <c r="A91" s="1511"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0</v>
      </c>
      <c r="I92" s="477"/>
      <c r="J92" s="477"/>
      <c r="K92" s="1675">
        <f t="shared" si="12"/>
        <v>0</v>
      </c>
      <c r="L92" s="1668">
        <f>SUM(L85:L91)</f>
        <v>0</v>
      </c>
    </row>
    <row r="93" spans="1:12" ht="14.25" thickTop="1" thickBot="1" x14ac:dyDescent="0.25">
      <c r="A93" s="1510" t="s">
        <v>688</v>
      </c>
      <c r="B93" s="640">
        <v>4310</v>
      </c>
      <c r="C93" s="616"/>
      <c r="D93" s="616"/>
      <c r="E93" s="638"/>
      <c r="F93" s="616"/>
      <c r="G93" s="616"/>
      <c r="H93" s="641"/>
      <c r="I93" s="477"/>
      <c r="J93" s="477"/>
      <c r="K93" s="1675">
        <f t="shared" si="12"/>
        <v>0</v>
      </c>
      <c r="L93" s="532"/>
    </row>
    <row r="94" spans="1:12" ht="12.75" customHeight="1" thickTop="1" thickBot="1" x14ac:dyDescent="0.25">
      <c r="A94" s="1511" t="s">
        <v>689</v>
      </c>
      <c r="B94" s="639">
        <v>4320</v>
      </c>
      <c r="C94" s="616"/>
      <c r="D94" s="616"/>
      <c r="E94" s="638"/>
      <c r="F94" s="616"/>
      <c r="G94" s="616"/>
      <c r="H94" s="467"/>
      <c r="I94" s="477"/>
      <c r="J94" s="477"/>
      <c r="K94" s="1675">
        <f t="shared" si="12"/>
        <v>0</v>
      </c>
      <c r="L94" s="530"/>
    </row>
    <row r="95" spans="1:12" ht="15" customHeight="1" thickTop="1" thickBot="1" x14ac:dyDescent="0.25">
      <c r="A95" s="1511" t="s">
        <v>1488</v>
      </c>
      <c r="B95" s="639">
        <v>4330</v>
      </c>
      <c r="C95" s="616"/>
      <c r="D95" s="616"/>
      <c r="E95" s="638"/>
      <c r="F95" s="616"/>
      <c r="G95" s="616"/>
      <c r="H95" s="467"/>
      <c r="I95" s="477"/>
      <c r="J95" s="477"/>
      <c r="K95" s="1675">
        <f t="shared" si="12"/>
        <v>0</v>
      </c>
      <c r="L95" s="530"/>
    </row>
    <row r="96" spans="1:12" ht="14.25" thickTop="1" thickBot="1" x14ac:dyDescent="0.25">
      <c r="A96" s="1511" t="s">
        <v>690</v>
      </c>
      <c r="B96" s="639">
        <v>4340</v>
      </c>
      <c r="C96" s="616"/>
      <c r="D96" s="616"/>
      <c r="E96" s="638"/>
      <c r="F96" s="616"/>
      <c r="G96" s="616"/>
      <c r="H96" s="467"/>
      <c r="I96" s="477"/>
      <c r="J96" s="477"/>
      <c r="K96" s="1675">
        <f t="shared" si="12"/>
        <v>0</v>
      </c>
      <c r="L96" s="530"/>
    </row>
    <row r="97" spans="1:14" ht="12.75" customHeight="1" thickTop="1" thickBot="1" x14ac:dyDescent="0.25">
      <c r="A97" s="1511" t="s">
        <v>763</v>
      </c>
      <c r="B97" s="639">
        <v>4370</v>
      </c>
      <c r="C97" s="616"/>
      <c r="D97" s="616"/>
      <c r="E97" s="638"/>
      <c r="F97" s="616"/>
      <c r="G97" s="616"/>
      <c r="H97" s="467"/>
      <c r="I97" s="477"/>
      <c r="J97" s="477"/>
      <c r="K97" s="1675">
        <f t="shared" si="12"/>
        <v>0</v>
      </c>
      <c r="L97" s="530"/>
    </row>
    <row r="98" spans="1:14" ht="14.25" thickTop="1" thickBot="1" x14ac:dyDescent="0.25">
      <c r="A98" s="1511" t="s">
        <v>764</v>
      </c>
      <c r="B98" s="639">
        <v>4380</v>
      </c>
      <c r="C98" s="616"/>
      <c r="D98" s="616"/>
      <c r="E98" s="642"/>
      <c r="F98" s="616"/>
      <c r="G98" s="616"/>
      <c r="H98" s="467"/>
      <c r="I98" s="477"/>
      <c r="J98" s="477"/>
      <c r="K98" s="1675">
        <f t="shared" si="12"/>
        <v>0</v>
      </c>
      <c r="L98" s="530"/>
    </row>
    <row r="99" spans="1:14" ht="14.25" thickTop="1" thickBot="1" x14ac:dyDescent="0.25">
      <c r="A99" s="1511"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08" t="s">
        <v>1489</v>
      </c>
      <c r="B101" s="643" t="s">
        <v>931</v>
      </c>
      <c r="C101" s="616"/>
      <c r="D101" s="616"/>
      <c r="E101" s="531"/>
      <c r="F101" s="616"/>
      <c r="G101" s="616"/>
      <c r="H101" s="531"/>
      <c r="I101" s="477"/>
      <c r="J101" s="477"/>
      <c r="K101" s="1677">
        <f>SUM(C101:J101)</f>
        <v>0</v>
      </c>
      <c r="L101" s="530">
        <v>5400</v>
      </c>
    </row>
    <row r="102" spans="1:14" ht="12.75" customHeight="1" thickTop="1" thickBot="1" x14ac:dyDescent="0.25">
      <c r="A102" s="1666" t="s">
        <v>1487</v>
      </c>
      <c r="B102" s="1676">
        <v>4000</v>
      </c>
      <c r="C102" s="616"/>
      <c r="D102" s="616"/>
      <c r="E102" s="1675">
        <f>SUM(E84,E92,E100,E101)</f>
        <v>75876</v>
      </c>
      <c r="F102" s="616"/>
      <c r="G102" s="616"/>
      <c r="H102" s="1675">
        <f>SUM(H84,H92,H100,H101)</f>
        <v>0</v>
      </c>
      <c r="I102" s="477"/>
      <c r="J102" s="477"/>
      <c r="K102" s="1675">
        <f>SUM(K84,K92,K100,K101)</f>
        <v>75876</v>
      </c>
      <c r="L102" s="1675">
        <f>SUM(L84,L92,L100,L101)</f>
        <v>115153</v>
      </c>
    </row>
    <row r="103" spans="1:14" s="633" customFormat="1" ht="15.75" customHeight="1" thickTop="1" x14ac:dyDescent="0.2">
      <c r="A103" s="1610" t="s">
        <v>513</v>
      </c>
      <c r="B103" s="160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c r="I105" s="468"/>
      <c r="J105" s="468"/>
      <c r="K105" s="1669">
        <f>H105</f>
        <v>0</v>
      </c>
      <c r="L105" s="481"/>
      <c r="M105" s="210"/>
      <c r="N105" s="210"/>
    </row>
    <row r="106" spans="1:14" s="597" customFormat="1" x14ac:dyDescent="0.2">
      <c r="A106" s="1502"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2" t="s">
        <v>1170</v>
      </c>
      <c r="B107" s="614">
        <v>5130</v>
      </c>
      <c r="C107" s="616"/>
      <c r="D107" s="616"/>
      <c r="E107" s="616"/>
      <c r="F107" s="616"/>
      <c r="G107" s="616"/>
      <c r="H107" s="466"/>
      <c r="I107" s="468"/>
      <c r="J107" s="468"/>
      <c r="K107" s="1669">
        <f>H107</f>
        <v>0</v>
      </c>
      <c r="L107" s="466"/>
      <c r="M107" s="210"/>
      <c r="N107" s="210"/>
    </row>
    <row r="108" spans="1:14" s="597" customFormat="1" x14ac:dyDescent="0.2">
      <c r="A108" s="1502" t="s">
        <v>89</v>
      </c>
      <c r="B108" s="614" t="s">
        <v>589</v>
      </c>
      <c r="C108" s="616"/>
      <c r="D108" s="616"/>
      <c r="E108" s="616"/>
      <c r="F108" s="616"/>
      <c r="G108" s="616"/>
      <c r="H108" s="466"/>
      <c r="I108" s="468"/>
      <c r="J108" s="468"/>
      <c r="K108" s="1669">
        <f>H108</f>
        <v>0</v>
      </c>
      <c r="L108" s="466"/>
      <c r="M108" s="210"/>
      <c r="N108" s="210"/>
    </row>
    <row r="109" spans="1:14" s="597" customFormat="1" x14ac:dyDescent="0.2">
      <c r="A109" s="1502"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2"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4" t="s">
        <v>514</v>
      </c>
      <c r="B113" s="1611"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25626678</v>
      </c>
      <c r="D114" s="1668">
        <f t="shared" ref="D114:K114" si="13">SUM(D33,D74,D75,D102,D112,D113)</f>
        <v>6531527</v>
      </c>
      <c r="E114" s="1668">
        <f t="shared" si="13"/>
        <v>4283451</v>
      </c>
      <c r="F114" s="1668">
        <f t="shared" si="13"/>
        <v>1781517</v>
      </c>
      <c r="G114" s="1668">
        <f t="shared" si="13"/>
        <v>44561</v>
      </c>
      <c r="H114" s="1668">
        <f>SUM(H33,H74,H75,H102,H112,H113)</f>
        <v>1839459</v>
      </c>
      <c r="I114" s="1668">
        <f t="shared" si="13"/>
        <v>126393</v>
      </c>
      <c r="J114" s="1668">
        <f t="shared" si="13"/>
        <v>0</v>
      </c>
      <c r="K114" s="1668">
        <f t="shared" si="13"/>
        <v>40233586</v>
      </c>
      <c r="L114" s="1668">
        <f>SUM(L33,L74,L75,L102,L112,L113)</f>
        <v>45204702</v>
      </c>
    </row>
    <row r="115" spans="1:14" ht="13.5" thickTop="1" x14ac:dyDescent="0.2">
      <c r="A115" s="2271" t="s">
        <v>996</v>
      </c>
      <c r="B115" s="2272"/>
      <c r="C115" s="618"/>
      <c r="D115" s="618"/>
      <c r="E115" s="618"/>
      <c r="F115" s="618"/>
      <c r="G115" s="618"/>
      <c r="H115" s="618"/>
      <c r="I115" s="618"/>
      <c r="J115" s="618"/>
      <c r="K115" s="1682">
        <f>'Revenues 9-14'!C268-'Expenditures 15-22'!K114</f>
        <v>470008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276" t="s">
        <v>296</v>
      </c>
      <c r="B117" s="2277"/>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6" t="s">
        <v>2055</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2" t="s">
        <v>1068</v>
      </c>
      <c r="B122" s="614">
        <v>2510</v>
      </c>
      <c r="C122" s="466"/>
      <c r="D122" s="466"/>
      <c r="E122" s="466"/>
      <c r="F122" s="466"/>
      <c r="G122" s="466"/>
      <c r="H122" s="466"/>
      <c r="I122" s="467"/>
      <c r="J122" s="467"/>
      <c r="K122" s="1668">
        <f>SUM(C122:J122)</f>
        <v>0</v>
      </c>
      <c r="L122" s="466"/>
    </row>
    <row r="123" spans="1:14" ht="14.25" thickTop="1" thickBot="1" x14ac:dyDescent="0.25">
      <c r="A123" s="1502" t="s">
        <v>4</v>
      </c>
      <c r="B123" s="614">
        <v>2530</v>
      </c>
      <c r="C123" s="466"/>
      <c r="D123" s="466"/>
      <c r="E123" s="466"/>
      <c r="F123" s="466"/>
      <c r="G123" s="466"/>
      <c r="H123" s="466"/>
      <c r="I123" s="467"/>
      <c r="J123" s="467"/>
      <c r="K123" s="1668">
        <f>SUM(C123:J123)</f>
        <v>0</v>
      </c>
      <c r="L123" s="466"/>
    </row>
    <row r="124" spans="1:14" ht="14.25" thickTop="1" thickBot="1" x14ac:dyDescent="0.25">
      <c r="A124" s="1502" t="s">
        <v>197</v>
      </c>
      <c r="B124" s="614">
        <v>2540</v>
      </c>
      <c r="C124" s="466">
        <f>55742+1057712</f>
        <v>1113454</v>
      </c>
      <c r="D124" s="466">
        <f>14851+208044</f>
        <v>222895</v>
      </c>
      <c r="E124" s="466">
        <f>84302+254319</f>
        <v>338621</v>
      </c>
      <c r="F124" s="466">
        <f>767816+207507</f>
        <v>975323</v>
      </c>
      <c r="G124" s="466"/>
      <c r="H124" s="466"/>
      <c r="I124" s="467"/>
      <c r="J124" s="467"/>
      <c r="K124" s="1668">
        <f>SUM(C124:J124)</f>
        <v>2650293</v>
      </c>
      <c r="L124" s="466">
        <v>2852566</v>
      </c>
    </row>
    <row r="125" spans="1:14" ht="14.25" thickTop="1" thickBot="1" x14ac:dyDescent="0.25">
      <c r="A125" s="1502" t="s">
        <v>953</v>
      </c>
      <c r="B125" s="614">
        <v>2550</v>
      </c>
      <c r="C125" s="466"/>
      <c r="D125" s="466"/>
      <c r="E125" s="466"/>
      <c r="F125" s="466"/>
      <c r="G125" s="466"/>
      <c r="H125" s="466"/>
      <c r="I125" s="467"/>
      <c r="J125" s="467"/>
      <c r="K125" s="1668">
        <f>SUM(C125:J125)</f>
        <v>0</v>
      </c>
      <c r="L125" s="466"/>
    </row>
    <row r="126" spans="1:14" ht="14.25" thickTop="1" thickBot="1" x14ac:dyDescent="0.25">
      <c r="A126" s="1502"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1113454</v>
      </c>
      <c r="D127" s="1668">
        <f t="shared" ref="D127:L127" si="14">SUM(D122:D126)</f>
        <v>222895</v>
      </c>
      <c r="E127" s="1668">
        <f t="shared" si="14"/>
        <v>338621</v>
      </c>
      <c r="F127" s="1668">
        <f t="shared" si="14"/>
        <v>975323</v>
      </c>
      <c r="G127" s="1668">
        <f t="shared" si="14"/>
        <v>0</v>
      </c>
      <c r="H127" s="1668">
        <f t="shared" si="14"/>
        <v>0</v>
      </c>
      <c r="I127" s="1668">
        <f t="shared" si="14"/>
        <v>0</v>
      </c>
      <c r="J127" s="1668">
        <f t="shared" si="14"/>
        <v>0</v>
      </c>
      <c r="K127" s="1668">
        <f t="shared" si="14"/>
        <v>2650293</v>
      </c>
      <c r="L127" s="1668">
        <f t="shared" si="14"/>
        <v>2852566</v>
      </c>
    </row>
    <row r="128" spans="1:14" ht="12.75" customHeight="1" thickTop="1" x14ac:dyDescent="0.2">
      <c r="A128" s="1509"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1113454</v>
      </c>
      <c r="D129" s="1675">
        <f t="shared" ref="D129:L129" si="15">SUM(D120,D127,D128)</f>
        <v>222895</v>
      </c>
      <c r="E129" s="1675">
        <f t="shared" si="15"/>
        <v>338621</v>
      </c>
      <c r="F129" s="1675">
        <f t="shared" si="15"/>
        <v>975323</v>
      </c>
      <c r="G129" s="1675">
        <f t="shared" si="15"/>
        <v>0</v>
      </c>
      <c r="H129" s="1675">
        <f t="shared" si="15"/>
        <v>0</v>
      </c>
      <c r="I129" s="1675">
        <f t="shared" si="15"/>
        <v>0</v>
      </c>
      <c r="J129" s="1675">
        <f t="shared" si="15"/>
        <v>0</v>
      </c>
      <c r="K129" s="1675">
        <f t="shared" si="15"/>
        <v>2650293</v>
      </c>
      <c r="L129" s="1675">
        <f t="shared" si="15"/>
        <v>2852566</v>
      </c>
    </row>
    <row r="130" spans="1:14" ht="15.75" customHeight="1" thickTop="1" thickBot="1" x14ac:dyDescent="0.25">
      <c r="A130" s="1608" t="s">
        <v>1036</v>
      </c>
      <c r="B130" s="1609" t="s">
        <v>575</v>
      </c>
      <c r="C130" s="576"/>
      <c r="D130" s="576"/>
      <c r="E130" s="576"/>
      <c r="F130" s="576"/>
      <c r="G130" s="576"/>
      <c r="H130" s="576"/>
      <c r="I130" s="531"/>
      <c r="J130" s="531"/>
      <c r="K130" s="1668">
        <f>SUM(C130:J130)</f>
        <v>0</v>
      </c>
      <c r="L130" s="576"/>
    </row>
    <row r="131" spans="1:14" ht="15.75" customHeight="1" thickTop="1" x14ac:dyDescent="0.2">
      <c r="A131" s="1614" t="s">
        <v>616</v>
      </c>
      <c r="B131" s="160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8" t="s">
        <v>496</v>
      </c>
      <c r="B133" s="1839" t="s">
        <v>1841</v>
      </c>
      <c r="C133" s="468"/>
      <c r="D133" s="468"/>
      <c r="E133" s="641"/>
      <c r="F133" s="468"/>
      <c r="G133" s="468"/>
      <c r="H133" s="641"/>
      <c r="I133" s="468"/>
      <c r="J133" s="468"/>
      <c r="K133" s="1819">
        <f>SUM(E133,H133)</f>
        <v>0</v>
      </c>
      <c r="L133" s="641"/>
      <c r="M133" s="206"/>
      <c r="N133" s="206"/>
    </row>
    <row r="134" spans="1:14" x14ac:dyDescent="0.2">
      <c r="A134" s="1502" t="s">
        <v>304</v>
      </c>
      <c r="B134" s="614">
        <v>4120</v>
      </c>
      <c r="C134" s="616"/>
      <c r="D134" s="616"/>
      <c r="E134" s="478"/>
      <c r="F134" s="616"/>
      <c r="G134" s="616"/>
      <c r="H134" s="481"/>
      <c r="I134" s="477"/>
      <c r="J134" s="616"/>
      <c r="K134" s="1670">
        <f>SUM(E134,H134)</f>
        <v>0</v>
      </c>
      <c r="L134" s="481"/>
    </row>
    <row r="135" spans="1:14" x14ac:dyDescent="0.2">
      <c r="A135" s="1502" t="s">
        <v>697</v>
      </c>
      <c r="B135" s="614">
        <v>4140</v>
      </c>
      <c r="C135" s="616"/>
      <c r="D135" s="616"/>
      <c r="E135" s="467"/>
      <c r="F135" s="616"/>
      <c r="G135" s="616"/>
      <c r="H135" s="466"/>
      <c r="I135" s="477"/>
      <c r="J135" s="616"/>
      <c r="K135" s="1670">
        <f>SUM(E135,H135)</f>
        <v>0</v>
      </c>
      <c r="L135" s="466"/>
    </row>
    <row r="136" spans="1:14" x14ac:dyDescent="0.2">
      <c r="A136" s="1506"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08"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0" t="s">
        <v>1037</v>
      </c>
      <c r="B140" s="161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c r="I142" s="468"/>
      <c r="J142" s="616"/>
      <c r="K142" s="1670">
        <f>SUM(H142)</f>
        <v>0</v>
      </c>
      <c r="L142" s="481"/>
    </row>
    <row r="143" spans="1:14" x14ac:dyDescent="0.2">
      <c r="A143" s="1502" t="s">
        <v>88</v>
      </c>
      <c r="B143" s="614">
        <v>5120</v>
      </c>
      <c r="C143" s="616"/>
      <c r="D143" s="616"/>
      <c r="E143" s="616"/>
      <c r="F143" s="616"/>
      <c r="G143" s="616"/>
      <c r="H143" s="466"/>
      <c r="I143" s="468"/>
      <c r="J143" s="616"/>
      <c r="K143" s="1670">
        <f>SUM(H143)</f>
        <v>0</v>
      </c>
      <c r="L143" s="466"/>
    </row>
    <row r="144" spans="1:14" ht="12.75" customHeight="1" x14ac:dyDescent="0.2">
      <c r="A144" s="1502" t="s">
        <v>1170</v>
      </c>
      <c r="B144" s="628" t="s">
        <v>617</v>
      </c>
      <c r="C144" s="616"/>
      <c r="D144" s="616"/>
      <c r="E144" s="616"/>
      <c r="F144" s="616"/>
      <c r="G144" s="616"/>
      <c r="H144" s="466"/>
      <c r="I144" s="468"/>
      <c r="J144" s="616"/>
      <c r="K144" s="1670">
        <f>SUM(H144)</f>
        <v>0</v>
      </c>
      <c r="L144" s="466"/>
    </row>
    <row r="145" spans="1:14" x14ac:dyDescent="0.2">
      <c r="A145" s="1502" t="s">
        <v>89</v>
      </c>
      <c r="B145" s="614" t="s">
        <v>589</v>
      </c>
      <c r="C145" s="616"/>
      <c r="D145" s="616"/>
      <c r="E145" s="616"/>
      <c r="F145" s="616"/>
      <c r="G145" s="616"/>
      <c r="H145" s="466"/>
      <c r="I145" s="468"/>
      <c r="J145" s="616"/>
      <c r="K145" s="1670">
        <f>SUM(H145)</f>
        <v>0</v>
      </c>
      <c r="L145" s="466"/>
    </row>
    <row r="146" spans="1:14" ht="12.75" customHeight="1" x14ac:dyDescent="0.2">
      <c r="A146" s="1502" t="s">
        <v>619</v>
      </c>
      <c r="B146" s="614" t="s">
        <v>618</v>
      </c>
      <c r="C146" s="616"/>
      <c r="D146" s="616"/>
      <c r="E146" s="616"/>
      <c r="F146" s="616"/>
      <c r="G146" s="616"/>
      <c r="H146" s="466"/>
      <c r="I146" s="468"/>
      <c r="J146" s="616"/>
      <c r="K146" s="1670">
        <f>SUM(H146)</f>
        <v>0</v>
      </c>
      <c r="L146" s="466"/>
    </row>
    <row r="147" spans="1:14" ht="12.75" customHeight="1" thickBot="1" x14ac:dyDescent="0.25">
      <c r="A147" s="1513"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5"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4" t="s">
        <v>1038</v>
      </c>
      <c r="B150" s="1611" t="s">
        <v>861</v>
      </c>
      <c r="C150" s="616"/>
      <c r="D150" s="616"/>
      <c r="E150" s="616"/>
      <c r="F150" s="616"/>
      <c r="G150" s="616"/>
      <c r="H150" s="662"/>
      <c r="I150" s="521"/>
      <c r="J150" s="616"/>
      <c r="K150" s="623"/>
      <c r="L150" s="573"/>
    </row>
    <row r="151" spans="1:14" ht="12.75" customHeight="1" thickTop="1" thickBot="1" x14ac:dyDescent="0.25">
      <c r="A151" s="2288" t="s">
        <v>620</v>
      </c>
      <c r="B151" s="2268"/>
      <c r="C151" s="1668">
        <f>SUM(C129,C130,C139,C149,C150)</f>
        <v>1113454</v>
      </c>
      <c r="D151" s="1668">
        <f t="shared" ref="D151:K151" si="16">SUM(D129,D130,D139,D149,D150)</f>
        <v>222895</v>
      </c>
      <c r="E151" s="1668">
        <f t="shared" si="16"/>
        <v>338621</v>
      </c>
      <c r="F151" s="1668">
        <f t="shared" si="16"/>
        <v>975323</v>
      </c>
      <c r="G151" s="1668">
        <f t="shared" si="16"/>
        <v>0</v>
      </c>
      <c r="H151" s="1668">
        <f t="shared" si="16"/>
        <v>0</v>
      </c>
      <c r="I151" s="1668">
        <f t="shared" si="16"/>
        <v>0</v>
      </c>
      <c r="J151" s="1668">
        <f t="shared" si="16"/>
        <v>0</v>
      </c>
      <c r="K151" s="1668">
        <f t="shared" si="16"/>
        <v>2650293</v>
      </c>
      <c r="L151" s="1668">
        <f>SUM(L129,L130,L139,L149,L150)</f>
        <v>2852566</v>
      </c>
    </row>
    <row r="152" spans="1:14" ht="12.75" customHeight="1" thickTop="1" x14ac:dyDescent="0.2">
      <c r="A152" s="2291" t="s">
        <v>1178</v>
      </c>
      <c r="B152" s="2292"/>
      <c r="C152" s="618"/>
      <c r="D152" s="618"/>
      <c r="E152" s="618"/>
      <c r="F152" s="618"/>
      <c r="G152" s="618"/>
      <c r="H152" s="618"/>
      <c r="I152" s="618"/>
      <c r="J152" s="616"/>
      <c r="K152" s="1682">
        <f>'Revenues 9-14'!D268-'Expenditures 15-22'!K151</f>
        <v>124320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276" t="s">
        <v>621</v>
      </c>
      <c r="B154" s="2278"/>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860</v>
      </c>
      <c r="C155" s="616"/>
      <c r="D155" s="616"/>
      <c r="E155" s="616"/>
      <c r="F155" s="616"/>
      <c r="G155" s="616"/>
      <c r="H155" s="1840"/>
      <c r="I155" s="616"/>
      <c r="J155" s="616"/>
      <c r="K155" s="1823"/>
      <c r="L155" s="1840"/>
      <c r="M155" s="619"/>
      <c r="N155" s="619"/>
    </row>
    <row r="156" spans="1:14" s="620" customFormat="1" ht="15.75" customHeight="1" thickTop="1" x14ac:dyDescent="0.2">
      <c r="A156" s="1820" t="s">
        <v>1842</v>
      </c>
      <c r="B156" s="1821"/>
      <c r="C156" s="616"/>
      <c r="D156" s="616"/>
      <c r="E156" s="616"/>
      <c r="F156" s="616"/>
      <c r="G156" s="616"/>
      <c r="H156" s="1841"/>
      <c r="I156" s="616"/>
      <c r="J156" s="616"/>
      <c r="K156" s="1822"/>
      <c r="L156" s="1841"/>
      <c r="M156" s="619"/>
      <c r="N156" s="619"/>
    </row>
    <row r="157" spans="1:14" s="620" customFormat="1" ht="12" x14ac:dyDescent="0.2">
      <c r="A157" s="1824" t="s">
        <v>496</v>
      </c>
      <c r="B157" s="1825" t="s">
        <v>1841</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1843</v>
      </c>
      <c r="C158" s="616"/>
      <c r="D158" s="616"/>
      <c r="E158" s="616"/>
      <c r="F158" s="616"/>
      <c r="G158" s="616"/>
      <c r="H158" s="467"/>
      <c r="I158" s="616"/>
      <c r="J158" s="616"/>
      <c r="K158" s="1669">
        <f>H158</f>
        <v>0</v>
      </c>
      <c r="L158" s="467"/>
      <c r="M158" s="619"/>
      <c r="N158" s="619"/>
    </row>
    <row r="159" spans="1:14" s="620" customFormat="1" ht="12" x14ac:dyDescent="0.2">
      <c r="A159" s="1824" t="s">
        <v>1844</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1845</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0" t="s">
        <v>82</v>
      </c>
      <c r="B161" s="161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c r="I163" s="616"/>
      <c r="J163" s="616"/>
      <c r="K163" s="1669">
        <f>SUM(C163:J163)</f>
        <v>0</v>
      </c>
      <c r="L163" s="466"/>
    </row>
    <row r="164" spans="1:14" x14ac:dyDescent="0.2">
      <c r="A164" s="1502" t="s">
        <v>88</v>
      </c>
      <c r="B164" s="614">
        <v>5120</v>
      </c>
      <c r="C164" s="616"/>
      <c r="D164" s="616"/>
      <c r="E164" s="616"/>
      <c r="F164" s="616"/>
      <c r="G164" s="616"/>
      <c r="H164" s="466"/>
      <c r="I164" s="616"/>
      <c r="J164" s="616"/>
      <c r="K164" s="1669">
        <f>SUM(C164:J164)</f>
        <v>0</v>
      </c>
      <c r="L164" s="466"/>
    </row>
    <row r="165" spans="1:14" ht="12.75" customHeight="1" x14ac:dyDescent="0.2">
      <c r="A165" s="1502" t="s">
        <v>1170</v>
      </c>
      <c r="B165" s="614" t="s">
        <v>617</v>
      </c>
      <c r="C165" s="616"/>
      <c r="D165" s="616"/>
      <c r="E165" s="616"/>
      <c r="F165" s="616"/>
      <c r="G165" s="616"/>
      <c r="H165" s="466"/>
      <c r="I165" s="616"/>
      <c r="J165" s="616"/>
      <c r="K165" s="1669">
        <f>SUM(C165:J165)</f>
        <v>0</v>
      </c>
      <c r="L165" s="466"/>
    </row>
    <row r="166" spans="1:14" x14ac:dyDescent="0.2">
      <c r="A166" s="1502" t="s">
        <v>89</v>
      </c>
      <c r="B166" s="628" t="s">
        <v>589</v>
      </c>
      <c r="C166" s="616"/>
      <c r="D166" s="616"/>
      <c r="E166" s="616"/>
      <c r="F166" s="616"/>
      <c r="G166" s="616"/>
      <c r="H166" s="466"/>
      <c r="I166" s="616"/>
      <c r="J166" s="616"/>
      <c r="K166" s="1669">
        <f>SUM(C166:J166)</f>
        <v>0</v>
      </c>
      <c r="L166" s="466"/>
    </row>
    <row r="167" spans="1:14" ht="12.75" customHeight="1" x14ac:dyDescent="0.2">
      <c r="A167" s="1502"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198300</v>
      </c>
      <c r="I169" s="616"/>
      <c r="J169" s="616"/>
      <c r="K169" s="1669">
        <f>SUM(C169:H169)</f>
        <v>198300</v>
      </c>
      <c r="L169" s="656">
        <v>3250500</v>
      </c>
    </row>
    <row r="170" spans="1:14" ht="33.75" customHeight="1" x14ac:dyDescent="0.2">
      <c r="A170" s="669" t="s">
        <v>1670</v>
      </c>
      <c r="B170" s="671" t="s">
        <v>31</v>
      </c>
      <c r="C170" s="616"/>
      <c r="D170" s="616"/>
      <c r="E170" s="616"/>
      <c r="F170" s="616"/>
      <c r="G170" s="616"/>
      <c r="H170" s="569">
        <v>2185000</v>
      </c>
      <c r="I170" s="616"/>
      <c r="J170" s="616"/>
      <c r="K170" s="1669">
        <f>SUM(C170:J170)</f>
        <v>2185000</v>
      </c>
      <c r="L170" s="569"/>
    </row>
    <row r="171" spans="1:14" ht="15.75" customHeight="1" x14ac:dyDescent="0.2">
      <c r="A171" s="621" t="s">
        <v>766</v>
      </c>
      <c r="B171" s="672" t="s">
        <v>84</v>
      </c>
      <c r="C171" s="616"/>
      <c r="D171" s="616"/>
      <c r="E171" s="466"/>
      <c r="F171" s="616"/>
      <c r="G171" s="616"/>
      <c r="H171" s="569">
        <v>2475</v>
      </c>
      <c r="I171" s="477"/>
      <c r="J171" s="616"/>
      <c r="K171" s="1669">
        <f>SUM(C171:J171)</f>
        <v>2475</v>
      </c>
      <c r="L171" s="569"/>
    </row>
    <row r="172" spans="1:14" ht="12.75" customHeight="1" thickBot="1" x14ac:dyDescent="0.25">
      <c r="A172" s="1666" t="s">
        <v>638</v>
      </c>
      <c r="B172" s="1667" t="s">
        <v>492</v>
      </c>
      <c r="C172" s="616"/>
      <c r="D172" s="616"/>
      <c r="E172" s="1675">
        <f>SUM(E168,E169,E170,E171)</f>
        <v>0</v>
      </c>
      <c r="F172" s="616"/>
      <c r="G172" s="616"/>
      <c r="H172" s="1675">
        <f>SUM(H168,H169,H170,H171)</f>
        <v>2385775</v>
      </c>
      <c r="I172" s="638"/>
      <c r="J172" s="616"/>
      <c r="K172" s="1675">
        <f>SUM(K168,K169,K170,K171)</f>
        <v>2385775</v>
      </c>
      <c r="L172" s="1675">
        <f>SUM(L168,L169,L170,L171)</f>
        <v>3250500</v>
      </c>
    </row>
    <row r="173" spans="1:14" ht="15.75" customHeight="1" thickTop="1" thickBot="1" x14ac:dyDescent="0.25">
      <c r="A173" s="1617" t="s">
        <v>85</v>
      </c>
      <c r="B173" s="1609"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2385775</v>
      </c>
      <c r="I174" s="638"/>
      <c r="J174" s="616"/>
      <c r="K174" s="1675">
        <f>SUM(K160,K172,K173)</f>
        <v>2385775</v>
      </c>
      <c r="L174" s="1675">
        <f>SUM(L160,L172,L173)</f>
        <v>3250500</v>
      </c>
    </row>
    <row r="175" spans="1:14" ht="13.5" thickTop="1" x14ac:dyDescent="0.2">
      <c r="A175" s="2271" t="s">
        <v>996</v>
      </c>
      <c r="B175" s="2272"/>
      <c r="C175" s="616"/>
      <c r="D175" s="616"/>
      <c r="E175" s="616"/>
      <c r="F175" s="616"/>
      <c r="G175" s="616"/>
      <c r="H175" s="618"/>
      <c r="I175" s="616"/>
      <c r="J175" s="616"/>
      <c r="K175" s="1682">
        <f>'Revenues 9-14'!E268-'Expenditures 15-22'!K174</f>
        <v>-65720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937</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938</v>
      </c>
      <c r="B178" s="161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2" t="s">
        <v>2055</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2" t="s">
        <v>953</v>
      </c>
      <c r="B182" s="614">
        <v>2550</v>
      </c>
      <c r="C182" s="466">
        <f>123978+192858</f>
        <v>316836</v>
      </c>
      <c r="D182" s="466">
        <f>29658+110999</f>
        <v>140657</v>
      </c>
      <c r="E182" s="466">
        <f>2098161+1957</f>
        <v>2100118</v>
      </c>
      <c r="F182" s="466">
        <f>181039+384</f>
        <v>181423</v>
      </c>
      <c r="G182" s="466"/>
      <c r="H182" s="466"/>
      <c r="I182" s="467"/>
      <c r="J182" s="467"/>
      <c r="K182" s="1669">
        <f>SUM(C182:J182)</f>
        <v>2739034</v>
      </c>
      <c r="L182" s="466">
        <v>2984154</v>
      </c>
    </row>
    <row r="183" spans="1:14" ht="12.75" customHeight="1" thickBot="1" x14ac:dyDescent="0.25">
      <c r="A183" s="1507"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316836</v>
      </c>
      <c r="D184" s="1675">
        <f t="shared" ref="D184:J184" si="17">SUM(D180,D182,D183)</f>
        <v>140657</v>
      </c>
      <c r="E184" s="1675">
        <f t="shared" si="17"/>
        <v>2100118</v>
      </c>
      <c r="F184" s="1675">
        <f t="shared" si="17"/>
        <v>181423</v>
      </c>
      <c r="G184" s="1675">
        <f t="shared" si="17"/>
        <v>0</v>
      </c>
      <c r="H184" s="1675">
        <f t="shared" si="17"/>
        <v>0</v>
      </c>
      <c r="I184" s="1675">
        <f t="shared" si="17"/>
        <v>0</v>
      </c>
      <c r="J184" s="1675">
        <f t="shared" si="17"/>
        <v>0</v>
      </c>
      <c r="K184" s="1675">
        <f>SUM(K180,K182,K183)</f>
        <v>2739034</v>
      </c>
      <c r="L184" s="1675">
        <f>SUM(L180, L182:L183)</f>
        <v>2984154</v>
      </c>
    </row>
    <row r="185" spans="1:14" ht="15.75" customHeight="1" thickTop="1" thickBot="1" x14ac:dyDescent="0.25">
      <c r="A185" s="1620" t="s">
        <v>939</v>
      </c>
      <c r="B185" s="1609">
        <v>3000</v>
      </c>
      <c r="C185" s="576"/>
      <c r="D185" s="576"/>
      <c r="E185" s="576"/>
      <c r="F185" s="576"/>
      <c r="G185" s="576"/>
      <c r="H185" s="576"/>
      <c r="I185" s="531"/>
      <c r="J185" s="531"/>
      <c r="K185" s="1668">
        <f>SUM(C185:J185)</f>
        <v>0</v>
      </c>
      <c r="L185" s="576"/>
    </row>
    <row r="186" spans="1:14" s="674" customFormat="1" ht="15.75" customHeight="1" thickTop="1" x14ac:dyDescent="0.2">
      <c r="A186" s="1604" t="s">
        <v>91</v>
      </c>
      <c r="B186" s="160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2" t="s">
        <v>496</v>
      </c>
      <c r="B188" s="614">
        <v>4110</v>
      </c>
      <c r="C188" s="616"/>
      <c r="D188" s="616"/>
      <c r="E188" s="466"/>
      <c r="F188" s="616"/>
      <c r="G188" s="616"/>
      <c r="H188" s="466"/>
      <c r="I188" s="477"/>
      <c r="J188" s="616"/>
      <c r="K188" s="1669">
        <f t="shared" ref="K188:K193" si="18">SUM(E188,H188)</f>
        <v>0</v>
      </c>
      <c r="L188" s="466"/>
    </row>
    <row r="189" spans="1:14" x14ac:dyDescent="0.2">
      <c r="A189" s="1502" t="s">
        <v>304</v>
      </c>
      <c r="B189" s="614">
        <v>4120</v>
      </c>
      <c r="C189" s="616"/>
      <c r="D189" s="616"/>
      <c r="E189" s="466"/>
      <c r="F189" s="616"/>
      <c r="G189" s="616"/>
      <c r="H189" s="466"/>
      <c r="I189" s="477"/>
      <c r="J189" s="616"/>
      <c r="K189" s="1669">
        <f t="shared" si="18"/>
        <v>0</v>
      </c>
      <c r="L189" s="466"/>
    </row>
    <row r="190" spans="1:14" x14ac:dyDescent="0.2">
      <c r="A190" s="1502" t="s">
        <v>305</v>
      </c>
      <c r="B190" s="628">
        <v>4130</v>
      </c>
      <c r="C190" s="616"/>
      <c r="D190" s="616"/>
      <c r="E190" s="466"/>
      <c r="F190" s="616"/>
      <c r="G190" s="616"/>
      <c r="H190" s="466"/>
      <c r="I190" s="477"/>
      <c r="J190" s="616"/>
      <c r="K190" s="1669">
        <f t="shared" si="18"/>
        <v>0</v>
      </c>
      <c r="L190" s="466"/>
    </row>
    <row r="191" spans="1:14" x14ac:dyDescent="0.2">
      <c r="A191" s="1502" t="s">
        <v>697</v>
      </c>
      <c r="B191" s="614">
        <v>4140</v>
      </c>
      <c r="C191" s="616"/>
      <c r="D191" s="616"/>
      <c r="E191" s="466"/>
      <c r="F191" s="616"/>
      <c r="G191" s="616"/>
      <c r="H191" s="466"/>
      <c r="I191" s="477"/>
      <c r="J191" s="616"/>
      <c r="K191" s="1669">
        <f t="shared" si="18"/>
        <v>0</v>
      </c>
      <c r="L191" s="466"/>
    </row>
    <row r="192" spans="1:14" x14ac:dyDescent="0.2">
      <c r="A192" s="1502" t="s">
        <v>86</v>
      </c>
      <c r="B192" s="614">
        <v>4170</v>
      </c>
      <c r="C192" s="616"/>
      <c r="D192" s="616"/>
      <c r="E192" s="466"/>
      <c r="F192" s="616"/>
      <c r="G192" s="616"/>
      <c r="H192" s="466"/>
      <c r="I192" s="477"/>
      <c r="J192" s="616"/>
      <c r="K192" s="1669">
        <f t="shared" si="18"/>
        <v>0</v>
      </c>
      <c r="L192" s="466"/>
    </row>
    <row r="193" spans="1:14" x14ac:dyDescent="0.2">
      <c r="A193" s="1506"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0" t="s">
        <v>940</v>
      </c>
      <c r="B197" s="160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c r="I199" s="616"/>
      <c r="J199" s="616"/>
      <c r="K199" s="1669">
        <f>SUM(H199)</f>
        <v>0</v>
      </c>
      <c r="L199" s="466"/>
    </row>
    <row r="200" spans="1:14" x14ac:dyDescent="0.2">
      <c r="A200" s="1502" t="s">
        <v>88</v>
      </c>
      <c r="B200" s="614">
        <v>5120</v>
      </c>
      <c r="C200" s="616"/>
      <c r="D200" s="616"/>
      <c r="E200" s="616"/>
      <c r="F200" s="616"/>
      <c r="G200" s="616"/>
      <c r="H200" s="466"/>
      <c r="I200" s="616"/>
      <c r="J200" s="616"/>
      <c r="K200" s="1669">
        <f>SUM(H200)</f>
        <v>0</v>
      </c>
      <c r="L200" s="466"/>
    </row>
    <row r="201" spans="1:14" ht="12.75" customHeight="1" x14ac:dyDescent="0.2">
      <c r="A201" s="1502" t="s">
        <v>1170</v>
      </c>
      <c r="B201" s="628" t="s">
        <v>617</v>
      </c>
      <c r="C201" s="616"/>
      <c r="D201" s="616"/>
      <c r="E201" s="616"/>
      <c r="F201" s="616"/>
      <c r="G201" s="616"/>
      <c r="H201" s="466"/>
      <c r="I201" s="616"/>
      <c r="J201" s="616"/>
      <c r="K201" s="1669">
        <f>SUM(H201)</f>
        <v>0</v>
      </c>
      <c r="L201" s="466"/>
    </row>
    <row r="202" spans="1:14" x14ac:dyDescent="0.2">
      <c r="A202" s="1502" t="s">
        <v>89</v>
      </c>
      <c r="B202" s="614" t="s">
        <v>589</v>
      </c>
      <c r="C202" s="616"/>
      <c r="D202" s="616"/>
      <c r="E202" s="616"/>
      <c r="F202" s="616"/>
      <c r="G202" s="616"/>
      <c r="H202" s="466"/>
      <c r="I202" s="616"/>
      <c r="J202" s="616"/>
      <c r="K202" s="1669">
        <f>SUM(H202)</f>
        <v>0</v>
      </c>
      <c r="L202" s="466"/>
    </row>
    <row r="203" spans="1:14" x14ac:dyDescent="0.2">
      <c r="A203" s="1514"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1671</v>
      </c>
      <c r="B206" s="672" t="s">
        <v>31</v>
      </c>
      <c r="C206" s="616"/>
      <c r="D206" s="616"/>
      <c r="E206" s="616"/>
      <c r="F206" s="616"/>
      <c r="G206" s="616"/>
      <c r="H206" s="466"/>
      <c r="I206" s="616"/>
      <c r="J206" s="616"/>
      <c r="K206" s="1669">
        <f>SUM(H206)</f>
        <v>0</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4" t="s">
        <v>872</v>
      </c>
      <c r="B209" s="1611"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316836</v>
      </c>
      <c r="D210" s="1668">
        <f>SUM(D184,D185)</f>
        <v>140657</v>
      </c>
      <c r="E210" s="1668">
        <f>SUM(E184,E185,E196)</f>
        <v>2100118</v>
      </c>
      <c r="F210" s="1668">
        <f>SUM(F184,F185)</f>
        <v>181423</v>
      </c>
      <c r="G210" s="1668">
        <f>SUM(G184,G185)</f>
        <v>0</v>
      </c>
      <c r="H210" s="1668">
        <f>SUM(H184,H185,H196,H208,H209)</f>
        <v>0</v>
      </c>
      <c r="I210" s="1668">
        <f>SUM(I184,I185)</f>
        <v>0</v>
      </c>
      <c r="J210" s="1668">
        <f>SUM(J184,J185)</f>
        <v>0</v>
      </c>
      <c r="K210" s="1669">
        <f>SUM(K184,K185,K196,K208,K209)</f>
        <v>2739034</v>
      </c>
      <c r="L210" s="1668">
        <f>SUM(L184,L185,L196,L208,L209)</f>
        <v>2984154</v>
      </c>
    </row>
    <row r="211" spans="1:14" ht="13.5" thickTop="1" x14ac:dyDescent="0.2">
      <c r="A211" s="2271" t="s">
        <v>996</v>
      </c>
      <c r="B211" s="2272"/>
      <c r="C211" s="618"/>
      <c r="D211" s="618"/>
      <c r="E211" s="618"/>
      <c r="F211" s="618"/>
      <c r="G211" s="618"/>
      <c r="H211" s="618"/>
      <c r="I211" s="616"/>
      <c r="J211" s="616"/>
      <c r="K211" s="1682">
        <f>'Revenues 9-14'!F268-'Expenditures 15-22'!K210</f>
        <v>1602554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93" t="s">
        <v>965</v>
      </c>
      <c r="B213" s="2294"/>
      <c r="C213" s="1549"/>
      <c r="D213" s="1550"/>
      <c r="E213" s="1550"/>
      <c r="F213" s="1550"/>
      <c r="G213" s="1550"/>
      <c r="H213" s="1550"/>
      <c r="I213" s="1550"/>
      <c r="J213" s="1550"/>
      <c r="K213" s="1550"/>
      <c r="L213" s="1551"/>
      <c r="M213" s="609"/>
      <c r="N213" s="609"/>
    </row>
    <row r="214" spans="1:14" s="674" customFormat="1" ht="15.75" customHeight="1" x14ac:dyDescent="0.2">
      <c r="A214" s="1621" t="s">
        <v>873</v>
      </c>
      <c r="B214" s="1613" t="s">
        <v>570</v>
      </c>
      <c r="C214" s="616"/>
      <c r="D214" s="623"/>
      <c r="E214" s="616"/>
      <c r="F214" s="616"/>
      <c r="G214" s="616"/>
      <c r="H214" s="616"/>
      <c r="I214" s="616"/>
      <c r="J214" s="616"/>
      <c r="K214" s="623"/>
      <c r="L214" s="623"/>
      <c r="M214" s="665"/>
      <c r="N214" s="665"/>
    </row>
    <row r="215" spans="1:14" x14ac:dyDescent="0.2">
      <c r="A215" s="1502" t="s">
        <v>961</v>
      </c>
      <c r="B215" s="614">
        <v>1100</v>
      </c>
      <c r="C215" s="616"/>
      <c r="D215" s="466">
        <f>224+102272+69902</f>
        <v>172398</v>
      </c>
      <c r="E215" s="616"/>
      <c r="F215" s="616"/>
      <c r="G215" s="616"/>
      <c r="H215" s="616"/>
      <c r="I215" s="616"/>
      <c r="J215" s="616"/>
      <c r="K215" s="1669">
        <f>D215</f>
        <v>172398</v>
      </c>
      <c r="L215" s="466">
        <v>103645</v>
      </c>
    </row>
    <row r="216" spans="1:14" x14ac:dyDescent="0.2">
      <c r="A216" s="1502" t="s">
        <v>163</v>
      </c>
      <c r="B216" s="614" t="s">
        <v>967</v>
      </c>
      <c r="C216" s="616"/>
      <c r="D216" s="467"/>
      <c r="E216" s="616"/>
      <c r="F216" s="616"/>
      <c r="G216" s="616"/>
      <c r="H216" s="616"/>
      <c r="I216" s="616"/>
      <c r="J216" s="616"/>
      <c r="K216" s="1669">
        <f t="shared" ref="K216:K228" si="19">D216</f>
        <v>0</v>
      </c>
      <c r="L216" s="466">
        <v>79298</v>
      </c>
    </row>
    <row r="217" spans="1:14" x14ac:dyDescent="0.2">
      <c r="A217" s="1502" t="s">
        <v>164</v>
      </c>
      <c r="B217" s="614">
        <v>1200</v>
      </c>
      <c r="C217" s="616"/>
      <c r="D217" s="466">
        <f>412+19+246901</f>
        <v>247332</v>
      </c>
      <c r="E217" s="616"/>
      <c r="F217" s="616"/>
      <c r="G217" s="616"/>
      <c r="H217" s="616"/>
      <c r="I217" s="616"/>
      <c r="J217" s="616"/>
      <c r="K217" s="1669">
        <f t="shared" si="19"/>
        <v>247332</v>
      </c>
      <c r="L217" s="466">
        <v>567211</v>
      </c>
    </row>
    <row r="218" spans="1:14" x14ac:dyDescent="0.2">
      <c r="A218" s="1502" t="s">
        <v>278</v>
      </c>
      <c r="B218" s="614" t="s">
        <v>968</v>
      </c>
      <c r="C218" s="616"/>
      <c r="D218" s="467"/>
      <c r="E218" s="616"/>
      <c r="F218" s="616"/>
      <c r="G218" s="616"/>
      <c r="H218" s="616"/>
      <c r="I218" s="616"/>
      <c r="J218" s="616"/>
      <c r="K218" s="1669">
        <f t="shared" si="19"/>
        <v>0</v>
      </c>
      <c r="L218" s="466">
        <v>20462</v>
      </c>
    </row>
    <row r="219" spans="1:14" x14ac:dyDescent="0.2">
      <c r="A219" s="1502" t="s">
        <v>279</v>
      </c>
      <c r="B219" s="614">
        <v>1250</v>
      </c>
      <c r="C219" s="616"/>
      <c r="D219" s="466">
        <v>95057</v>
      </c>
      <c r="E219" s="616"/>
      <c r="F219" s="616"/>
      <c r="G219" s="616"/>
      <c r="H219" s="616"/>
      <c r="I219" s="616"/>
      <c r="J219" s="616"/>
      <c r="K219" s="1669">
        <f t="shared" si="19"/>
        <v>95057</v>
      </c>
      <c r="L219" s="466">
        <v>123476</v>
      </c>
    </row>
    <row r="220" spans="1:14" x14ac:dyDescent="0.2">
      <c r="A220" s="1502" t="s">
        <v>280</v>
      </c>
      <c r="B220" s="614" t="s">
        <v>161</v>
      </c>
      <c r="C220" s="616"/>
      <c r="D220" s="467"/>
      <c r="E220" s="616"/>
      <c r="F220" s="616"/>
      <c r="G220" s="616"/>
      <c r="H220" s="616"/>
      <c r="I220" s="616"/>
      <c r="J220" s="616"/>
      <c r="K220" s="1669">
        <f t="shared" si="19"/>
        <v>0</v>
      </c>
      <c r="L220" s="466"/>
    </row>
    <row r="221" spans="1:14" x14ac:dyDescent="0.2">
      <c r="A221" s="1502" t="s">
        <v>962</v>
      </c>
      <c r="B221" s="614">
        <v>1300</v>
      </c>
      <c r="C221" s="616"/>
      <c r="D221" s="466"/>
      <c r="E221" s="616"/>
      <c r="F221" s="616"/>
      <c r="G221" s="616"/>
      <c r="H221" s="616"/>
      <c r="I221" s="616"/>
      <c r="J221" s="616"/>
      <c r="K221" s="1669">
        <f t="shared" si="19"/>
        <v>0</v>
      </c>
      <c r="L221" s="466"/>
    </row>
    <row r="222" spans="1:14" x14ac:dyDescent="0.2">
      <c r="A222" s="1502" t="s">
        <v>723</v>
      </c>
      <c r="B222" s="614">
        <v>1400</v>
      </c>
      <c r="C222" s="616"/>
      <c r="D222" s="466"/>
      <c r="E222" s="616"/>
      <c r="F222" s="616"/>
      <c r="G222" s="616"/>
      <c r="H222" s="616"/>
      <c r="I222" s="616"/>
      <c r="J222" s="616"/>
      <c r="K222" s="1669">
        <f t="shared" si="19"/>
        <v>0</v>
      </c>
      <c r="L222" s="466"/>
    </row>
    <row r="223" spans="1:14" x14ac:dyDescent="0.2">
      <c r="A223" s="1502" t="s">
        <v>963</v>
      </c>
      <c r="B223" s="614">
        <v>1500</v>
      </c>
      <c r="C223" s="616"/>
      <c r="D223" s="466">
        <f>29602+1020+257+531+630+213+20</f>
        <v>32273</v>
      </c>
      <c r="E223" s="616"/>
      <c r="F223" s="616"/>
      <c r="G223" s="616"/>
      <c r="H223" s="616"/>
      <c r="I223" s="616"/>
      <c r="J223" s="616"/>
      <c r="K223" s="1669">
        <f t="shared" si="19"/>
        <v>32273</v>
      </c>
      <c r="L223" s="466">
        <v>56514</v>
      </c>
    </row>
    <row r="224" spans="1:14" x14ac:dyDescent="0.2">
      <c r="A224" s="1502" t="s">
        <v>964</v>
      </c>
      <c r="B224" s="614">
        <v>1600</v>
      </c>
      <c r="C224" s="616"/>
      <c r="D224" s="466">
        <v>79</v>
      </c>
      <c r="E224" s="616"/>
      <c r="F224" s="616"/>
      <c r="G224" s="616"/>
      <c r="H224" s="616"/>
      <c r="I224" s="616"/>
      <c r="J224" s="616"/>
      <c r="K224" s="1669">
        <f t="shared" si="19"/>
        <v>79</v>
      </c>
      <c r="L224" s="466">
        <v>100</v>
      </c>
    </row>
    <row r="225" spans="1:12" x14ac:dyDescent="0.2">
      <c r="A225" s="1502" t="s">
        <v>987</v>
      </c>
      <c r="B225" s="614">
        <v>1650</v>
      </c>
      <c r="C225" s="616"/>
      <c r="D225" s="466"/>
      <c r="E225" s="616"/>
      <c r="F225" s="616"/>
      <c r="G225" s="616"/>
      <c r="H225" s="616"/>
      <c r="I225" s="616"/>
      <c r="J225" s="616"/>
      <c r="K225" s="1669">
        <f t="shared" si="19"/>
        <v>0</v>
      </c>
      <c r="L225" s="466"/>
    </row>
    <row r="226" spans="1:12" x14ac:dyDescent="0.2">
      <c r="A226" s="1502" t="s">
        <v>724</v>
      </c>
      <c r="B226" s="614" t="s">
        <v>162</v>
      </c>
      <c r="C226" s="616"/>
      <c r="D226" s="467"/>
      <c r="E226" s="616"/>
      <c r="F226" s="616"/>
      <c r="G226" s="616"/>
      <c r="H226" s="616"/>
      <c r="I226" s="616"/>
      <c r="J226" s="616"/>
      <c r="K226" s="1669">
        <f t="shared" si="19"/>
        <v>0</v>
      </c>
      <c r="L226" s="466"/>
    </row>
    <row r="227" spans="1:12" x14ac:dyDescent="0.2">
      <c r="A227" s="1502" t="s">
        <v>1087</v>
      </c>
      <c r="B227" s="614">
        <v>1800</v>
      </c>
      <c r="C227" s="616"/>
      <c r="D227" s="466"/>
      <c r="E227" s="616"/>
      <c r="F227" s="616"/>
      <c r="G227" s="616"/>
      <c r="H227" s="616"/>
      <c r="I227" s="616"/>
      <c r="J227" s="616"/>
      <c r="K227" s="1669">
        <f t="shared" si="19"/>
        <v>0</v>
      </c>
      <c r="L227" s="466"/>
    </row>
    <row r="228" spans="1:12" x14ac:dyDescent="0.2">
      <c r="A228" s="1502"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547139</v>
      </c>
      <c r="E229" s="616"/>
      <c r="F229" s="616"/>
      <c r="G229" s="616"/>
      <c r="H229" s="616"/>
      <c r="I229" s="616"/>
      <c r="J229" s="616"/>
      <c r="K229" s="1668">
        <f>SUM(K215:K228)</f>
        <v>547139</v>
      </c>
      <c r="L229" s="1668">
        <f>SUM(L215:L228)</f>
        <v>950706</v>
      </c>
    </row>
    <row r="230" spans="1:12" ht="15.75" customHeight="1" thickTop="1" x14ac:dyDescent="0.2">
      <c r="A230" s="1610" t="s">
        <v>874</v>
      </c>
      <c r="B230" s="161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2" t="s">
        <v>1089</v>
      </c>
      <c r="B232" s="614">
        <v>2110</v>
      </c>
      <c r="C232" s="616"/>
      <c r="D232" s="466">
        <v>88309</v>
      </c>
      <c r="E232" s="616"/>
      <c r="F232" s="616"/>
      <c r="G232" s="616"/>
      <c r="H232" s="616"/>
      <c r="I232" s="616"/>
      <c r="J232" s="616"/>
      <c r="K232" s="1669">
        <f t="shared" ref="K232:K237" si="20">D232</f>
        <v>88309</v>
      </c>
      <c r="L232" s="466">
        <v>105656</v>
      </c>
    </row>
    <row r="233" spans="1:12" x14ac:dyDescent="0.2">
      <c r="A233" s="1502" t="s">
        <v>1090</v>
      </c>
      <c r="B233" s="614">
        <v>2120</v>
      </c>
      <c r="C233" s="616"/>
      <c r="D233" s="466">
        <v>4045</v>
      </c>
      <c r="E233" s="616"/>
      <c r="F233" s="616"/>
      <c r="G233" s="616"/>
      <c r="H233" s="616"/>
      <c r="I233" s="616"/>
      <c r="J233" s="616"/>
      <c r="K233" s="1669">
        <f t="shared" si="20"/>
        <v>4045</v>
      </c>
      <c r="L233" s="466">
        <v>4100</v>
      </c>
    </row>
    <row r="234" spans="1:12" x14ac:dyDescent="0.2">
      <c r="A234" s="1502" t="s">
        <v>198</v>
      </c>
      <c r="B234" s="614">
        <v>2130</v>
      </c>
      <c r="C234" s="616"/>
      <c r="D234" s="466">
        <v>63345</v>
      </c>
      <c r="E234" s="616"/>
      <c r="F234" s="616"/>
      <c r="G234" s="616"/>
      <c r="H234" s="616"/>
      <c r="I234" s="616"/>
      <c r="J234" s="616"/>
      <c r="K234" s="1669">
        <f t="shared" si="20"/>
        <v>63345</v>
      </c>
      <c r="L234" s="466">
        <v>102322</v>
      </c>
    </row>
    <row r="235" spans="1:12" x14ac:dyDescent="0.2">
      <c r="A235" s="1502" t="s">
        <v>199</v>
      </c>
      <c r="B235" s="614">
        <v>2140</v>
      </c>
      <c r="C235" s="616"/>
      <c r="D235" s="466">
        <v>5173</v>
      </c>
      <c r="E235" s="616"/>
      <c r="F235" s="616"/>
      <c r="G235" s="616"/>
      <c r="H235" s="616"/>
      <c r="I235" s="616"/>
      <c r="J235" s="616"/>
      <c r="K235" s="1669">
        <f t="shared" si="20"/>
        <v>5173</v>
      </c>
      <c r="L235" s="466">
        <v>5621</v>
      </c>
    </row>
    <row r="236" spans="1:12" x14ac:dyDescent="0.2">
      <c r="A236" s="1502" t="s">
        <v>200</v>
      </c>
      <c r="B236" s="614">
        <v>2150</v>
      </c>
      <c r="C236" s="616"/>
      <c r="D236" s="466">
        <v>4558</v>
      </c>
      <c r="E236" s="616"/>
      <c r="F236" s="616"/>
      <c r="G236" s="616"/>
      <c r="H236" s="616"/>
      <c r="I236" s="616"/>
      <c r="J236" s="616"/>
      <c r="K236" s="1669">
        <f t="shared" si="20"/>
        <v>4558</v>
      </c>
      <c r="L236" s="466">
        <v>4600</v>
      </c>
    </row>
    <row r="237" spans="1:12" x14ac:dyDescent="0.2">
      <c r="A237" s="1502" t="s">
        <v>165</v>
      </c>
      <c r="B237" s="614">
        <v>2190</v>
      </c>
      <c r="C237" s="616"/>
      <c r="D237" s="466"/>
      <c r="E237" s="616"/>
      <c r="F237" s="616"/>
      <c r="G237" s="616"/>
      <c r="H237" s="616"/>
      <c r="I237" s="616"/>
      <c r="J237" s="616"/>
      <c r="K237" s="1669">
        <f t="shared" si="20"/>
        <v>0</v>
      </c>
      <c r="L237" s="466"/>
    </row>
    <row r="238" spans="1:12" ht="12.75" customHeight="1" thickBot="1" x14ac:dyDescent="0.25">
      <c r="A238" s="1666" t="s">
        <v>560</v>
      </c>
      <c r="B238" s="1673" t="s">
        <v>716</v>
      </c>
      <c r="C238" s="616"/>
      <c r="D238" s="1668">
        <f>SUM(D232:D237)</f>
        <v>165430</v>
      </c>
      <c r="E238" s="616"/>
      <c r="F238" s="616"/>
      <c r="G238" s="616"/>
      <c r="H238" s="616"/>
      <c r="I238" s="616"/>
      <c r="J238" s="616"/>
      <c r="K238" s="1668">
        <f>SUM(K232:K237)</f>
        <v>165430</v>
      </c>
      <c r="L238" s="1668">
        <f>SUM(L232:L237)</f>
        <v>222299</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2" t="s">
        <v>814</v>
      </c>
      <c r="B240" s="614">
        <v>2210</v>
      </c>
      <c r="C240" s="616"/>
      <c r="D240" s="481">
        <v>54622</v>
      </c>
      <c r="E240" s="616"/>
      <c r="F240" s="616"/>
      <c r="G240" s="616"/>
      <c r="H240" s="616"/>
      <c r="I240" s="616"/>
      <c r="J240" s="616"/>
      <c r="K240" s="1670">
        <f>D240</f>
        <v>54622</v>
      </c>
      <c r="L240" s="481">
        <v>61792</v>
      </c>
    </row>
    <row r="241" spans="1:12" x14ac:dyDescent="0.2">
      <c r="A241" s="1502" t="s">
        <v>815</v>
      </c>
      <c r="B241" s="614">
        <v>2220</v>
      </c>
      <c r="C241" s="616"/>
      <c r="D241" s="466">
        <v>4161</v>
      </c>
      <c r="E241" s="616"/>
      <c r="F241" s="616"/>
      <c r="G241" s="616"/>
      <c r="H241" s="616"/>
      <c r="I241" s="616"/>
      <c r="J241" s="616"/>
      <c r="K241" s="1670">
        <f>D241</f>
        <v>4161</v>
      </c>
      <c r="L241" s="466">
        <v>5635</v>
      </c>
    </row>
    <row r="242" spans="1:12" x14ac:dyDescent="0.2">
      <c r="A242" s="1502"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58783</v>
      </c>
      <c r="E243" s="616"/>
      <c r="F243" s="616"/>
      <c r="G243" s="616"/>
      <c r="H243" s="616"/>
      <c r="I243" s="616"/>
      <c r="J243" s="616"/>
      <c r="K243" s="1668">
        <f>SUM(K240:K242)</f>
        <v>58783</v>
      </c>
      <c r="L243" s="1668">
        <f>SUM(L240:L242)</f>
        <v>67427</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2" t="s">
        <v>817</v>
      </c>
      <c r="B245" s="614">
        <v>2310</v>
      </c>
      <c r="C245" s="616"/>
      <c r="D245" s="481">
        <v>14658</v>
      </c>
      <c r="E245" s="616"/>
      <c r="F245" s="616"/>
      <c r="G245" s="616"/>
      <c r="H245" s="616"/>
      <c r="I245" s="616"/>
      <c r="J245" s="616"/>
      <c r="K245" s="1670">
        <f>D245</f>
        <v>14658</v>
      </c>
      <c r="L245" s="481"/>
    </row>
    <row r="246" spans="1:12" x14ac:dyDescent="0.2">
      <c r="A246" s="1502" t="s">
        <v>818</v>
      </c>
      <c r="B246" s="614">
        <v>2320</v>
      </c>
      <c r="C246" s="616"/>
      <c r="D246" s="466">
        <v>15231</v>
      </c>
      <c r="E246" s="616"/>
      <c r="F246" s="616"/>
      <c r="G246" s="616"/>
      <c r="H246" s="616"/>
      <c r="I246" s="616"/>
      <c r="J246" s="616"/>
      <c r="K246" s="1670">
        <f t="shared" ref="K246:K256" si="21">D246</f>
        <v>15231</v>
      </c>
      <c r="L246" s="466">
        <v>15689</v>
      </c>
    </row>
    <row r="247" spans="1:12" x14ac:dyDescent="0.2">
      <c r="A247" s="1502" t="s">
        <v>819</v>
      </c>
      <c r="B247" s="614">
        <v>2330</v>
      </c>
      <c r="C247" s="616"/>
      <c r="D247" s="466">
        <v>30831</v>
      </c>
      <c r="E247" s="616"/>
      <c r="F247" s="616"/>
      <c r="G247" s="616"/>
      <c r="H247" s="616"/>
      <c r="I247" s="616"/>
      <c r="J247" s="616"/>
      <c r="K247" s="1670">
        <f t="shared" si="21"/>
        <v>30831</v>
      </c>
      <c r="L247" s="466">
        <v>129492</v>
      </c>
    </row>
    <row r="248" spans="1:12" x14ac:dyDescent="0.2">
      <c r="A248" s="1503" t="s">
        <v>299</v>
      </c>
      <c r="B248" s="602" t="s">
        <v>281</v>
      </c>
      <c r="C248" s="616"/>
      <c r="D248" s="474"/>
      <c r="E248" s="616"/>
      <c r="F248" s="616"/>
      <c r="G248" s="616"/>
      <c r="H248" s="616"/>
      <c r="I248" s="616"/>
      <c r="J248" s="616"/>
      <c r="K248" s="1670">
        <f t="shared" si="21"/>
        <v>0</v>
      </c>
      <c r="L248" s="466"/>
    </row>
    <row r="249" spans="1:12" x14ac:dyDescent="0.2">
      <c r="A249" s="1504" t="s">
        <v>1802</v>
      </c>
      <c r="B249" s="683" t="s">
        <v>282</v>
      </c>
      <c r="C249" s="616"/>
      <c r="D249" s="474"/>
      <c r="E249" s="616"/>
      <c r="F249" s="616"/>
      <c r="G249" s="616"/>
      <c r="H249" s="616"/>
      <c r="I249" s="616"/>
      <c r="J249" s="616"/>
      <c r="K249" s="1670">
        <f t="shared" si="21"/>
        <v>0</v>
      </c>
      <c r="L249" s="466"/>
    </row>
    <row r="250" spans="1:12" x14ac:dyDescent="0.2">
      <c r="A250" s="1503" t="s">
        <v>1803</v>
      </c>
      <c r="B250" s="602" t="s">
        <v>283</v>
      </c>
      <c r="C250" s="616"/>
      <c r="D250" s="474"/>
      <c r="E250" s="616"/>
      <c r="F250" s="616"/>
      <c r="G250" s="616"/>
      <c r="H250" s="616"/>
      <c r="I250" s="616"/>
      <c r="J250" s="616"/>
      <c r="K250" s="1670">
        <f t="shared" si="21"/>
        <v>0</v>
      </c>
      <c r="L250" s="466"/>
    </row>
    <row r="251" spans="1:12" x14ac:dyDescent="0.2">
      <c r="A251" s="1503" t="s">
        <v>238</v>
      </c>
      <c r="B251" s="602" t="s">
        <v>284</v>
      </c>
      <c r="C251" s="616"/>
      <c r="D251" s="474"/>
      <c r="E251" s="616"/>
      <c r="F251" s="616"/>
      <c r="G251" s="616"/>
      <c r="H251" s="616"/>
      <c r="I251" s="616"/>
      <c r="J251" s="616"/>
      <c r="K251" s="1670">
        <f t="shared" si="21"/>
        <v>0</v>
      </c>
      <c r="L251" s="466"/>
    </row>
    <row r="252" spans="1:12" x14ac:dyDescent="0.2">
      <c r="A252" s="1503" t="s">
        <v>702</v>
      </c>
      <c r="B252" s="602" t="s">
        <v>285</v>
      </c>
      <c r="C252" s="616"/>
      <c r="D252" s="474">
        <v>24859</v>
      </c>
      <c r="E252" s="616"/>
      <c r="F252" s="616"/>
      <c r="G252" s="616"/>
      <c r="H252" s="616"/>
      <c r="I252" s="616"/>
      <c r="J252" s="616"/>
      <c r="K252" s="1670">
        <f t="shared" si="21"/>
        <v>24859</v>
      </c>
      <c r="L252" s="466">
        <v>27800</v>
      </c>
    </row>
    <row r="253" spans="1:12" x14ac:dyDescent="0.2">
      <c r="A253" s="1503" t="s">
        <v>239</v>
      </c>
      <c r="B253" s="602" t="s">
        <v>286</v>
      </c>
      <c r="C253" s="616"/>
      <c r="D253" s="474"/>
      <c r="E253" s="616"/>
      <c r="F253" s="616"/>
      <c r="G253" s="616"/>
      <c r="H253" s="616"/>
      <c r="I253" s="616"/>
      <c r="J253" s="616"/>
      <c r="K253" s="1670">
        <f t="shared" si="21"/>
        <v>0</v>
      </c>
      <c r="L253" s="466"/>
    </row>
    <row r="254" spans="1:12" ht="22.5" x14ac:dyDescent="0.2">
      <c r="A254" s="1503" t="s">
        <v>1029</v>
      </c>
      <c r="B254" s="683" t="s">
        <v>287</v>
      </c>
      <c r="C254" s="616"/>
      <c r="D254" s="474">
        <v>89934</v>
      </c>
      <c r="E254" s="616"/>
      <c r="F254" s="616"/>
      <c r="G254" s="616"/>
      <c r="H254" s="616"/>
      <c r="I254" s="616"/>
      <c r="J254" s="616"/>
      <c r="K254" s="1670">
        <f t="shared" si="21"/>
        <v>89934</v>
      </c>
      <c r="L254" s="466">
        <v>152264</v>
      </c>
    </row>
    <row r="255" spans="1:12" x14ac:dyDescent="0.2">
      <c r="A255" s="1503" t="s">
        <v>1030</v>
      </c>
      <c r="B255" s="602" t="s">
        <v>288</v>
      </c>
      <c r="C255" s="616"/>
      <c r="D255" s="474"/>
      <c r="E255" s="616"/>
      <c r="F255" s="616"/>
      <c r="G255" s="616"/>
      <c r="H255" s="616"/>
      <c r="I255" s="616"/>
      <c r="J255" s="616"/>
      <c r="K255" s="1670">
        <f t="shared" si="21"/>
        <v>0</v>
      </c>
      <c r="L255" s="466"/>
    </row>
    <row r="256" spans="1:12" x14ac:dyDescent="0.2">
      <c r="A256" s="1503"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175513</v>
      </c>
      <c r="E257" s="616"/>
      <c r="F257" s="616"/>
      <c r="G257" s="616"/>
      <c r="H257" s="616"/>
      <c r="I257" s="616"/>
      <c r="J257" s="616"/>
      <c r="K257" s="1668">
        <f>SUM(K245:K256)</f>
        <v>175513</v>
      </c>
      <c r="L257" s="1668">
        <f>SUM(L245:L256)</f>
        <v>325245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2" t="s">
        <v>1067</v>
      </c>
      <c r="B259" s="685">
        <v>2410</v>
      </c>
      <c r="C259" s="616"/>
      <c r="D259" s="481">
        <v>171470</v>
      </c>
      <c r="E259" s="616"/>
      <c r="F259" s="616"/>
      <c r="G259" s="616"/>
      <c r="H259" s="616"/>
      <c r="I259" s="616"/>
      <c r="J259" s="616"/>
      <c r="K259" s="1670">
        <f>D259</f>
        <v>171470</v>
      </c>
      <c r="L259" s="481">
        <v>191785</v>
      </c>
    </row>
    <row r="260" spans="1:14" s="597" customFormat="1" x14ac:dyDescent="0.2">
      <c r="A260" s="1520" t="s">
        <v>1801</v>
      </c>
      <c r="B260" s="628">
        <v>2490</v>
      </c>
      <c r="C260" s="616"/>
      <c r="D260" s="466">
        <v>753</v>
      </c>
      <c r="E260" s="616"/>
      <c r="F260" s="616"/>
      <c r="G260" s="616"/>
      <c r="H260" s="616"/>
      <c r="I260" s="616"/>
      <c r="J260" s="616"/>
      <c r="K260" s="1670">
        <f>D260</f>
        <v>753</v>
      </c>
      <c r="L260" s="466"/>
      <c r="M260" s="210"/>
      <c r="N260" s="210"/>
    </row>
    <row r="261" spans="1:14" ht="12.75" customHeight="1" thickBot="1" x14ac:dyDescent="0.25">
      <c r="A261" s="1690" t="s">
        <v>263</v>
      </c>
      <c r="B261" s="1695" t="s">
        <v>34</v>
      </c>
      <c r="C261" s="616"/>
      <c r="D261" s="1668">
        <f>SUM(D259:D260)</f>
        <v>172223</v>
      </c>
      <c r="E261" s="616"/>
      <c r="F261" s="616"/>
      <c r="G261" s="616"/>
      <c r="H261" s="616"/>
      <c r="I261" s="616"/>
      <c r="J261" s="616"/>
      <c r="K261" s="1668">
        <f>SUM(K259:K260)</f>
        <v>172223</v>
      </c>
      <c r="L261" s="1668">
        <f>SUM(L259:L260)</f>
        <v>191785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2" t="s">
        <v>1068</v>
      </c>
      <c r="B263" s="685">
        <v>2510</v>
      </c>
      <c r="C263" s="616"/>
      <c r="D263" s="466">
        <v>34393</v>
      </c>
      <c r="E263" s="616"/>
      <c r="F263" s="616"/>
      <c r="G263" s="616"/>
      <c r="H263" s="616"/>
      <c r="I263" s="616"/>
      <c r="J263" s="616"/>
      <c r="K263" s="1670">
        <f>D263</f>
        <v>34393</v>
      </c>
      <c r="L263" s="481">
        <v>35066</v>
      </c>
    </row>
    <row r="264" spans="1:14" x14ac:dyDescent="0.2">
      <c r="A264" s="1502" t="s">
        <v>463</v>
      </c>
      <c r="B264" s="685">
        <v>2520</v>
      </c>
      <c r="C264" s="616"/>
      <c r="D264" s="466">
        <v>65621</v>
      </c>
      <c r="E264" s="616"/>
      <c r="F264" s="616"/>
      <c r="G264" s="616"/>
      <c r="H264" s="616"/>
      <c r="I264" s="616"/>
      <c r="J264" s="616"/>
      <c r="K264" s="1670">
        <f t="shared" ref="K264:K269" si="22">D264</f>
        <v>65621</v>
      </c>
      <c r="L264" s="466">
        <v>74129</v>
      </c>
    </row>
    <row r="265" spans="1:14" x14ac:dyDescent="0.2">
      <c r="A265" s="1502" t="s">
        <v>4</v>
      </c>
      <c r="B265" s="614">
        <v>2530</v>
      </c>
      <c r="C265" s="616"/>
      <c r="D265" s="466"/>
      <c r="E265" s="616"/>
      <c r="F265" s="616"/>
      <c r="G265" s="616"/>
      <c r="H265" s="616"/>
      <c r="I265" s="616"/>
      <c r="J265" s="616"/>
      <c r="K265" s="1670">
        <f t="shared" si="22"/>
        <v>0</v>
      </c>
      <c r="L265" s="466"/>
    </row>
    <row r="266" spans="1:14" x14ac:dyDescent="0.2">
      <c r="A266" s="1502" t="s">
        <v>197</v>
      </c>
      <c r="B266" s="614">
        <v>2540</v>
      </c>
      <c r="C266" s="616"/>
      <c r="D266" s="466">
        <v>434701</v>
      </c>
      <c r="E266" s="616"/>
      <c r="F266" s="616"/>
      <c r="G266" s="616"/>
      <c r="H266" s="616"/>
      <c r="I266" s="616"/>
      <c r="J266" s="616"/>
      <c r="K266" s="1670">
        <f t="shared" si="22"/>
        <v>434701</v>
      </c>
      <c r="L266" s="466">
        <v>736810</v>
      </c>
    </row>
    <row r="267" spans="1:14" x14ac:dyDescent="0.2">
      <c r="A267" s="1502" t="s">
        <v>953</v>
      </c>
      <c r="B267" s="614">
        <v>2550</v>
      </c>
      <c r="C267" s="616"/>
      <c r="D267" s="466">
        <v>55478</v>
      </c>
      <c r="E267" s="616"/>
      <c r="F267" s="616"/>
      <c r="G267" s="616"/>
      <c r="H267" s="616"/>
      <c r="I267" s="616"/>
      <c r="J267" s="616"/>
      <c r="K267" s="1670">
        <f t="shared" si="22"/>
        <v>55478</v>
      </c>
      <c r="L267" s="466">
        <v>89557</v>
      </c>
    </row>
    <row r="268" spans="1:14" x14ac:dyDescent="0.2">
      <c r="A268" s="1502" t="s">
        <v>100</v>
      </c>
      <c r="B268" s="614">
        <v>2560</v>
      </c>
      <c r="C268" s="616"/>
      <c r="D268" s="466">
        <v>45580</v>
      </c>
      <c r="E268" s="616"/>
      <c r="F268" s="616"/>
      <c r="G268" s="616"/>
      <c r="H268" s="616"/>
      <c r="I268" s="616"/>
      <c r="J268" s="616"/>
      <c r="K268" s="1670">
        <f t="shared" si="22"/>
        <v>45580</v>
      </c>
      <c r="L268" s="466">
        <v>69932</v>
      </c>
    </row>
    <row r="269" spans="1:14" x14ac:dyDescent="0.2">
      <c r="A269" s="1502"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635773</v>
      </c>
      <c r="E270" s="616"/>
      <c r="F270" s="616"/>
      <c r="G270" s="616"/>
      <c r="H270" s="616"/>
      <c r="I270" s="616"/>
      <c r="J270" s="616"/>
      <c r="K270" s="1668">
        <f>SUM(K263:K269)</f>
        <v>635773</v>
      </c>
      <c r="L270" s="1668">
        <f>SUM(L263:L269)</f>
        <v>1005494</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2" t="s">
        <v>1060</v>
      </c>
      <c r="B272" s="614">
        <v>2610</v>
      </c>
      <c r="C272" s="616"/>
      <c r="D272" s="481"/>
      <c r="E272" s="616"/>
      <c r="F272" s="616"/>
      <c r="G272" s="616"/>
      <c r="H272" s="616"/>
      <c r="I272" s="616"/>
      <c r="J272" s="616"/>
      <c r="K272" s="1670">
        <f>D272</f>
        <v>0</v>
      </c>
      <c r="L272" s="481"/>
    </row>
    <row r="273" spans="1:12" x14ac:dyDescent="0.2">
      <c r="A273" s="1502" t="s">
        <v>607</v>
      </c>
      <c r="B273" s="628">
        <v>2620</v>
      </c>
      <c r="C273" s="616"/>
      <c r="D273" s="466">
        <v>1378</v>
      </c>
      <c r="E273" s="616"/>
      <c r="F273" s="616"/>
      <c r="G273" s="616"/>
      <c r="H273" s="616"/>
      <c r="I273" s="616"/>
      <c r="J273" s="616"/>
      <c r="K273" s="1670">
        <f>D273</f>
        <v>1378</v>
      </c>
      <c r="L273" s="466"/>
    </row>
    <row r="274" spans="1:12" ht="12" customHeight="1" x14ac:dyDescent="0.2">
      <c r="A274" s="1502" t="s">
        <v>1061</v>
      </c>
      <c r="B274" s="614">
        <v>2630</v>
      </c>
      <c r="C274" s="616"/>
      <c r="D274" s="466">
        <v>65097</v>
      </c>
      <c r="E274" s="616"/>
      <c r="F274" s="616"/>
      <c r="G274" s="616"/>
      <c r="H274" s="616"/>
      <c r="I274" s="616"/>
      <c r="J274" s="616"/>
      <c r="K274" s="1670">
        <f>D274</f>
        <v>65097</v>
      </c>
      <c r="L274" s="466">
        <v>66933</v>
      </c>
    </row>
    <row r="275" spans="1:12" x14ac:dyDescent="0.2">
      <c r="A275" s="1502" t="s">
        <v>403</v>
      </c>
      <c r="B275" s="614">
        <v>2640</v>
      </c>
      <c r="C275" s="616"/>
      <c r="D275" s="466">
        <v>46280</v>
      </c>
      <c r="E275" s="616"/>
      <c r="F275" s="616"/>
      <c r="G275" s="616"/>
      <c r="H275" s="616"/>
      <c r="I275" s="616"/>
      <c r="J275" s="616"/>
      <c r="K275" s="1670">
        <f>D275</f>
        <v>46280</v>
      </c>
      <c r="L275" s="466">
        <v>63012</v>
      </c>
    </row>
    <row r="276" spans="1:12" x14ac:dyDescent="0.2">
      <c r="A276" s="1502"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112755</v>
      </c>
      <c r="E277" s="616"/>
      <c r="F277" s="616"/>
      <c r="G277" s="616"/>
      <c r="H277" s="616"/>
      <c r="I277" s="616"/>
      <c r="J277" s="616"/>
      <c r="K277" s="1668">
        <f>SUM(K272:K276)</f>
        <v>112755</v>
      </c>
      <c r="L277" s="1668">
        <f>SUM(L272:L276)</f>
        <v>129945</v>
      </c>
    </row>
    <row r="278" spans="1:12" ht="13.5" customHeight="1" thickTop="1" x14ac:dyDescent="0.2">
      <c r="A278" s="1508" t="s">
        <v>980</v>
      </c>
      <c r="B278" s="655" t="s">
        <v>574</v>
      </c>
      <c r="C278" s="616"/>
      <c r="D278" s="656">
        <v>49898</v>
      </c>
      <c r="E278" s="616"/>
      <c r="F278" s="616"/>
      <c r="G278" s="616"/>
      <c r="H278" s="616"/>
      <c r="I278" s="616"/>
      <c r="J278" s="616"/>
      <c r="K278" s="1683">
        <f>D278</f>
        <v>49898</v>
      </c>
      <c r="L278" s="656">
        <v>56176</v>
      </c>
    </row>
    <row r="279" spans="1:12" ht="12.75" customHeight="1" thickBot="1" x14ac:dyDescent="0.25">
      <c r="A279" s="1696" t="s">
        <v>811</v>
      </c>
      <c r="B279" s="1679">
        <v>2000</v>
      </c>
      <c r="C279" s="616"/>
      <c r="D279" s="1675">
        <f>SUM(D238,D243,D257,D261,D270,D277,D278)</f>
        <v>1370375</v>
      </c>
      <c r="E279" s="616"/>
      <c r="F279" s="616"/>
      <c r="G279" s="616"/>
      <c r="H279" s="616"/>
      <c r="I279" s="616"/>
      <c r="J279" s="616"/>
      <c r="K279" s="1675">
        <f>SUM(K238,K243,K257,K261,K270,K277,K278)</f>
        <v>1370375</v>
      </c>
      <c r="L279" s="1675">
        <f>SUM(L238,L243,L257,L261,L270,L277,L278)</f>
        <v>1998371</v>
      </c>
    </row>
    <row r="280" spans="1:12" ht="15.75" customHeight="1" thickTop="1" thickBot="1" x14ac:dyDescent="0.25">
      <c r="A280" s="1622" t="s">
        <v>875</v>
      </c>
      <c r="B280" s="1611">
        <v>3000</v>
      </c>
      <c r="C280" s="616"/>
      <c r="D280" s="576">
        <f>27014+13816</f>
        <v>40830</v>
      </c>
      <c r="E280" s="616"/>
      <c r="F280" s="616"/>
      <c r="G280" s="616"/>
      <c r="H280" s="616"/>
      <c r="I280" s="616"/>
      <c r="J280" s="616"/>
      <c r="K280" s="1677">
        <f>D280</f>
        <v>40830</v>
      </c>
      <c r="L280" s="576">
        <v>42098</v>
      </c>
    </row>
    <row r="281" spans="1:12" ht="15.75" customHeight="1" thickTop="1" x14ac:dyDescent="0.2">
      <c r="A281" s="1612" t="s">
        <v>142</v>
      </c>
      <c r="B281" s="1613" t="s">
        <v>860</v>
      </c>
      <c r="C281" s="616"/>
      <c r="D281" s="566"/>
      <c r="E281" s="616"/>
      <c r="F281" s="616"/>
      <c r="G281" s="616"/>
      <c r="H281" s="616"/>
      <c r="I281" s="616"/>
      <c r="J281" s="616"/>
      <c r="K281" s="616"/>
      <c r="L281" s="616"/>
    </row>
    <row r="282" spans="1:12" ht="15.75" customHeight="1" x14ac:dyDescent="0.2">
      <c r="A282" s="1828" t="s">
        <v>496</v>
      </c>
      <c r="B282" s="690" t="s">
        <v>1841</v>
      </c>
      <c r="C282" s="616"/>
      <c r="D282" s="467"/>
      <c r="E282" s="616"/>
      <c r="F282" s="616"/>
      <c r="G282" s="616"/>
      <c r="H282" s="616"/>
      <c r="I282" s="616"/>
      <c r="J282" s="616"/>
      <c r="K282" s="1669">
        <f>D282</f>
        <v>0</v>
      </c>
      <c r="L282" s="467"/>
    </row>
    <row r="283" spans="1:12" x14ac:dyDescent="0.2">
      <c r="A283" s="1502" t="s">
        <v>304</v>
      </c>
      <c r="B283" s="614">
        <v>4120</v>
      </c>
      <c r="C283" s="616"/>
      <c r="D283" s="466"/>
      <c r="E283" s="616"/>
      <c r="F283" s="616"/>
      <c r="G283" s="616"/>
      <c r="H283" s="616"/>
      <c r="I283" s="616"/>
      <c r="J283" s="616"/>
      <c r="K283" s="1669">
        <f>D283</f>
        <v>0</v>
      </c>
      <c r="L283" s="466"/>
    </row>
    <row r="284" spans="1:12" x14ac:dyDescent="0.2">
      <c r="A284" s="1502"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0" t="s">
        <v>876</v>
      </c>
      <c r="B286" s="160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c r="I288" s="616"/>
      <c r="J288" s="616"/>
      <c r="K288" s="1669">
        <f>H288</f>
        <v>0</v>
      </c>
      <c r="L288" s="466"/>
    </row>
    <row r="289" spans="1:14" x14ac:dyDescent="0.2">
      <c r="A289" s="1502" t="s">
        <v>88</v>
      </c>
      <c r="B289" s="614">
        <v>5120</v>
      </c>
      <c r="C289" s="616"/>
      <c r="D289" s="616"/>
      <c r="E289" s="616"/>
      <c r="F289" s="616"/>
      <c r="G289" s="616"/>
      <c r="H289" s="466"/>
      <c r="I289" s="616"/>
      <c r="J289" s="616"/>
      <c r="K289" s="1669">
        <f>H289</f>
        <v>0</v>
      </c>
      <c r="L289" s="466"/>
    </row>
    <row r="290" spans="1:14" ht="12.75" customHeight="1" x14ac:dyDescent="0.2">
      <c r="A290" s="1502" t="s">
        <v>1170</v>
      </c>
      <c r="B290" s="628" t="s">
        <v>617</v>
      </c>
      <c r="C290" s="616"/>
      <c r="D290" s="616"/>
      <c r="E290" s="616"/>
      <c r="F290" s="616"/>
      <c r="G290" s="616"/>
      <c r="H290" s="466"/>
      <c r="I290" s="616"/>
      <c r="J290" s="616"/>
      <c r="K290" s="1669">
        <f>H290</f>
        <v>0</v>
      </c>
      <c r="L290" s="466"/>
    </row>
    <row r="291" spans="1:14" x14ac:dyDescent="0.2">
      <c r="A291" s="1502" t="s">
        <v>89</v>
      </c>
      <c r="B291" s="614" t="s">
        <v>589</v>
      </c>
      <c r="C291" s="616"/>
      <c r="D291" s="616"/>
      <c r="E291" s="616"/>
      <c r="F291" s="616"/>
      <c r="G291" s="616"/>
      <c r="H291" s="466"/>
      <c r="I291" s="616"/>
      <c r="J291" s="616"/>
      <c r="K291" s="1669">
        <f>H291</f>
        <v>0</v>
      </c>
      <c r="L291" s="466"/>
    </row>
    <row r="292" spans="1:14" x14ac:dyDescent="0.2">
      <c r="A292" s="1502"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3" t="s">
        <v>877</v>
      </c>
      <c r="B294" s="1611" t="s">
        <v>861</v>
      </c>
      <c r="C294" s="616"/>
      <c r="D294" s="623"/>
      <c r="E294" s="616"/>
      <c r="F294" s="616"/>
      <c r="G294" s="616"/>
      <c r="H294" s="686"/>
      <c r="I294" s="616"/>
      <c r="J294" s="616"/>
      <c r="K294" s="686"/>
      <c r="L294" s="578"/>
    </row>
    <row r="295" spans="1:14" ht="12.75" customHeight="1" thickTop="1" thickBot="1" x14ac:dyDescent="0.25">
      <c r="A295" s="2289" t="s">
        <v>505</v>
      </c>
      <c r="B295" s="2290"/>
      <c r="C295" s="616"/>
      <c r="D295" s="1668">
        <f>SUM(D229,D279,D280,D285)</f>
        <v>1958344</v>
      </c>
      <c r="E295" s="616"/>
      <c r="F295" s="616"/>
      <c r="G295" s="616"/>
      <c r="H295" s="1668">
        <f>H293</f>
        <v>0</v>
      </c>
      <c r="I295" s="616"/>
      <c r="J295" s="616"/>
      <c r="K295" s="1668">
        <f>SUM(K229,K279,K280,K285,K293,K294)</f>
        <v>1958344</v>
      </c>
      <c r="L295" s="1668">
        <f>SUM(L229,L279,L280,L285,L293,L294)</f>
        <v>2991175</v>
      </c>
    </row>
    <row r="296" spans="1:14" ht="13.5" thickTop="1" x14ac:dyDescent="0.2">
      <c r="A296" s="2271" t="s">
        <v>996</v>
      </c>
      <c r="B296" s="2272"/>
      <c r="C296" s="616"/>
      <c r="D296" s="618"/>
      <c r="E296" s="616"/>
      <c r="F296" s="616"/>
      <c r="G296" s="616"/>
      <c r="H296" s="687"/>
      <c r="I296" s="616"/>
      <c r="J296" s="616"/>
      <c r="K296" s="1682">
        <f>'Revenues 9-14'!G268-'Expenditures 15-22'!K295</f>
        <v>15065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281" t="s">
        <v>143</v>
      </c>
      <c r="B298" s="2275"/>
      <c r="C298" s="1549"/>
      <c r="D298" s="1550"/>
      <c r="E298" s="1550"/>
      <c r="F298" s="1550"/>
      <c r="G298" s="1550"/>
      <c r="H298" s="1550"/>
      <c r="I298" s="1550"/>
      <c r="J298" s="1550"/>
      <c r="K298" s="1550"/>
      <c r="L298" s="1551"/>
    </row>
    <row r="299" spans="1:14" ht="15.75" customHeight="1" x14ac:dyDescent="0.2">
      <c r="A299" s="1610" t="s">
        <v>144</v>
      </c>
      <c r="B299" s="161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5" t="s">
        <v>608</v>
      </c>
      <c r="B301" s="689">
        <v>2530</v>
      </c>
      <c r="C301" s="466"/>
      <c r="D301" s="466"/>
      <c r="E301" s="466">
        <v>147728</v>
      </c>
      <c r="F301" s="466">
        <v>51246</v>
      </c>
      <c r="G301" s="466">
        <v>294319</v>
      </c>
      <c r="H301" s="466"/>
      <c r="I301" s="467"/>
      <c r="J301" s="467"/>
      <c r="K301" s="1669">
        <f>SUM(C301:J301)</f>
        <v>493293</v>
      </c>
      <c r="L301" s="467">
        <v>590000</v>
      </c>
    </row>
    <row r="302" spans="1:14" ht="13.5" customHeight="1" x14ac:dyDescent="0.2">
      <c r="A302" s="1515" t="s">
        <v>980</v>
      </c>
      <c r="B302" s="614" t="s">
        <v>574</v>
      </c>
      <c r="C302" s="466"/>
      <c r="D302" s="466"/>
      <c r="E302" s="466"/>
      <c r="F302" s="466"/>
      <c r="G302" s="466"/>
      <c r="H302" s="466"/>
      <c r="I302" s="467"/>
      <c r="J302" s="467"/>
      <c r="K302" s="1669">
        <f>SUM(C302:J302)</f>
        <v>0</v>
      </c>
      <c r="L302" s="466">
        <v>15000</v>
      </c>
    </row>
    <row r="303" spans="1:14" ht="12.75" customHeight="1" thickBot="1" x14ac:dyDescent="0.25">
      <c r="A303" s="1666" t="s">
        <v>811</v>
      </c>
      <c r="B303" s="1667" t="s">
        <v>569</v>
      </c>
      <c r="C303" s="1675">
        <f>SUM(C301:C302)</f>
        <v>0</v>
      </c>
      <c r="D303" s="1675">
        <f t="shared" ref="D303:L303" si="23">SUM(D301:D302)</f>
        <v>0</v>
      </c>
      <c r="E303" s="1675">
        <f t="shared" si="23"/>
        <v>147728</v>
      </c>
      <c r="F303" s="1675">
        <f t="shared" si="23"/>
        <v>51246</v>
      </c>
      <c r="G303" s="1675">
        <f t="shared" si="23"/>
        <v>294319</v>
      </c>
      <c r="H303" s="1675">
        <f t="shared" si="23"/>
        <v>0</v>
      </c>
      <c r="I303" s="1675">
        <f t="shared" si="23"/>
        <v>0</v>
      </c>
      <c r="J303" s="1675">
        <f t="shared" si="23"/>
        <v>0</v>
      </c>
      <c r="K303" s="1675">
        <f t="shared" si="23"/>
        <v>493293</v>
      </c>
      <c r="L303" s="1675">
        <f t="shared" si="23"/>
        <v>605000</v>
      </c>
    </row>
    <row r="304" spans="1:14" ht="15.75" customHeight="1" thickTop="1" x14ac:dyDescent="0.2">
      <c r="A304" s="1610" t="s">
        <v>145</v>
      </c>
      <c r="B304" s="161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6" t="s">
        <v>1846</v>
      </c>
      <c r="B306" s="690" t="s">
        <v>1841</v>
      </c>
      <c r="C306" s="616"/>
      <c r="D306" s="616"/>
      <c r="E306" s="467"/>
      <c r="F306" s="616"/>
      <c r="G306" s="616"/>
      <c r="H306" s="467"/>
      <c r="I306" s="616"/>
      <c r="J306" s="616"/>
      <c r="K306" s="1669">
        <f>SUM(E306,H306)</f>
        <v>0</v>
      </c>
      <c r="L306" s="467"/>
    </row>
    <row r="307" spans="1:14" x14ac:dyDescent="0.2">
      <c r="A307" s="1502" t="s">
        <v>304</v>
      </c>
      <c r="B307" s="614">
        <v>4120</v>
      </c>
      <c r="C307" s="616"/>
      <c r="D307" s="616"/>
      <c r="E307" s="467"/>
      <c r="F307" s="616"/>
      <c r="G307" s="616"/>
      <c r="H307" s="467"/>
      <c r="I307" s="477"/>
      <c r="J307" s="616"/>
      <c r="K307" s="1669">
        <f>SUM(E307,H307)</f>
        <v>0</v>
      </c>
      <c r="L307" s="466"/>
    </row>
    <row r="308" spans="1:14" x14ac:dyDescent="0.2">
      <c r="A308" s="1502" t="s">
        <v>697</v>
      </c>
      <c r="B308" s="614">
        <v>4140</v>
      </c>
      <c r="C308" s="616"/>
      <c r="D308" s="616"/>
      <c r="E308" s="467"/>
      <c r="F308" s="616"/>
      <c r="G308" s="616"/>
      <c r="H308" s="467"/>
      <c r="I308" s="477"/>
      <c r="J308" s="616"/>
      <c r="K308" s="1669">
        <f>SUM(E308,H308)</f>
        <v>0</v>
      </c>
      <c r="L308" s="466"/>
    </row>
    <row r="309" spans="1:14" ht="12.75" customHeight="1" x14ac:dyDescent="0.2">
      <c r="A309" s="1506"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7" t="s">
        <v>895</v>
      </c>
      <c r="B311" s="1609" t="s">
        <v>861</v>
      </c>
      <c r="C311" s="623"/>
      <c r="D311" s="623"/>
      <c r="E311" s="623"/>
      <c r="F311" s="623"/>
      <c r="G311" s="623"/>
      <c r="H311" s="623"/>
      <c r="I311" s="623"/>
      <c r="J311" s="616"/>
      <c r="K311" s="623"/>
      <c r="L311" s="576"/>
    </row>
    <row r="312" spans="1:14" s="674" customFormat="1" ht="12.75" customHeight="1" thickTop="1" thickBot="1" x14ac:dyDescent="0.25">
      <c r="A312" s="2286" t="s">
        <v>277</v>
      </c>
      <c r="B312" s="2287"/>
      <c r="C312" s="1668">
        <f>SUM(C303)</f>
        <v>0</v>
      </c>
      <c r="D312" s="1668">
        <f>SUM(D303)</f>
        <v>0</v>
      </c>
      <c r="E312" s="1668">
        <f>SUM(E303,E310)</f>
        <v>147728</v>
      </c>
      <c r="F312" s="1668">
        <f>SUM(F303)</f>
        <v>51246</v>
      </c>
      <c r="G312" s="1668">
        <f>SUM(G303)</f>
        <v>294319</v>
      </c>
      <c r="H312" s="1668">
        <f>SUM(H303,H310)</f>
        <v>0</v>
      </c>
      <c r="I312" s="1668">
        <f>SUM(I303)</f>
        <v>0</v>
      </c>
      <c r="J312" s="1668">
        <f>SUM(J303)</f>
        <v>0</v>
      </c>
      <c r="K312" s="1668">
        <f>SUM(K303,K310,K311)</f>
        <v>493293</v>
      </c>
      <c r="L312" s="1668">
        <f>SUM(L303,L310,L311)</f>
        <v>605000</v>
      </c>
      <c r="M312" s="665"/>
      <c r="N312" s="665"/>
    </row>
    <row r="313" spans="1:14" ht="13.5" thickTop="1" x14ac:dyDescent="0.2">
      <c r="A313" s="2282" t="s">
        <v>996</v>
      </c>
      <c r="B313" s="2283"/>
      <c r="C313" s="626"/>
      <c r="D313" s="626"/>
      <c r="E313" s="626"/>
      <c r="F313" s="626"/>
      <c r="G313" s="626"/>
      <c r="H313" s="626"/>
      <c r="I313" s="626"/>
      <c r="J313" s="626"/>
      <c r="K313" s="1683">
        <f>'Revenues 9-14'!H268-'Expenditures 15-22'!K312</f>
        <v>116647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95" t="s">
        <v>149</v>
      </c>
      <c r="B315" s="2296"/>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97" t="s">
        <v>898</v>
      </c>
      <c r="B317" s="2296"/>
      <c r="C317" s="1554"/>
      <c r="D317" s="1555"/>
      <c r="E317" s="1555"/>
      <c r="F317" s="1555"/>
      <c r="G317" s="1555"/>
      <c r="H317" s="1555"/>
      <c r="I317" s="1555"/>
      <c r="J317" s="1555"/>
      <c r="K317" s="1555"/>
      <c r="L317" s="155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7"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1" t="s">
        <v>1802</v>
      </c>
      <c r="B320" s="698" t="s">
        <v>282</v>
      </c>
      <c r="C320" s="467"/>
      <c r="D320" s="467"/>
      <c r="E320" s="467"/>
      <c r="F320" s="467"/>
      <c r="G320" s="467"/>
      <c r="H320" s="467"/>
      <c r="I320" s="467"/>
      <c r="J320" s="467"/>
      <c r="K320" s="1669">
        <f t="shared" ref="K320:K327" si="24">SUM(C320:J320)</f>
        <v>0</v>
      </c>
      <c r="L320" s="467"/>
      <c r="M320" s="665"/>
      <c r="N320" s="665"/>
    </row>
    <row r="321" spans="1:14" s="674" customFormat="1" x14ac:dyDescent="0.2">
      <c r="A321" s="1517" t="s">
        <v>300</v>
      </c>
      <c r="B321" s="697" t="s">
        <v>283</v>
      </c>
      <c r="C321" s="467"/>
      <c r="D321" s="467"/>
      <c r="E321" s="467">
        <v>45222</v>
      </c>
      <c r="F321" s="467"/>
      <c r="G321" s="467"/>
      <c r="H321" s="467"/>
      <c r="I321" s="467"/>
      <c r="J321" s="467"/>
      <c r="K321" s="1669">
        <f t="shared" si="24"/>
        <v>45222</v>
      </c>
      <c r="L321" s="467">
        <v>200000</v>
      </c>
      <c r="M321" s="665"/>
      <c r="N321" s="665"/>
    </row>
    <row r="322" spans="1:14" s="674" customFormat="1" x14ac:dyDescent="0.2">
      <c r="A322" s="1517" t="s">
        <v>238</v>
      </c>
      <c r="B322" s="697" t="s">
        <v>284</v>
      </c>
      <c r="C322" s="467"/>
      <c r="D322" s="467"/>
      <c r="E322" s="467">
        <v>855662</v>
      </c>
      <c r="F322" s="467"/>
      <c r="G322" s="467"/>
      <c r="H322" s="467"/>
      <c r="I322" s="467"/>
      <c r="J322" s="467"/>
      <c r="K322" s="1669">
        <f t="shared" si="24"/>
        <v>855662</v>
      </c>
      <c r="L322" s="467">
        <v>875000</v>
      </c>
      <c r="M322" s="665"/>
      <c r="N322" s="665"/>
    </row>
    <row r="323" spans="1:14" s="674" customFormat="1" x14ac:dyDescent="0.2">
      <c r="A323" s="1517" t="s">
        <v>702</v>
      </c>
      <c r="B323" s="697" t="s">
        <v>285</v>
      </c>
      <c r="C323" s="467">
        <v>139637</v>
      </c>
      <c r="D323" s="467">
        <v>20830</v>
      </c>
      <c r="E323" s="467">
        <v>5304</v>
      </c>
      <c r="F323" s="467"/>
      <c r="G323" s="467"/>
      <c r="H323" s="467"/>
      <c r="I323" s="467"/>
      <c r="J323" s="467"/>
      <c r="K323" s="1669">
        <f t="shared" si="24"/>
        <v>165771</v>
      </c>
      <c r="L323" s="467">
        <v>175835</v>
      </c>
      <c r="M323" s="665"/>
      <c r="N323" s="665"/>
    </row>
    <row r="324" spans="1:14" s="674" customFormat="1" x14ac:dyDescent="0.2">
      <c r="A324" s="1517"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7" t="s">
        <v>1029</v>
      </c>
      <c r="B325" s="698" t="s">
        <v>287</v>
      </c>
      <c r="C325" s="467">
        <v>553890</v>
      </c>
      <c r="D325" s="467">
        <v>125488</v>
      </c>
      <c r="E325" s="467">
        <v>107826</v>
      </c>
      <c r="F325" s="467">
        <v>18148</v>
      </c>
      <c r="G325" s="467"/>
      <c r="H325" s="467"/>
      <c r="I325" s="467"/>
      <c r="J325" s="467"/>
      <c r="K325" s="1669">
        <f t="shared" si="24"/>
        <v>805352</v>
      </c>
      <c r="L325" s="467">
        <v>1174248</v>
      </c>
      <c r="M325" s="665"/>
      <c r="N325" s="665"/>
    </row>
    <row r="326" spans="1:14" s="674" customFormat="1" x14ac:dyDescent="0.2">
      <c r="A326" s="1517"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7" t="s">
        <v>971</v>
      </c>
      <c r="B327" s="697" t="s">
        <v>289</v>
      </c>
      <c r="C327" s="467"/>
      <c r="D327" s="467"/>
      <c r="E327" s="467">
        <v>215093</v>
      </c>
      <c r="F327" s="467"/>
      <c r="G327" s="467"/>
      <c r="H327" s="467"/>
      <c r="I327" s="467"/>
      <c r="J327" s="467"/>
      <c r="K327" s="1669">
        <f t="shared" si="24"/>
        <v>215093</v>
      </c>
      <c r="L327" s="467">
        <v>266000</v>
      </c>
      <c r="M327" s="665"/>
      <c r="N327" s="665"/>
    </row>
    <row r="328" spans="1:14" s="674" customFormat="1" x14ac:dyDescent="0.2">
      <c r="A328" s="1518" t="s">
        <v>472</v>
      </c>
      <c r="B328" s="690" t="s">
        <v>1132</v>
      </c>
      <c r="C328" s="474"/>
      <c r="D328" s="474"/>
      <c r="E328" s="474"/>
      <c r="F328" s="474"/>
      <c r="G328" s="474"/>
      <c r="H328" s="474"/>
      <c r="I328" s="474"/>
      <c r="J328" s="474"/>
      <c r="K328" s="1697">
        <f>SUM(C328:J328)</f>
        <v>0</v>
      </c>
      <c r="L328" s="474"/>
      <c r="M328" s="665"/>
      <c r="N328" s="665"/>
    </row>
    <row r="329" spans="1:14" s="674" customFormat="1" x14ac:dyDescent="0.2">
      <c r="A329" s="1518"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693527</v>
      </c>
      <c r="D330" s="1668">
        <f t="shared" ref="D330:J330" si="25">SUM(D319:D329)</f>
        <v>146318</v>
      </c>
      <c r="E330" s="1668">
        <f t="shared" si="25"/>
        <v>1229107</v>
      </c>
      <c r="F330" s="1668">
        <f t="shared" si="25"/>
        <v>18148</v>
      </c>
      <c r="G330" s="1668">
        <f t="shared" si="25"/>
        <v>0</v>
      </c>
      <c r="H330" s="1668">
        <f t="shared" si="25"/>
        <v>0</v>
      </c>
      <c r="I330" s="1668">
        <f t="shared" si="25"/>
        <v>0</v>
      </c>
      <c r="J330" s="1668">
        <f t="shared" si="25"/>
        <v>0</v>
      </c>
      <c r="K330" s="1668">
        <f>SUM(K319:K329)</f>
        <v>2087100</v>
      </c>
      <c r="L330" s="1668">
        <f>SUM(L319:L329)</f>
        <v>2691083</v>
      </c>
      <c r="M330" s="665"/>
      <c r="N330" s="665"/>
    </row>
    <row r="331" spans="1:14" s="674" customFormat="1" ht="12.75" customHeight="1" thickTop="1" x14ac:dyDescent="0.2">
      <c r="A331" s="1829" t="s">
        <v>1847</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1841</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1843</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1848</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4" t="s">
        <v>899</v>
      </c>
      <c r="B335" s="160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6" t="s">
        <v>87</v>
      </c>
      <c r="B337" s="690" t="s">
        <v>900</v>
      </c>
      <c r="C337" s="638"/>
      <c r="D337" s="638"/>
      <c r="E337" s="638"/>
      <c r="F337" s="638"/>
      <c r="G337" s="638"/>
      <c r="H337" s="478"/>
      <c r="I337" s="638"/>
      <c r="J337" s="638"/>
      <c r="K337" s="1669">
        <f>H337</f>
        <v>0</v>
      </c>
      <c r="L337" s="478"/>
    </row>
    <row r="338" spans="1:14" ht="12.75" customHeight="1" x14ac:dyDescent="0.2">
      <c r="A338" s="1516" t="s">
        <v>1170</v>
      </c>
      <c r="B338" s="690" t="s">
        <v>617</v>
      </c>
      <c r="C338" s="638"/>
      <c r="D338" s="638"/>
      <c r="E338" s="638"/>
      <c r="F338" s="638"/>
      <c r="G338" s="638"/>
      <c r="H338" s="478"/>
      <c r="I338" s="638"/>
      <c r="J338" s="638"/>
      <c r="K338" s="1669">
        <f>H338</f>
        <v>0</v>
      </c>
      <c r="L338" s="478"/>
    </row>
    <row r="339" spans="1:14" x14ac:dyDescent="0.2">
      <c r="A339" s="1502"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7" t="s">
        <v>903</v>
      </c>
      <c r="B341" s="1609"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693527</v>
      </c>
      <c r="D342" s="1668">
        <f>SUM(D330)</f>
        <v>146318</v>
      </c>
      <c r="E342" s="1668">
        <f>SUM(E330)</f>
        <v>1229107</v>
      </c>
      <c r="F342" s="1668">
        <f>SUM(F330)</f>
        <v>18148</v>
      </c>
      <c r="G342" s="1668">
        <f>SUM(G330)</f>
        <v>0</v>
      </c>
      <c r="H342" s="1668">
        <f>SUM(H330,H334,H340)</f>
        <v>0</v>
      </c>
      <c r="I342" s="1668">
        <f>SUM(I330)</f>
        <v>0</v>
      </c>
      <c r="J342" s="1668">
        <f>SUM(J330)</f>
        <v>0</v>
      </c>
      <c r="K342" s="1668">
        <f>SUM(K330,K334,K340)</f>
        <v>2087100</v>
      </c>
      <c r="L342" s="1675">
        <f>SUM(L330,L334,L340,L341)</f>
        <v>2691083</v>
      </c>
    </row>
    <row r="343" spans="1:14" ht="12.75" customHeight="1" thickTop="1" x14ac:dyDescent="0.2">
      <c r="A343" s="2284" t="s">
        <v>996</v>
      </c>
      <c r="B343" s="2285"/>
      <c r="C343" s="616"/>
      <c r="D343" s="616"/>
      <c r="E343" s="616"/>
      <c r="F343" s="616"/>
      <c r="G343" s="616"/>
      <c r="H343" s="616"/>
      <c r="I343" s="616"/>
      <c r="J343" s="616"/>
      <c r="K343" s="1682">
        <f>'Revenues 9-14'!J268-'Expenditures 15-22'!K342</f>
        <v>752244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274" t="s">
        <v>966</v>
      </c>
      <c r="B345" s="2275"/>
      <c r="C345" s="1549"/>
      <c r="D345" s="1550"/>
      <c r="E345" s="1550"/>
      <c r="F345" s="1550"/>
      <c r="G345" s="1550"/>
      <c r="H345" s="1550"/>
      <c r="I345" s="1550"/>
      <c r="J345" s="1550"/>
      <c r="K345" s="1550"/>
      <c r="L345" s="1551"/>
      <c r="M345" s="667"/>
      <c r="N345" s="667"/>
    </row>
    <row r="346" spans="1:14" s="343" customFormat="1" ht="15.75" customHeight="1" x14ac:dyDescent="0.2">
      <c r="A346" s="1621" t="s">
        <v>844</v>
      </c>
      <c r="B346" s="161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2" t="s">
        <v>4</v>
      </c>
      <c r="B348" s="614">
        <v>2530</v>
      </c>
      <c r="C348" s="466"/>
      <c r="D348" s="466"/>
      <c r="E348" s="466">
        <v>40735</v>
      </c>
      <c r="F348" s="466">
        <v>324</v>
      </c>
      <c r="G348" s="466"/>
      <c r="H348" s="466"/>
      <c r="I348" s="467"/>
      <c r="J348" s="467"/>
      <c r="K348" s="1669">
        <f>SUM(C348:J348)</f>
        <v>41059</v>
      </c>
      <c r="L348" s="466">
        <v>200400</v>
      </c>
    </row>
    <row r="349" spans="1:14" x14ac:dyDescent="0.2">
      <c r="A349" s="1502" t="s">
        <v>197</v>
      </c>
      <c r="B349" s="614">
        <v>2540</v>
      </c>
      <c r="C349" s="466"/>
      <c r="D349" s="466"/>
      <c r="E349" s="466"/>
      <c r="F349" s="466"/>
      <c r="G349" s="466"/>
      <c r="H349" s="466"/>
      <c r="I349" s="467"/>
      <c r="J349" s="467"/>
      <c r="K349" s="1669">
        <f>SUM(C349:J349)</f>
        <v>0</v>
      </c>
      <c r="L349" s="466"/>
    </row>
    <row r="350" spans="1:14" ht="12.75" customHeight="1" thickBot="1" x14ac:dyDescent="0.25">
      <c r="A350" s="1666" t="s">
        <v>719</v>
      </c>
      <c r="B350" s="1667" t="s">
        <v>35</v>
      </c>
      <c r="C350" s="1668">
        <f>SUM(C348:C349)</f>
        <v>0</v>
      </c>
      <c r="D350" s="1668">
        <f t="shared" ref="D350:L350" si="26">SUM(D348:D349)</f>
        <v>0</v>
      </c>
      <c r="E350" s="1668">
        <f t="shared" si="26"/>
        <v>40735</v>
      </c>
      <c r="F350" s="1668">
        <f t="shared" si="26"/>
        <v>324</v>
      </c>
      <c r="G350" s="1668">
        <f t="shared" si="26"/>
        <v>0</v>
      </c>
      <c r="H350" s="1668">
        <f t="shared" si="26"/>
        <v>0</v>
      </c>
      <c r="I350" s="1668">
        <f t="shared" si="26"/>
        <v>0</v>
      </c>
      <c r="J350" s="1668">
        <f t="shared" si="26"/>
        <v>0</v>
      </c>
      <c r="K350" s="1668">
        <f t="shared" si="26"/>
        <v>41059</v>
      </c>
      <c r="L350" s="1668">
        <f t="shared" si="26"/>
        <v>200400</v>
      </c>
    </row>
    <row r="351" spans="1:14" ht="12.75" customHeight="1" thickTop="1" x14ac:dyDescent="0.2">
      <c r="A351" s="1508"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40735</v>
      </c>
      <c r="F352" s="1668">
        <f t="shared" si="27"/>
        <v>324</v>
      </c>
      <c r="G352" s="1668">
        <f t="shared" si="27"/>
        <v>0</v>
      </c>
      <c r="H352" s="1668">
        <f t="shared" si="27"/>
        <v>0</v>
      </c>
      <c r="I352" s="1668">
        <f t="shared" si="27"/>
        <v>0</v>
      </c>
      <c r="J352" s="1668">
        <f t="shared" si="27"/>
        <v>0</v>
      </c>
      <c r="K352" s="1668">
        <f t="shared" si="27"/>
        <v>41059</v>
      </c>
      <c r="L352" s="1668">
        <f t="shared" si="27"/>
        <v>200400</v>
      </c>
    </row>
    <row r="353" spans="1:14" s="343" customFormat="1" ht="15.75" customHeight="1" thickTop="1" x14ac:dyDescent="0.2">
      <c r="A353" s="1610" t="s">
        <v>625</v>
      </c>
      <c r="B353" s="1607" t="s">
        <v>860</v>
      </c>
      <c r="C353" s="616"/>
      <c r="D353" s="616"/>
      <c r="E353" s="616"/>
      <c r="F353" s="616"/>
      <c r="G353" s="616"/>
      <c r="H353" s="616"/>
      <c r="I353" s="616"/>
      <c r="J353" s="616"/>
      <c r="K353" s="616"/>
      <c r="L353" s="616"/>
      <c r="M353" s="609"/>
      <c r="N353" s="609"/>
    </row>
    <row r="354" spans="1:14" x14ac:dyDescent="0.2">
      <c r="A354" s="1832" t="s">
        <v>1849</v>
      </c>
      <c r="B354" s="683" t="s">
        <v>1841</v>
      </c>
      <c r="C354" s="616"/>
      <c r="D354" s="616"/>
      <c r="E354" s="616"/>
      <c r="F354" s="616"/>
      <c r="G354" s="616"/>
      <c r="H354" s="474"/>
      <c r="I354" s="701"/>
      <c r="J354" s="616"/>
      <c r="K354" s="1697">
        <f>H354</f>
        <v>0</v>
      </c>
      <c r="L354" s="471"/>
    </row>
    <row r="355" spans="1:14" ht="12.75" customHeight="1" x14ac:dyDescent="0.2">
      <c r="A355" s="1511" t="s">
        <v>1850</v>
      </c>
      <c r="B355" s="690" t="s">
        <v>1843</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0" t="s">
        <v>948</v>
      </c>
      <c r="B358" s="160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c r="I360" s="616"/>
      <c r="J360" s="616"/>
      <c r="K360" s="1669">
        <f>SUM(C360:J360)</f>
        <v>0</v>
      </c>
      <c r="L360" s="466"/>
    </row>
    <row r="361" spans="1:14" ht="12.75" customHeight="1" x14ac:dyDescent="0.2">
      <c r="A361" s="1503"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19"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4" t="s">
        <v>949</v>
      </c>
      <c r="B366" s="1611"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40735</v>
      </c>
      <c r="F367" s="1668">
        <f t="shared" si="28"/>
        <v>324</v>
      </c>
      <c r="G367" s="1668">
        <f t="shared" si="28"/>
        <v>0</v>
      </c>
      <c r="H367" s="1668">
        <f t="shared" si="28"/>
        <v>0</v>
      </c>
      <c r="I367" s="1668">
        <f t="shared" si="28"/>
        <v>0</v>
      </c>
      <c r="J367" s="1668">
        <f t="shared" si="28"/>
        <v>0</v>
      </c>
      <c r="K367" s="1668">
        <f t="shared" si="28"/>
        <v>41059</v>
      </c>
      <c r="L367" s="1668">
        <f t="shared" si="28"/>
        <v>200400</v>
      </c>
    </row>
    <row r="368" spans="1:14" ht="13.5" thickTop="1" x14ac:dyDescent="0.2">
      <c r="A368" s="2271" t="s">
        <v>996</v>
      </c>
      <c r="B368" s="2272"/>
      <c r="C368" s="654"/>
      <c r="D368" s="654"/>
      <c r="E368" s="626"/>
      <c r="F368" s="626"/>
      <c r="G368" s="626"/>
      <c r="H368" s="626"/>
      <c r="I368" s="626"/>
      <c r="J368" s="623"/>
      <c r="K368" s="1669">
        <f>'Revenues 9-14'!K268-'Expenditures 15-22'!K367</f>
        <v>4572</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6ce3111e-7420-4802-b50a-75d4e9a0b980"/>
    <ds:schemaRef ds:uri="http://schemas.microsoft.com/office/infopath/2007/PartnerControls"/>
    <ds:schemaRef ds:uri="http://www.w3.org/XML/1998/namespace"/>
    <ds:schemaRef ds:uri="4d435f69-8686-490b-bd6d-b153bf22ab50"/>
    <ds:schemaRef ds:uri="http://purl.org/dc/elements/1.1/"/>
    <ds:schemaRef ds:uri="http://purl.org/dc/dcmitype/"/>
    <ds:schemaRef ds:uri="http://schemas.openxmlformats.org/package/2006/metadata/core-properties"/>
    <ds:schemaRef ds:uri="http://schemas.microsoft.com/sharepoint/v3"/>
    <ds:schemaRef ds:uri="d21dc803-237d-4c68-8692-8d731fd29118"/>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21</vt:i4>
      </vt:variant>
    </vt:vector>
  </HeadingPairs>
  <TitlesOfParts>
    <vt:vector size="60" baseType="lpstr">
      <vt:lpstr>COVER</vt:lpstr>
      <vt:lpstr>TOC</vt:lpstr>
      <vt:lpstr>FP Info 3</vt:lpstr>
      <vt:lpstr>Aud Quest 2</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 (3)</vt:lpstr>
      <vt:lpstr> SEFA (2)</vt:lpstr>
      <vt:lpstr> SEFA (4)</vt:lpstr>
      <vt:lpstr> SEFA (5)</vt:lpstr>
      <vt:lpstr> SEFA</vt:lpstr>
      <vt:lpstr>SEFA NOTES</vt:lpstr>
      <vt:lpstr>SF&amp;QC Sec-1</vt:lpstr>
      <vt:lpstr>SF&amp;QC Sec-2 (2)</vt:lpstr>
      <vt:lpstr>SF&amp;QC Sec-2</vt:lpstr>
      <vt:lpstr>SF&amp;QC Sec-3 (2)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2019-12-13T17:39:00Z</cp:lastPrinted>
  <dcterms:created xsi:type="dcterms:W3CDTF">2003-10-29T19:06:34Z</dcterms:created>
  <dcterms:modified xsi:type="dcterms:W3CDTF">2020-01-07T17:00:42Z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