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A832F42-784C-4FC0-BF3E-6A0BF7AAB9DC}" xr6:coauthVersionLast="36" xr6:coauthVersionMax="36" xr10:uidLastSave="{00000000-0000-0000-0000-000000000000}"/>
  <bookViews>
    <workbookView xWindow="20370" yWindow="-2100" windowWidth="21840"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5" l="1"/>
  <c r="D99" i="5"/>
  <c r="C213" i="5"/>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F28" i="181" s="1"/>
  <c r="E27" i="181"/>
  <c r="F27" i="181" s="1"/>
  <c r="G27" i="181" s="1"/>
  <c r="E26" i="181"/>
  <c r="F26" i="181" s="1"/>
  <c r="E25" i="181"/>
  <c r="E24" i="181"/>
  <c r="E23" i="181"/>
  <c r="E22" i="181"/>
  <c r="E21" i="181"/>
  <c r="E20" i="181"/>
  <c r="F20" i="181" s="1"/>
  <c r="E19" i="181"/>
  <c r="F19" i="181" s="1"/>
  <c r="F23" i="181" l="1"/>
  <c r="G23" i="181" s="1"/>
  <c r="G21" i="181"/>
  <c r="F21" i="181"/>
  <c r="F25" i="181"/>
  <c r="G25" i="181" s="1"/>
  <c r="G24" i="181"/>
  <c r="F24" i="181"/>
  <c r="F22" i="181"/>
  <c r="G22"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13" i="11" l="1"/>
  <c r="B2060" i="106" s="1"/>
  <c r="D2060" i="106" s="1"/>
  <c r="D69" i="36"/>
  <c r="G30" i="108"/>
  <c r="F50" i="34"/>
  <c r="F42" i="34"/>
  <c r="C342" i="29"/>
  <c r="B7216" i="106" s="1"/>
  <c r="D7216" i="106" s="1"/>
  <c r="B2836" i="106"/>
  <c r="D2836" i="106" s="1"/>
  <c r="L367" i="29"/>
  <c r="C129" i="29"/>
  <c r="B1225" i="106" s="1"/>
  <c r="D1225" i="106" s="1"/>
  <c r="L5" i="11"/>
  <c r="B2056" i="106" s="1"/>
  <c r="D2056" i="106" s="1"/>
  <c r="F46" i="34"/>
  <c r="F3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N23" i="3" l="1"/>
  <c r="B284" i="106" s="1"/>
  <c r="D284" i="106" s="1"/>
  <c r="L16" i="11"/>
  <c r="B2061" i="106" s="1"/>
  <c r="D2061" i="106" s="1"/>
  <c r="D44" i="36"/>
  <c r="B5527" i="106"/>
  <c r="D5527" i="106" s="1"/>
  <c r="G6" i="4"/>
  <c r="B2604" i="106" s="1"/>
  <c r="D2604" i="106" s="1"/>
  <c r="D41" i="108"/>
  <c r="E43" i="108" s="1"/>
  <c r="B1328" i="106"/>
  <c r="D1328" i="106" s="1"/>
  <c r="C114" i="29"/>
  <c r="B757" i="106" s="1"/>
  <c r="D75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<sst xmlns="http://schemas.openxmlformats.org/spreadsheetml/2006/main" count="5071" uniqueCount="2097">
  <si>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</si>
  <si>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</si>
  <si>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</si>
  <si>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</si>
  <si>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</si>
  <si>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</si>
  <si>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</si>
  <si>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</si>
  <si>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</si>
  <si>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</si>
  <si>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</si>
  <si>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</si>
  <si>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</si>
  <si>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</si>
  <si>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</si>
  <si>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</si>
  <si>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</si>
  <si>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</si>
  <si>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</si>
  <si>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</si>
  <si>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</si>
  <si>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</si>
  <si>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</si>
  <si>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</si>
  <si>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</si>
  <si>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</si>
  <si>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</si>
  <si>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</si>
  <si>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</si>
  <si>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</si>
  <si>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</si>
  <si>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</si>
  <si>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</si>
  <si>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</si>
  <si>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</si>
  <si>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</si>
  <si>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</si>
  <si>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</si>
  <si>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</si>
  <si>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</si>
  <si>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</si>
  <si>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</si>
  <si>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</si>
  <si>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</si>
  <si>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</si>
  <si>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</si>
  <si>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</si>
  <si>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</si>
  <si>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</si>
  <si>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</si>
  <si>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</si>
  <si>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</si>
  <si>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</si>
  <si>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</si>
  <si>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</si>
  <si>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</si>
  <si>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</si>
  <si>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</si>
  <si>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</si>
  <si>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</si>
  <si>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</si>
  <si>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</si>
  <si>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</si>
  <si>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</si>
  <si>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</si>
  <si>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</si>
  <si>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</si>
  <si>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</si>
  <si>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</si>
  <si>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</si>
  <si>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</si>
  <si>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</si>
  <si>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</si>
  <si>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</si>
  <si>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</si>
  <si>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</si>
  <si>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</si>
  <si>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</si>
  <si>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</si>
  <si>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</si>
  <si>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</si>
  <si>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</si>
  <si>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</si>
  <si>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</si>
  <si>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</si>
  <si>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</si>
  <si>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</si>
  <si>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</si>
  <si>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</si>
  <si>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</si>
  <si>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</si>
  <si>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</si>
  <si>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</si>
  <si>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</si>
  <si>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</si>
  <si>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</si>
  <si>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</si>
  <si>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</si>
  <si>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</si>
  <si>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</si>
  <si>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</si>
  <si>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</si>
  <si>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</si>
  <si>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</si>
  <si>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</si>
  <si>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</si>
  <si>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</si>
  <si>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</si>
  <si>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</si>
  <si>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</si>
  <si>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</si>
  <si>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</si>
  <si>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</si>
  <si>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</si>
  <si>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</si>
  <si>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</si>
  <si>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</si>
  <si>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</si>
  <si>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</si>
  <si>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</si>
  <si>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</si>
  <si>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</si>
  <si>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</si>
  <si>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</si>
  <si>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</si>
  <si>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</si>
  <si>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</si>
  <si>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</si>
  <si>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</si>
  <si>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</si>
  <si>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</si>
  <si>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</si>
  <si>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</si>
  <si>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</si>
  <si>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</si>
  <si>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</si>
  <si>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</si>
  <si>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</si>
  <si>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</si>
  <si>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</si>
  <si>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</si>
  <si>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</si>
  <si>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</si>
  <si>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</si>
  <si>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</si>
  <si>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</si>
  <si>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</si>
  <si>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</si>
  <si>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</si>
  <si>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</si>
  <si>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</si>
  <si>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</si>
  <si>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</si>
  <si>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</si>
  <si>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</si>
  <si>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</si>
  <si>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</si>
  <si>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</si>
  <si>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</si>
  <si>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</si>
  <si>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</si>
  <si>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</si>
  <si>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</si>
  <si>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</si>
  <si>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</si>
  <si>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</si>
  <si>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</si>
  <si>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</si>
  <si>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</si>
  <si>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</si>
  <si>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</si>
  <si>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</si>
  <si>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</si>
  <si>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</si>
  <si>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</si>
  <si>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</si>
  <si>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</si>
  <si>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</si>
  <si>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</si>
  <si>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</si>
  <si>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</si>
  <si>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</si>
  <si>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</si>
  <si>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</si>
  <si>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</si>
  <si>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</si>
  <si>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</si>
  <si>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</si>
  <si>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</si>
  <si>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</si>
  <si>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</si>
  <si>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</si>
  <si>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</si>
  <si>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</si>
  <si>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</si>
  <si>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</si>
  <si>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</si>
  <si>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</si>
  <si>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</si>
  <si>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</si>
  <si>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</si>
  <si>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</si>
  <si>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</si>
  <si>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</si>
  <si>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</si>
  <si>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</si>
  <si>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</si>
  <si>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</si>
  <si>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</si>
  <si>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</si>
  <si>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</si>
  <si>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</si>
  <si>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</si>
  <si>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</si>
  <si>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</si>
  <si>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</si>
  <si>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</si>
  <si>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</si>
  <si>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</si>
  <si>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</si>
  <si>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</si>
  <si>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</si>
  <si>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</si>
  <si>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</si>
  <si>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</si>
  <si>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</si>
  <si>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</si>
  <si>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</si>
  <si>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</si>
  <si>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</si>
  <si>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</si>
  <si>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</si>
  <si>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</si>
  <si>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</si>
  <si>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</si>
  <si>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</si>
  <si>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</si>
  <si>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</si>
  <si>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</si>
  <si>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</si>
  <si>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</si>
  <si>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</si>
  <si>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</si>
  <si>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</si>
  <si>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</si>
  <si>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</si>
  <si>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</si>
  <si>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</si>
  <si>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</si>
  <si>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</si>
  <si>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</si>
  <si>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</si>
  <si>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</si>
  <si>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</si>
  <si>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</si>
  <si>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</si>
  <si>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</si>
  <si>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</si>
  <si>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</si>
  <si>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</si>
  <si>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</si>
  <si>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</si>
  <si>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</si>
  <si>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</si>
  <si>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</si>
  <si>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</si>
  <si>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</si>
  <si>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</si>
  <si>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</si>
  <si>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</si>
  <si>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</si>
  <si>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</si>
  <si>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</si>
  <si>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</si>
  <si>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</si>
  <si>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</si>
  <si>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</si>
  <si>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</si>
  <si>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</si>
  <si>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</si>
  <si>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</si>
  <si>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</si>
  <si>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</si>
  <si>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</si>
  <si>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</si>
  <si>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</si>
  <si>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</si>
  <si>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</si>
  <si>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</si>
  <si>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</si>
  <si>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</si>
  <si>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</si>
  <si>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</si>
  <si>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</si>
  <si>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</si>
  <si>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</si>
  <si>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</si>
  <si>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</si>
  <si>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</si>
  <si>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</si>
  <si>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</si>
  <si>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</si>
  <si>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</si>
  <si>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</si>
  <si>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</si>
  <si>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</si>
  <si>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</si>
  <si>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</si>
  <si>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</si>
  <si>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</si>
  <si>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</si>
  <si>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</si>
  <si>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</si>
  <si>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</si>
  <si>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</si>
  <si>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</si>
  <si>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</si>
  <si>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</si>
  <si>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</si>
  <si>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</si>
  <si>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</si>
  <si>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</si>
  <si>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</si>
  <si>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</si>
  <si>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</si>
  <si>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</si>
  <si>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</si>
  <si>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</si>
  <si>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</si>
  <si>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</si>
  <si>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</si>
  <si>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</si>
  <si>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</si>
  <si>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</si>
  <si>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</si>
  <si>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</si>
  <si>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</si>
  <si>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</si>
  <si>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</si>
  <si>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</si>
  <si>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</si>
  <si>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</si>
  <si>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</si>
  <si>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</si>
  <si>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</si>
  <si>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</si>
  <si>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</si>
  <si>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</si>
  <si>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</si>
  <si>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</si>
  <si>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</si>
  <si>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</si>
  <si>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</si>
  <si>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</si>
  <si>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</si>
  <si>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</si>
  <si>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</si>
  <si>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</si>
  <si>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</si>
  <si>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</si>
  <si>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</si>
  <si>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</si>
  <si>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</si>
  <si>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</si>
  <si>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</si>
  <si>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</si>
  <si>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</si>
  <si>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</si>
  <si>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</si>
  <si>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</si>
  <si>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</si>
  <si>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</si>
  <si>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</si>
  <si>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</si>
  <si>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</si>
  <si>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</si>
  <si>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</si>
  <si>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</si>
  <si>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</si>
  <si>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</si>
  <si>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</si>
  <si>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</si>
  <si>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</si>
  <si>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</si>
  <si>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</si>
  <si>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</si>
  <si>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</si>
  <si>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</si>
  <si>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</si>
  <si>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</si>
  <si>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</si>
  <si>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</si>
  <si>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</si>
  <si>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</si>
  <si>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</si>
  <si>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</si>
  <si>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</si>
  <si>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</si>
  <si>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</si>
  <si>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</si>
  <si>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</si>
  <si>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</si>
  <si>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</si>
  <si>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</si>
  <si>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</si>
  <si>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</si>
  <si>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</si>
  <si>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</si>
  <si>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</si>
  <si>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</si>
  <si>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</si>
  <si>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</si>
  <si>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</si>
  <si>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</si>
  <si>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</si>
  <si>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</si>
  <si>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</si>
  <si>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</si>
  <si>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</si>
  <si>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</si>
  <si>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</si>
  <si>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</si>
  <si>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</si>
  <si>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</si>
  <si>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</si>
  <si>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</si>
  <si>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</si>
  <si>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</si>
  <si>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</si>
  <si>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</si>
  <si>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</si>
  <si>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</si>
  <si>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</si>
  <si>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</si>
  <si>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</si>
  <si>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</si>
  <si>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</si>
  <si>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</si>
  <si>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</si>
  <si>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</si>
  <si>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</si>
  <si>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</si>
  <si>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</si>
  <si>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</si>
  <si>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</si>
  <si>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</si>
  <si>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</si>
  <si>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</si>
  <si>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</si>
  <si>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</si>
  <si>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</si>
  <si>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</si>
  <si>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</si>
  <si>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</si>
  <si>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</si>
  <si>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</si>
  <si>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</si>
  <si>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</si>
  <si>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</si>
  <si>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</si>
  <si>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</si>
  <si>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</si>
  <si>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</si>
  <si>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</si>
  <si>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</si>
  <si>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</si>
  <si>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</si>
  <si>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</si>
  <si>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</si>
  <si>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</si>
  <si>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</si>
  <si>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</si>
  <si>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</si>
  <si>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</si>
  <si>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</si>
  <si>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</si>
  <si>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</si>
  <si>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</si>
  <si>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</si>
  <si>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</si>
  <si>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</si>
  <si>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</si>
  <si>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</si>
  <si>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</si>
  <si>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</si>
  <si>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</si>
  <si>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</si>
  <si>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</si>
  <si>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</si>
  <si>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</si>
  <si>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</si>
  <si>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</si>
  <si>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</si>
  <si>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</si>
  <si>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</si>
  <si>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</si>
  <si>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</si>
  <si>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</si>
  <si>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</si>
  <si>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</si>
  <si>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</si>
  <si>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</si>
  <si>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</si>
  <si>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</si>
  <si>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</si>
  <si>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</si>
  <si>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</si>
  <si>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</si>
  <si>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</si>
  <si>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</si>
  <si>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</si>
  <si>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</si>
  <si>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</si>
  <si>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</si>
  <si>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</si>
  <si>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</si>
  <si>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</si>
  <si>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</si>
  <si>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</si>
  <si>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</si>
  <si>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</si>
  <si>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</si>
  <si>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</si>
  <si>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</si>
  <si>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</si>
  <si>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</si>
  <si>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</si>
  <si>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</si>
  <si>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</si>
  <si>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</si>
  <si>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</si>
  <si>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</si>
  <si>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</si>
  <si>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</si>
  <si>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</si>
  <si>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</si>
  <si>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</si>
  <si>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</si>
  <si>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</si>
  <si>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</si>
  <si>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</si>
  <si>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</si>
  <si>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</si>
  <si>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</si>
  <si>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</si>
  <si>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</si>
  <si>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</si>
  <si>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</si>
  <si>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</si>
  <si>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</si>
  <si>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</si>
  <si>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</si>
  <si>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</si>
  <si>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</si>
  <si>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</si>
  <si>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</si>
  <si>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</si>
  <si>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</si>
  <si>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</si>
  <si>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</si>
  <si>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</si>
  <si>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</si>
  <si>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</si>
  <si>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</si>
  <si>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</si>
  <si>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</si>
  <si>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</si>
  <si>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</si>
  <si>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</si>
  <si>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</si>
  <si>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</si>
  <si>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</si>
  <si>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</si>
  <si>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</si>
  <si>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</si>
  <si>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</si>
  <si>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</si>
  <si>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</si>
  <si>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</si>
  <si>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</si>
  <si>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</si>
  <si>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</si>
  <si>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</si>
  <si>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</si>
  <si>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</si>
  <si>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</si>
  <si>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</si>
  <si>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</si>
  <si>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</si>
  <si>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</si>
  <si>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</si>
  <si>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</si>
  <si>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</si>
  <si>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</si>
  <si>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</si>
  <si>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</si>
  <si>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</si>
  <si>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</si>
  <si>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</si>
  <si>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</si>
  <si>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</si>
  <si>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</si>
  <si>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</si>
  <si>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</si>
  <si>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</si>
  <si>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</si>
  <si>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</si>
  <si>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</si>
  <si>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</si>
  <si>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</si>
  <si>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</si>
  <si>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</si>
  <si>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</si>
  <si>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</si>
  <si>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</si>
  <si>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</si>
  <si>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</si>
  <si>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</si>
  <si>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</si>
  <si>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</si>
  <si>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</si>
  <si>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</si>
  <si>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</si>
  <si>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</si>
  <si>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</si>
  <si>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</si>
  <si>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</si>
  <si>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</si>
  <si>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</si>
  <si>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</si>
  <si>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</si>
  <si>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</si>
  <si>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</si>
  <si>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</si>
  <si>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</si>
  <si>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</si>
  <si>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</si>
  <si>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</si>
  <si>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</si>
  <si>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</si>
  <si>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</si>
  <si>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</si>
  <si>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</si>
  <si>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</si>
  <si>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</si>
  <si>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</si>
  <si>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</si>
  <si>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</si>
  <si>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</si>
  <si>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</si>
  <si>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</si>
  <si>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</si>
  <si>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</si>
  <si>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</si>
  <si>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</si>
  <si>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</si>
  <si>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</si>
  <si>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</si>
  <si>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</si>
  <si>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</si>
  <si>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</si>
  <si>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</si>
  <si>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</si>
  <si>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</si>
  <si>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</si>
  <si>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</si>
  <si>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</si>
  <si>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</si>
  <si>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</si>
  <si>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</si>
  <si>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</si>
  <si>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</si>
  <si>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</si>
  <si>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</si>
  <si>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</si>
  <si>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</si>
  <si>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</si>
  <si>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</si>
  <si>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</si>
  <si>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</si>
  <si>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</si>
  <si>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</si>
  <si>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</si>
  <si>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</si>
  <si>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</si>
  <si>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</si>
  <si>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</si>
  <si>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</si>
  <si>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</si>
  <si>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</si>
  <si>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</si>
  <si>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</si>
  <si>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</si>
  <si>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</si>
  <si>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</si>
  <si>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</si>
  <si>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</si>
  <si>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</si>
  <si>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</si>
  <si>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</si>
  <si>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</si>
  <si>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</si>
  <si>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</si>
  <si>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</si>
  <si>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</si>
  <si>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</si>
  <si>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</si>
  <si>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</si>
  <si>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</si>
  <si>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</si>
  <si>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</si>
  <si>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</si>
  <si>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</si>
  <si>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</si>
  <si>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</si>
  <si>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</si>
  <si>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</si>
  <si>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</si>
  <si>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</si>
  <si>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</si>
  <si>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</si>
  <si>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</si>
  <si>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</si>
  <si>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</si>
  <si>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</si>
  <si>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</si>
  <si>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</si>
  <si>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</si>
  <si>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</si>
  <si>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</si>
  <si>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</si>
  <si>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</si>
  <si>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</si>
  <si>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</si>
  <si>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</si>
  <si>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</si>
  <si>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</si>
  <si>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</si>
  <si>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</si>
  <si>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</si>
  <si>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</si>
  <si>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</si>
  <si>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</si>
  <si>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</si>
  <si>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</si>
  <si>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</si>
  <si>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</si>
  <si>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</si>
  <si>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</si>
  <si>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</si>
  <si>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</si>
  <si>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</si>
  <si>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</si>
  <si>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</si>
  <si>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</si>
  <si>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</si>
  <si>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</si>
  <si>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</si>
  <si>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</si>
  <si>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</si>
  <si>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</si>
  <si>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</si>
  <si>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</si>
  <si>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</si>
  <si>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</si>
  <si>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</si>
  <si>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</si>
  <si>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</si>
  <si>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</si>
  <si>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</si>
  <si>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</si>
  <si>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</si>
  <si>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</si>
  <si>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</si>
  <si>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</si>
  <si>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</si>
  <si>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</si>
  <si>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</si>
  <si>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</si>
  <si>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</si>
  <si>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</si>
  <si>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</si>
  <si>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</si>
  <si>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</si>
  <si>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</si>
  <si>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</si>
  <si>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</si>
  <si>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</si>
  <si>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</si>
  <si>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</si>
  <si>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</si>
  <si>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</si>
  <si>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</si>
  <si>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</si>
  <si>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</si>
  <si>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</si>
  <si>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</si>
  <si>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</si>
  <si>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</si>
  <si>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</si>
  <si>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</si>
  <si>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</si>
  <si>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</si>
  <si>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</si>
  <si>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</si>
  <si>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</si>
  <si>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</si>
  <si>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</si>
  <si>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</si>
  <si>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</si>
  <si>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</si>
  <si>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</si>
  <si>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</si>
  <si>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</si>
  <si>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</si>
  <si>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</si>
  <si>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</si>
  <si>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</si>
  <si>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</si>
  <si>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</si>
  <si>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</si>
  <si>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</si>
  <si>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</si>
  <si>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</si>
  <si>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</si>
  <si>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</si>
  <si>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</si>
  <si>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</si>
  <si>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</si>
  <si>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</si>
  <si>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</si>
  <si>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</si>
  <si>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</si>
  <si>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</si>
  <si>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</si>
  <si>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</si>
  <si>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</si>
  <si>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</si>
  <si>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</si>
  <si>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</si>
  <si>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</si>
  <si>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</si>
  <si>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</si>
  <si>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</si>
  <si>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</si>
  <si>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</si>
  <si>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</si>
  <si>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</si>
  <si>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</si>
  <si>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</si>
  <si>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</si>
  <si>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</si>
  <si>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</si>
  <si>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</si>
  <si>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</si>
  <si>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</si>
  <si>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</si>
  <si>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</si>
  <si>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</si>
  <si>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</si>
  <si>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</si>
  <si>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</si>
  <si>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</si>
  <si>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</si>
  <si>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</si>
  <si>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</si>
  <si>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</si>
  <si>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</si>
  <si>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</si>
  <si>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</si>
  <si>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</si>
  <si>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</si>
  <si>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</si>
  <si>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</si>
  <si>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</si>
  <si>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</si>
  <si>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</si>
  <si>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</si>
  <si>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</si>
  <si>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</si>
  <si>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</si>
  <si>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</si>
  <si>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</si>
  <si>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</si>
  <si>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</si>
  <si>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</si>
  <si>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</si>
  <si>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</si>
  <si>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</si>
  <si>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</si>
  <si>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</si>
  <si>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</si>
  <si>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</si>
  <si>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</si>
  <si>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</si>
  <si>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</si>
  <si>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</si>
  <si>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</si>
  <si>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</si>
  <si>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</si>
  <si>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</si>
  <si>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</si>
  <si>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</si>
  <si>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</si>
  <si>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</si>
  <si>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</si>
  <si>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</si>
  <si>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</si>
  <si>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</si>
  <si>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</si>
  <si>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</si>
  <si>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</si>
  <si>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</si>
  <si>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</si>
  <si>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</si>
  <si>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</si>
  <si>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</si>
  <si>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</si>
  <si>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</si>
  <si>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</si>
  <si>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</si>
  <si>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</si>
  <si>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</si>
  <si>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</si>
  <si>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</si>
  <si>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</si>
  <si>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</si>
  <si>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</si>
  <si>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</si>
  <si>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</si>
  <si>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</si>
  <si>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</si>
  <si>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</si>
  <si>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</si>
  <si>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</si>
  <si>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</si>
  <si>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</si>
  <si>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</si>
  <si>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</si>
  <si>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</si>
  <si>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</si>
  <si>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</si>
  <si>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</si>
  <si>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</si>
  <si>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</si>
  <si>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</si>
  <si>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</si>
  <si>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</si>
  <si>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</si>
  <si>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</si>
  <si>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</si>
  <si>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</si>
  <si>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</si>
  <si>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</si>
  <si>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</si>
  <si>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</si>
  <si>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</si>
  <si>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</si>
  <si>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</si>
  <si>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</si>
  <si>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</si>
  <si>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</si>
  <si>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</si>
  <si>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</si>
  <si>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</si>
  <si>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</si>
  <si>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</si>
  <si>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</si>
  <si>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</si>
  <si>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</si>
  <si>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</si>
  <si>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</si>
  <si>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</si>
  <si>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</si>
  <si>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</si>
  <si>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</si>
  <si>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</si>
  <si>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</si>
  <si>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</si>
  <si>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</si>
  <si>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</si>
  <si>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</si>
  <si>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</si>
  <si>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</si>
  <si>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</si>
  <si>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</si>
  <si>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</si>
  <si>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</si>
  <si>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</si>
  <si>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</si>
  <si>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</si>
  <si>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</si>
  <si>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</si>
  <si>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</si>
  <si>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</si>
  <si>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</si>
  <si>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</si>
  <si>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</si>
  <si>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</si>
  <si>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</si>
  <si>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</si>
  <si>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</si>
  <si>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</si>
  <si>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</si>
  <si>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</si>
  <si>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</si>
  <si>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</si>
  <si>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</si>
  <si>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</si>
  <si>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</si>
  <si>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</si>
  <si>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</si>
  <si>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</si>
  <si>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</si>
  <si>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</si>
  <si>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</si>
  <si>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</si>
  <si>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</si>
  <si>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</si>
  <si>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</si>
  <si>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</si>
  <si>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</si>
  <si>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</si>
  <si>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</si>
  <si>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</si>
  <si>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</si>
  <si>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</si>
  <si>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</si>
  <si>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</si>
  <si>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</si>
  <si>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</si>
  <si>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</si>
  <si>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</si>
  <si>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</si>
  <si>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</si>
  <si>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</si>
  <si>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</si>
  <si>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</si>
  <si>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</si>
  <si>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</si>
  <si>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</si>
  <si>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</si>
  <si>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</si>
  <si>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</si>
  <si>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</si>
  <si>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</si>
  <si>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</si>
  <si>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</si>
  <si>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</si>
  <si>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</si>
  <si>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</si>
  <si>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</si>
  <si>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</si>
  <si>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</si>
  <si>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</si>
  <si>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</si>
  <si>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</si>
  <si>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</si>
  <si>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</si>
  <si>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</si>
  <si>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</si>
  <si>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</si>
  <si>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</si>
  <si>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</si>
  <si>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</si>
  <si>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</si>
  <si>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</si>
  <si>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</si>
  <si>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</si>
  <si>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</si>
  <si>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</si>
  <si>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</si>
  <si>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</si>
  <si>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</si>
  <si>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</si>
  <si>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</si>
  <si>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</si>
  <si>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</si>
  <si>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</si>
  <si>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</si>
  <si>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</si>
  <si>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</si>
  <si>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</si>
  <si>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</si>
  <si>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</si>
  <si>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</si>
  <si>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</si>
  <si>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</si>
  <si>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</si>
  <si>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</si>
  <si>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</si>
  <si>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</si>
  <si>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</si>
  <si>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</si>
  <si>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</si>
  <si>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</si>
  <si>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</si>
  <si>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</si>
  <si>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</si>
  <si>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</si>
  <si>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</si>
  <si>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</si>
  <si>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</si>
  <si>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</si>
  <si>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</si>
  <si>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</si>
  <si>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</si>
  <si>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</si>
  <si>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</si>
  <si>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</si>
  <si>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</si>
  <si>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</si>
  <si>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</si>
  <si>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</si>
  <si>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</si>
  <si>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</si>
  <si>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</si>
  <si>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</si>
  <si>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</si>
  <si>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</si>
  <si>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</si>
  <si>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</si>
  <si>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</si>
  <si>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</si>
  <si>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</si>
  <si>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</si>
  <si>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</si>
  <si>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</si>
  <si>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</si>
  <si>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</si>
  <si>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</si>
  <si>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</si>
  <si>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</si>
  <si>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</si>
  <si>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</si>
  <si>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</si>
  <si>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</si>
  <si>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</si>
  <si>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</si>
  <si>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</si>
  <si>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</si>
  <si>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</si>
  <si>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</si>
  <si>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</si>
  <si>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</si>
  <si>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</si>
  <si>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</si>
  <si>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</si>
  <si>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</si>
  <si>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</si>
  <si>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</si>
  <si>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</si>
  <si>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</si>
  <si>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</si>
  <si>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</si>
  <si>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</si>
  <si>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</si>
  <si>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</si>
  <si>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</si>
  <si>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</si>
  <si>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</si>
  <si>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</si>
  <si>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</si>
  <si>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</si>
  <si>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</si>
  <si>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</si>
  <si>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</si>
  <si>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</si>
  <si>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</si>
  <si>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</si>
  <si>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</si>
  <si>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</si>
  <si>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</si>
  <si>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</si>
  <si>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</si>
  <si>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</si>
  <si>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</si>
  <si>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</si>
  <si>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</si>
  <si>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</si>
  <si>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</si>
  <si>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</si>
  <si>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</si>
  <si>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</si>
  <si>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</si>
  <si>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</si>
  <si>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</si>
  <si>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</si>
  <si>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</si>
  <si>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</si>
  <si>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</si>
  <si>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</si>
  <si>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</si>
  <si>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</si>
  <si>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</si>
  <si>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</si>
  <si>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</si>
  <si>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</si>
  <si>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</si>
  <si>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</si>
  <si>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</si>
  <si>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</si>
  <si>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</si>
  <si>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</si>
  <si>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</si>
  <si>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</si>
  <si>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</si>
  <si>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</si>
  <si>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</si>
  <si>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</si>
  <si>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</si>
  <si>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</si>
  <si>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</si>
  <si>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</si>
  <si>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</si>
  <si>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</si>
  <si>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</si>
  <si>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</si>
  <si>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</si>
  <si>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</si>
  <si>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</si>
  <si>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</si>
  <si>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</si>
  <si>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</si>
  <si>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</si>
  <si>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</si>
  <si>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</si>
  <si>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</si>
  <si>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</si>
  <si>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</si>
  <si>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</si>
  <si>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</si>
  <si>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</si>
  <si>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</si>
  <si>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</si>
  <si>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</si>
  <si>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</si>
  <si>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</si>
  <si>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</si>
  <si>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</si>
  <si>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</si>
  <si>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</si>
  <si>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</si>
  <si>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</si>
  <si>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</si>
  <si>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</si>
  <si>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</si>
  <si>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</si>
  <si>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</si>
  <si>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</si>
  <si>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</si>
  <si>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</si>
  <si>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</si>
  <si>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</si>
  <si>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</si>
  <si>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</si>
  <si>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</si>
  <si>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</si>
  <si>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</si>
  <si>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</si>
  <si>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</si>
  <si>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</si>
  <si>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</si>
  <si>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</si>
  <si>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</si>
  <si>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</si>
  <si>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</si>
  <si>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</si>
  <si>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</si>
  <si>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</si>
  <si>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</si>
  <si>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</si>
  <si>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</si>
  <si>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</si>
  <si>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</si>
  <si>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</si>
  <si>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</si>
  <si>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</si>
  <si>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</si>
  <si>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</si>
  <si>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</si>
  <si>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</si>
  <si>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</si>
  <si>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</si>
  <si>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</si>
  <si>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</si>
  <si>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</si>
  <si>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</si>
  <si>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</si>
  <si>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</si>
  <si>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</si>
  <si>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</si>
  <si>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</si>
  <si>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</si>
  <si>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</si>
  <si>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</si>
  <si>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</si>
  <si>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</si>
  <si>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</si>
  <si>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</si>
  <si>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</si>
  <si>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</si>
  <si>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</si>
  <si>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</si>
  <si>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</si>
  <si>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</si>
  <si>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</si>
  <si>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</si>
  <si>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</si>
  <si>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</si>
  <si>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</si>
  <si>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</si>
  <si>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</si>
  <si>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</si>
  <si>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</si>
  <si>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</si>
  <si>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</si>
  <si>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</si>
  <si>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</si>
  <si>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</si>
  <si>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</si>
  <si>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</si>
  <si>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</si>
  <si>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</si>
  <si>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</si>
  <si>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</si>
  <si>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</si>
  <si>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</si>
  <si>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</si>
  <si>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</si>
  <si>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</si>
  <si>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</si>
  <si>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</si>
  <si>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</si>
  <si>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</si>
  <si>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</si>
  <si>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</si>
  <si>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</si>
  <si>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</si>
  <si>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</si>
  <si>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</si>
  <si>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</si>
  <si>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</si>
  <si>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</si>
  <si>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</si>
  <si>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</si>
  <si>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</si>
  <si>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</si>
  <si>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</si>
  <si>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</si>
  <si>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</si>
  <si>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</si>
  <si>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</si>
  <si>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</si>
  <si>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</si>
  <si>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</si>
  <si>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</si>
  <si>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</si>
  <si>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</si>
  <si>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</si>
  <si>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</si>
  <si>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</si>
  <si>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</si>
  <si>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</si>
  <si>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</si>
  <si>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</si>
  <si>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</si>
  <si>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</si>
  <si>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</si>
  <si>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</si>
  <si>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</si>
  <si>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</si>
  <si>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</si>
  <si>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</si>
  <si>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</si>
  <si>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</si>
  <si>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</si>
  <si>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</si>
  <si>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</si>
  <si>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</si>
  <si>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</si>
  <si>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</si>
  <si>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</si>
  <si>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</si>
  <si>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</si>
  <si>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</si>
  <si>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</si>
  <si>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</si>
  <si>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</si>
  <si>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</si>
  <si>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</si>
  <si>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</si>
  <si>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</si>
  <si>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</si>
  <si>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</si>
  <si>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</si>
  <si>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</si>
  <si>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</si>
  <si>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</si>
  <si>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</si>
  <si>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</si>
  <si>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</si>
  <si>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</si>
  <si>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</si>
  <si>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</si>
  <si>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</si>
  <si>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</si>
  <si>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</si>
  <si>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</si>
  <si>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</si>
  <si>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</si>
  <si>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</si>
  <si>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</si>
  <si>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</si>
  <si>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</si>
  <si>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</si>
  <si>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</si>
  <si>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</si>
  <si>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</si>
  <si>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</si>
  <si>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</si>
  <si>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</si>
  <si>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</si>
  <si>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</si>
  <si>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</si>
  <si>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</si>
  <si>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</si>
  <si>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</si>
  <si>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</si>
  <si>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</si>
  <si>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</si>
  <si>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</si>
  <si>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</si>
  <si>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</si>
  <si>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</si>
  <si>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</si>
  <si>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</si>
  <si>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</si>
  <si>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</si>
  <si>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</si>
  <si>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</si>
  <si>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</si>
  <si>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</si>
  <si>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</si>
  <si>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</si>
  <si>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</si>
  <si>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</si>
  <si>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</si>
  <si>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</si>
  <si>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</si>
  <si>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</si>
  <si>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</si>
  <si>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</si>
  <si>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</si>
  <si>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</si>
  <si>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</si>
  <si>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</si>
  <si>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</si>
  <si>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</si>
  <si>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</si>
  <si>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</si>
  <si>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</si>
  <si>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</si>
  <si>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</si>
  <si>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</si>
  <si>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</si>
  <si>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</si>
  <si>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</si>
  <si>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</si>
  <si>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</si>
  <si>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</si>
  <si>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</si>
  <si>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</si>
  <si>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</si>
  <si>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</si>
  <si>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</si>
  <si>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</si>
  <si>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</si>
  <si>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</si>
  <si>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</si>
  <si>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</si>
  <si>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</si>
  <si>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</si>
  <si>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</si>
  <si>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</si>
  <si>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</si>
  <si>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</si>
  <si>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</si>
  <si>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</si>
  <si>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</si>
  <si>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</si>
  <si>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</si>
  <si>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</si>
  <si>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</si>
  <si>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</si>
  <si>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</si>
  <si>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</si>
  <si>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</si>
  <si>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</si>
  <si>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</si>
  <si>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</si>
  <si>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</si>
  <si>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</si>
  <si>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</si>
  <si>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</si>
  <si>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</si>
  <si>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</si>
  <si>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</si>
  <si>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</si>
  <si>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</si>
  <si>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</si>
  <si>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</si>
  <si>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</si>
  <si>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</si>
  <si>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</si>
  <si>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</si>
  <si>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</si>
  <si>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</si>
  <si>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</si>
  <si>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</si>
  <si>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</si>
  <si>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</si>
  <si>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</si>
  <si>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</si>
  <si>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</si>
  <si>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</si>
  <si>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</si>
  <si>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</si>
  <si>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</si>
  <si>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</si>
  <si>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</si>
  <si>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</si>
  <si>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</si>
  <si>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</si>
  <si>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</si>
  <si>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</si>
  <si>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</si>
  <si>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</si>
  <si>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</si>
  <si>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</si>
  <si>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</si>
  <si>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</si>
  <si>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</si>
  <si>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</si>
  <si>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</si>
  <si>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</si>
  <si>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</si>
  <si>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</si>
  <si>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</si>
  <si>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</si>
  <si>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</si>
  <si>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</si>
  <si>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</si>
  <si>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</si>
  <si>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</si>
  <si>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</si>
  <si>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</si>
  <si>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</si>
  <si>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</si>
  <si>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</si>
  <si>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</si>
  <si>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</si>
  <si>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</si>
  <si>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</si>
  <si>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</si>
  <si>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</si>
  <si>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</si>
  <si>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</si>
  <si>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</si>
  <si>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</si>
  <si>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</si>
  <si>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</si>
  <si>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</si>
  <si>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</si>
  <si>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</si>
  <si>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</si>
  <si>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</si>
  <si>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</si>
  <si>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</si>
  <si>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</si>
  <si>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</si>
  <si>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</si>
  <si>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</si>
  <si>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</si>
  <si>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</si>
  <si>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</si>
  <si>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</si>
  <si>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</si>
  <si>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</si>
  <si>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</si>
  <si>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</si>
  <si>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</si>
  <si>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</si>
  <si>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</si>
  <si>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</si>
  <si>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</si>
  <si>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</si>
  <si>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</si>
  <si>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</si>
  <si>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</si>
  <si>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</si>
  <si>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</si>
  <si>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</si>
  <si>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</si>
  <si>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</si>
  <si>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</si>
  <si>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</si>
  <si>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</si>
  <si>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</si>
  <si>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</si>
  <si>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</si>
  <si>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</si>
  <si>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</si>
  <si>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</si>
  <si>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</si>
  <si>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</si>
  <si>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</si>
  <si>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</si>
  <si>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</si>
  <si>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</si>
  <si>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</si>
  <si>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</si>
  <si>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</si>
  <si>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</si>
  <si>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</si>
  <si>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</si>
  <si>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</si>
  <si>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</si>
  <si>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</si>
  <si>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</si>
  <si>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</si>
  <si>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</si>
  <si>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</si>
  <si>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</si>
  <si>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</si>
  <si>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</si>
  <si>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</si>
  <si>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</si>
  <si>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</si>
  <si>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</si>
  <si>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</si>
  <si>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</si>
  <si>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</si>
  <si>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</si>
  <si>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</si>
  <si>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</si>
  <si>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</si>
  <si>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</si>
  <si>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</si>
  <si>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</si>
  <si>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</si>
  <si>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</si>
  <si>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</si>
  <si>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</si>
  <si>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</si>
  <si>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</si>
  <si>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</si>
  <si>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</si>
  <si>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</si>
  <si>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</si>
  <si>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</si>
  <si>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</si>
  <si>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</si>
  <si>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</si>
  <si>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</si>
  <si>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</si>
  <si>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</si>
  <si>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</si>
  <si>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</si>
  <si>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</si>
  <si>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</si>
  <si>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</si>
  <si>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</si>
  <si>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</si>
  <si>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</si>
  <si>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</si>
  <si>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</si>
  <si>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</si>
  <si>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</si>
  <si>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</si>
  <si>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</si>
  <si>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</si>
  <si>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</si>
  <si>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</si>
  <si>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</si>
  <si>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</si>
  <si>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</si>
  <si>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</si>
  <si>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</si>
  <si>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</si>
  <si>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</si>
  <si>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</si>
  <si>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</si>
  <si>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</si>
  <si>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</si>
  <si>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</si>
  <si>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</si>
  <si>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</si>
  <si>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</si>
  <si>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</si>
  <si>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</si>
  <si>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</si>
  <si>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</si>
  <si>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</si>
  <si>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</si>
  <si>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</si>
  <si>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</si>
  <si>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</si>
  <si>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</si>
  <si>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</si>
  <si>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</si>
  <si>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</si>
  <si>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</si>
  <si>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</si>
  <si>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</si>
  <si>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</si>
  <si>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</si>
  <si>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</si>
  <si>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</si>
  <si>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</si>
  <si>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</si>
  <si>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</si>
  <si>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</si>
  <si>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</si>
  <si>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</si>
  <si>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</si>
  <si>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</si>
  <si>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</si>
  <si>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</si>
  <si>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</si>
  <si>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</si>
  <si>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</si>
  <si>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</si>
  <si>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</si>
  <si>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</si>
  <si>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</si>
  <si>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</si>
  <si>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</si>
  <si>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</si>
  <si>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</si>
  <si>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</si>
  <si>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</si>
  <si>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</si>
  <si>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</si>
  <si>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</si>
  <si>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</si>
  <si>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</si>
  <si>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</si>
  <si>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</si>
  <si>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</si>
  <si>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</si>
  <si>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</si>
  <si>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</si>
  <si>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</si>
  <si>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</si>
  <si>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</si>
  <si>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</si>
  <si>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</si>
  <si>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</si>
  <si>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</si>
  <si>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</si>
  <si>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</si>
  <si>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</si>
  <si>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</si>
  <si>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</si>
  <si>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</si>
  <si>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</si>
  <si>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</si>
  <si>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</si>
  <si>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</si>
  <si>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</si>
  <si>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</si>
  <si>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</si>
  <si>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</si>
  <si>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</si>
  <si>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</si>
  <si>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</si>
  <si>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</si>
  <si>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</si>
  <si>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</si>
  <si>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</si>
  <si>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</si>
  <si>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</si>
  <si>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</si>
  <si>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</si>
  <si>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</si>
  <si>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</si>
  <si>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</si>
  <si>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</si>
  <si>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</si>
  <si>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</si>
  <si>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</si>
  <si>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</si>
  <si>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</si>
  <si>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</si>
  <si>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</si>
  <si>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</si>
  <si>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</si>
  <si>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</si>
  <si>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</si>
  <si>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</si>
  <si>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</si>
  <si>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</si>
  <si>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</si>
  <si>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</si>
  <si>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</si>
  <si>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</si>
  <si>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</si>
  <si>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</si>
  <si>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</si>
  <si>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</si>
  <si>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</si>
  <si>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</si>
  <si>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</si>
  <si>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</si>
  <si>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</si>
  <si>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</si>
  <si>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</si>
  <si>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</si>
  <si>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</si>
  <si>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</si>
  <si>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</si>
  <si>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</si>
  <si>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</si>
  <si>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</si>
  <si>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</si>
  <si>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</si>
  <si>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</si>
  <si>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</si>
  <si>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</si>
  <si>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</si>
  <si>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</si>
  <si>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</si>
  <si>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</si>
  <si>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</si>
  <si>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</si>
  <si>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</si>
  <si>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</si>
  <si>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</si>
  <si>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</si>
  <si>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</si>
  <si>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</si>
  <si>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</si>
  <si>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</si>
  <si>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</si>
  <si>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</si>
  <si>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</si>
  <si>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</si>
  <si>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</si>
  <si>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</si>
  <si>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</si>
  <si>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</si>
  <si>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</si>
  <si>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</si>
  <si>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</si>
  <si>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</si>
  <si>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</si>
  <si>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</si>
  <si>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</si>
  <si>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</si>
  <si>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</si>
  <si>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</si>
  <si>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</si>
  <si>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</si>
  <si>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</si>
  <si>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</si>
  <si>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</si>
  <si>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</si>
  <si>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</si>
  <si>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</si>
  <si>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</si>
  <si>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</si>
  <si>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</si>
  <si>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</si>
  <si>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</si>
  <si>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</si>
  <si>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</si>
  <si>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</si>
  <si>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</si>
  <si>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</si>
  <si>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</si>
  <si>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</si>
  <si>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</si>
  <si>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</si>
  <si>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</si>
  <si>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</si>
  <si>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</si>
  <si>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</si>
  <si>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</si>
  <si>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</si>
  <si>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</si>
  <si>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</si>
  <si>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</si>
  <si>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</si>
  <si>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</si>
  <si>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</si>
  <si>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</si>
  <si>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</si>
  <si>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</si>
  <si>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</si>
  <si>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</si>
  <si>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</si>
  <si>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</si>
  <si>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</si>
  <si>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</si>
  <si>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</si>
  <si>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</si>
  <si>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</si>
  <si>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</si>
  <si>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</si>
  <si>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</si>
  <si>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</si>
  <si>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</si>
  <si>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</si>
  <si>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</si>
  <si>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</si>
  <si>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</si>
  <si>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</si>
  <si>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</si>
  <si>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</si>
  <si>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</si>
  <si>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</si>
  <si>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</si>
  <si>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</si>
  <si>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</si>
  <si>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</si>
  <si>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</si>
  <si>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</si>
  <si>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</si>
  <si>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</si>
  <si>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</si>
  <si>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</si>
  <si>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</si>
  <si>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</si>
  <si>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</si>
  <si>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</si>
  <si>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</si>
  <si>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</si>
  <si>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</si>
  <si>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</si>
  <si>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</si>
  <si>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</si>
  <si>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</si>
  <si>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</si>
  <si>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</si>
  <si>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</si>
  <si>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</si>
  <si>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</si>
  <si>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</si>
  <si>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</si>
  <si>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</si>
  <si>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</si>
  <si>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</si>
  <si>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</si>
  <si>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</si>
  <si>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</si>
  <si>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</si>
  <si>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</si>
  <si>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</si>
  <si>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</si>
  <si>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</si>
  <si>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</si>
  <si>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</si>
  <si>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</si>
  <si>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</si>
  <si>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</si>
  <si>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</si>
  <si>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</si>
  <si>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</si>
  <si>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</si>
  <si>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</si>
  <si>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</si>
  <si>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</si>
  <si>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</si>
  <si>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</si>
  <si>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</si>
  <si>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</si>
  <si>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</si>
  <si>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</si>
  <si>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</si>
  <si>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</si>
  <si>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</si>
  <si>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</si>
  <si>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</si>
  <si>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</si>
  <si>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</si>
  <si>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</si>
  <si>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</si>
  <si>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</si>
  <si>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</si>
  <si>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</si>
  <si>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</si>
  <si>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</si>
  <si>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</si>
  <si>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</si>
  <si>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</si>
  <si>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</si>
  <si>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</si>
  <si>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</si>
  <si>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</si>
  <si>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</si>
  <si>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</si>
  <si>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</si>
  <si>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</si>
  <si>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</si>
  <si>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</si>
  <si>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</si>
  <si>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</si>
  <si>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</si>
  <si>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</si>
  <si>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</si>
  <si>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</si>
  <si>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</si>
  <si>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</si>
  <si>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</si>
  <si>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</si>
  <si>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</si>
  <si>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</si>
  <si>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</si>
  <si>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</si>
  <si>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</si>
  <si>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</si>
  <si>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</si>
  <si>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</si>
  <si>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</si>
  <si>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</si>
  <si>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</si>
  <si>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</si>
  <si>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</si>
  <si>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</si>
  <si>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</si>
  <si>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</si>
  <si>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</si>
  <si>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</si>
  <si>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</si>
  <si>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</si>
  <si>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</si>
  <si>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</si>
  <si>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</si>
  <si>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</si>
  <si>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</si>
  <si>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</si>
  <si>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</si>
  <si>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</si>
  <si>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</si>
  <si>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</si>
  <si>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</si>
  <si>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</si>
  <si>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</si>
  <si>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</si>
  <si>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</si>
  <si>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</si>
  <si>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</si>
  <si>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</si>
  <si>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</si>
  <si>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</si>
  <si>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</si>
  <si>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</si>
  <si>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</si>
  <si>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</si>
  <si>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</si>
  <si>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</si>
  <si>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</si>
  <si>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</si>
  <si>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</si>
  <si>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</si>
  <si>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ST. CLAIR</t>
  </si>
  <si>
    <t>40 SIGNAL HILL PLACE</t>
  </si>
  <si>
    <t>BELLEVILLE</t>
  </si>
  <si>
    <t>KBOHNENSTIEHL@SIGNALHILL181.ORG</t>
  </si>
  <si>
    <t>Mr. Kelly Bohnenstiehl</t>
  </si>
  <si>
    <t>618-397-0325</t>
  </si>
  <si>
    <t>FICK, EGGEMEYER, AND WILLIAMSON CPAS PC</t>
  </si>
  <si>
    <t>KEITH SLUSSER</t>
  </si>
  <si>
    <t>205 S MAIN ST</t>
  </si>
  <si>
    <t>COLUMBIA</t>
  </si>
  <si>
    <t>IL</t>
  </si>
  <si>
    <t>618-281-4999</t>
  </si>
  <si>
    <t>618-2819533</t>
  </si>
  <si>
    <t>JAMES@AFEWCPAS.COM</t>
  </si>
  <si>
    <t>FICK EGGEMEYER &amp; WILLIAMSN CPAS</t>
  </si>
  <si>
    <t>2013 Series</t>
  </si>
  <si>
    <t>Tech Electronics</t>
  </si>
  <si>
    <t>Windstream</t>
  </si>
  <si>
    <t>ATT</t>
  </si>
  <si>
    <t>20-2540-300</t>
  </si>
  <si>
    <t>Johnson Control</t>
  </si>
  <si>
    <t>Charter</t>
  </si>
  <si>
    <t>Belleville District #118 Food Service</t>
  </si>
  <si>
    <t>Harmony Emge</t>
  </si>
  <si>
    <t>Belleville Public School #201</t>
  </si>
  <si>
    <t>Kone Elevator</t>
  </si>
  <si>
    <t>Waste Management</t>
  </si>
  <si>
    <t>10-2560-300</t>
  </si>
  <si>
    <t>40-2550-300</t>
  </si>
  <si>
    <t>Keith Slusser, CPA</t>
  </si>
  <si>
    <t>Signal Hill SD 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</si>
</sst>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14" fontId="56" fillId="0" borderId="0" xfId="3" applyNumberFormat="1" applyFont="1" applyBorder="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742950</xdr:colOff>
          <xdr:row>7</xdr:row>
          <xdr:rowOff>142875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2065</v>
      </c>
      <c r="C5" s="26" t="s">
        <v>910</v>
      </c>
      <c r="D5" s="84"/>
      <c r="E5" s="84"/>
      <c r="H5" s="38"/>
      <c r="I5" s="2027" t="s">
        <v>680</v>
      </c>
      <c r="J5" s="1972"/>
      <c r="K5" s="1972"/>
      <c r="L5" s="1972"/>
      <c r="M5" s="1972"/>
      <c r="N5" s="1972"/>
      <c r="O5" s="1972"/>
      <c r="P5" s="1972"/>
      <c r="Q5" s="1972"/>
      <c r="R5" s="1972"/>
      <c r="S5" s="1972"/>
    </row>
    <row r="6" spans="1:28" ht="14.1" customHeight="1" x14ac:dyDescent="0.2">
      <c r="B6" s="104"/>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50082181002</v>
      </c>
      <c r="B13" s="1989"/>
      <c r="C13" s="1989"/>
      <c r="D13" s="1989"/>
      <c r="E13" s="1989"/>
      <c r="F13" s="1989"/>
      <c r="G13" s="1989"/>
      <c r="H13" s="1990"/>
      <c r="I13" s="31"/>
      <c r="J13" s="30"/>
      <c r="K13" s="28"/>
      <c r="L13" s="30"/>
      <c r="M13" s="30"/>
      <c r="N13" s="30"/>
      <c r="O13" s="30"/>
      <c r="P13" s="30"/>
      <c r="Q13" s="30"/>
      <c r="R13" s="30"/>
      <c r="S13" s="30"/>
      <c r="T13" s="1993" t="s">
        <v>2072</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2066</v>
      </c>
      <c r="B15" s="1991"/>
      <c r="C15" s="1991"/>
      <c r="D15" s="1991"/>
      <c r="E15" s="1991"/>
      <c r="F15" s="1991"/>
      <c r="G15" s="1991"/>
      <c r="H15" s="1992"/>
      <c r="T15" s="1954" t="s">
        <v>2073</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2096</v>
      </c>
      <c r="B17" s="2016"/>
      <c r="C17" s="2016"/>
      <c r="D17" s="2016"/>
      <c r="E17" s="2016"/>
      <c r="F17" s="2016"/>
      <c r="G17" s="2016"/>
      <c r="H17" s="2017"/>
      <c r="T17" s="2003" t="s">
        <v>2074</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2067</v>
      </c>
      <c r="B19" s="1987"/>
      <c r="C19" s="1987"/>
      <c r="D19" s="1987"/>
      <c r="E19" s="1987"/>
      <c r="F19" s="1987"/>
      <c r="G19" s="1987"/>
      <c r="H19" s="1985"/>
      <c r="I19" s="30"/>
      <c r="J19" s="99"/>
      <c r="K19" s="40"/>
      <c r="L19" s="38"/>
      <c r="M19" s="112" t="s">
        <v>315</v>
      </c>
      <c r="P19" s="27"/>
      <c r="Q19" s="27"/>
      <c r="R19" s="27"/>
      <c r="S19" s="31"/>
      <c r="T19" s="1986" t="s">
        <v>2075</v>
      </c>
      <c r="U19" s="1984"/>
      <c r="V19" s="1984"/>
      <c r="W19" s="1985"/>
      <c r="X19" s="2001" t="s">
        <v>2076</v>
      </c>
      <c r="Y19" s="2002"/>
      <c r="Z19" s="1999">
        <v>62239</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2068</v>
      </c>
      <c r="B21" s="1984"/>
      <c r="C21" s="1984"/>
      <c r="D21" s="1984"/>
      <c r="E21" s="1984"/>
      <c r="F21" s="1984"/>
      <c r="G21" s="1984"/>
      <c r="H21" s="1985"/>
      <c r="I21" s="2009" t="s">
        <v>678</v>
      </c>
      <c r="J21" s="1972"/>
      <c r="K21" s="1972"/>
      <c r="L21" s="1972"/>
      <c r="M21" s="1972"/>
      <c r="N21" s="1972"/>
      <c r="O21" s="1972"/>
      <c r="P21" s="1972"/>
      <c r="Q21" s="1972"/>
      <c r="R21" s="1972"/>
      <c r="S21" s="1973"/>
      <c r="T21" s="1951" t="s">
        <v>2077</v>
      </c>
      <c r="U21" s="1952"/>
      <c r="V21" s="1952"/>
      <c r="W21" s="1952"/>
      <c r="X21" s="1965" t="s">
        <v>2078</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2069</v>
      </c>
      <c r="B23" s="2007"/>
      <c r="C23" s="2007"/>
      <c r="D23" s="2007"/>
      <c r="E23" s="2007"/>
      <c r="F23" s="2007"/>
      <c r="G23" s="2007"/>
      <c r="H23" s="2008"/>
      <c r="T23" s="1946">
        <v>60008105</v>
      </c>
      <c r="U23" s="1947"/>
      <c r="V23" s="1947"/>
      <c r="W23" s="1947"/>
      <c r="X23" s="1962"/>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62223</v>
      </c>
      <c r="B25" s="1984"/>
      <c r="C25" s="1984"/>
      <c r="D25" s="1984"/>
      <c r="E25" s="1984"/>
      <c r="F25" s="1984"/>
      <c r="G25" s="1984"/>
      <c r="H25" s="1985"/>
      <c r="I25" s="113"/>
      <c r="J25" s="2050"/>
      <c r="K25" s="2050"/>
      <c r="L25" s="2050"/>
      <c r="M25" s="2050"/>
      <c r="N25" s="2050"/>
      <c r="O25" s="2050"/>
      <c r="P25" s="2050"/>
      <c r="Q25" s="2050"/>
      <c r="R25" s="2050"/>
      <c r="S25" s="2051"/>
      <c r="T25" s="1943" t="s">
        <v>2079</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02" t="s">
        <v>2065</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2070</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2069</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2071</v>
      </c>
      <c r="B42" s="2033"/>
      <c r="C42" s="2034"/>
      <c r="D42" s="2047"/>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B69" sqref="B6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3" colorId="8" zoomScale="110" zoomScaleNormal="110" workbookViewId="0">
      <selection activeCell="A88" sqref="A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2080</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2095</v>
      </c>
      <c r="E118" s="322"/>
      <c r="F118" s="1942">
        <v>43740</v>
      </c>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D16" sqref="D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39438297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1.9524E-3</v>
      </c>
      <c r="E10" s="356" t="s">
        <v>1005</v>
      </c>
      <c r="F10" s="355">
        <v>5.6599999999999999E-4</v>
      </c>
      <c r="G10" s="356" t="s">
        <v>1005</v>
      </c>
      <c r="H10" s="355">
        <v>1.1999999999999999E-3</v>
      </c>
      <c r="I10" s="356" t="s">
        <v>1006</v>
      </c>
      <c r="J10" s="1732">
        <f>ROUND(D10+F10+H10,5)</f>
        <v>3.7200000000000002E-3</v>
      </c>
      <c r="K10" s="222"/>
      <c r="L10" s="355">
        <v>5.0000000000000001E-3</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3428257</v>
      </c>
      <c r="E16" s="356"/>
      <c r="F16" s="1733">
        <f>SUM('Acct Summary 7-8'!C17,'Acct Summary 7-8'!D17,'Acct Summary 7-8'!F17)</f>
        <v>3790923</v>
      </c>
      <c r="G16" s="356"/>
      <c r="H16" s="1733">
        <f>SUM(D16-F16)</f>
        <v>-362666</v>
      </c>
      <c r="I16" s="222"/>
      <c r="J16" s="1733">
        <f>SUM('Acct Summary 7-8'!C81,'Acct Summary 7-8'!D81,'Acct Summary 7-8'!F81,'Acct Summary 7-8'!I81)</f>
        <v>3463539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2721242.4930000002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1395000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40" sqref="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Signal Hill SD 181</v>
      </c>
      <c r="E7" s="391"/>
      <c r="G7" s="252"/>
      <c r="H7" s="387"/>
      <c r="I7" s="387"/>
      <c r="J7" s="387"/>
      <c r="K7" s="387"/>
      <c r="L7" s="329"/>
      <c r="M7" s="329"/>
      <c r="N7" s="329"/>
      <c r="O7" s="329"/>
      <c r="P7" s="329"/>
    </row>
    <row r="8" spans="1:18" ht="12.75" x14ac:dyDescent="0.2">
      <c r="A8" s="329"/>
      <c r="B8" s="329"/>
      <c r="C8" s="389" t="s">
        <v>1125</v>
      </c>
      <c r="D8" s="392">
        <f>COVER!A13</f>
        <v>50082181002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3463539</v>
      </c>
      <c r="I12" s="404"/>
      <c r="J12" s="404"/>
      <c r="K12" s="405">
        <f>TRUNC((H12/H13*100000),5)/100000</f>
        <v>1.0102915270999999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3428257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3790923</v>
      </c>
      <c r="I17" s="404"/>
      <c r="J17" s="416"/>
      <c r="K17" s="405">
        <f>TRUNC((H17/H18*100000),5)/100000</f>
        <v>1.1057872848999999</v>
      </c>
      <c r="L17" s="406"/>
      <c r="M17" s="417" t="s">
        <v>1171</v>
      </c>
      <c r="O17" s="418" t="str">
        <f>IF(AND(O16="2", J20 &gt; 2),"1",IF(AND(O16 = "1", J20 &gt; 2),"2",IF(AND(O16="1", J20 &gt;1),"1","0")))</f>
        <v>1</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3428257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8.6049237999999999</v>
      </c>
      <c r="K20" s="405">
        <f>IF(K17&lt;=1,"0",IF(AND(O16="2", J20 &gt; 2),TRUNC(((K12-0.1)/(K17-1)*100),5)/100,IF(AND(O16 = "1", J20 &gt; 2),TRUNC(((K12-0.1)/(K17-1)*100),5)/100,IF(AND(O16="1", J20 &gt;1),TRUNC(((K12-0.1)/(K17-1)*100),5)/100,""))))</f>
        <v>8.6049237999999999</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3463539</v>
      </c>
      <c r="I24" s="422"/>
      <c r="J24" s="422"/>
      <c r="K24" s="423">
        <f>TRUNC(((H24/H25*100000)/100000),2)</f>
        <v>328.91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10530.34167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124703.89511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1395000</v>
      </c>
      <c r="I32" s="420"/>
      <c r="J32" s="420"/>
      <c r="K32" s="423">
        <f>TRUNC(100-((((H32/H33*100))*100)/100),2)</f>
        <v>48.73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2721242.4930000002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4" activePane="bottomLeft" state="frozen"/>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1842489</v>
      </c>
      <c r="D4" s="466">
        <v>678025</v>
      </c>
      <c r="E4" s="466">
        <v>351783</v>
      </c>
      <c r="F4" s="466">
        <v>463515</v>
      </c>
      <c r="G4" s="466">
        <v>187848</v>
      </c>
      <c r="H4" s="466">
        <v>0</v>
      </c>
      <c r="I4" s="466">
        <v>479510</v>
      </c>
      <c r="J4" s="467">
        <v>457232</v>
      </c>
      <c r="K4" s="466">
        <v>324234</v>
      </c>
      <c r="L4" s="466">
        <v>32741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1842489</v>
      </c>
      <c r="D13" s="1737">
        <f t="shared" ref="D13:L13" si="0">SUM(D4:D12)</f>
        <v>678025</v>
      </c>
      <c r="E13" s="1737">
        <f t="shared" si="0"/>
        <v>351783</v>
      </c>
      <c r="F13" s="1737">
        <f t="shared" si="0"/>
        <v>463515</v>
      </c>
      <c r="G13" s="1737">
        <f t="shared" si="0"/>
        <v>187848</v>
      </c>
      <c r="H13" s="1737">
        <f t="shared" si="0"/>
        <v>0</v>
      </c>
      <c r="I13" s="1737">
        <f t="shared" si="0"/>
        <v>479510</v>
      </c>
      <c r="J13" s="1737">
        <f t="shared" si="0"/>
        <v>457232</v>
      </c>
      <c r="K13" s="1737">
        <f t="shared" si="0"/>
        <v>324234</v>
      </c>
      <c r="L13" s="1737">
        <f t="shared" si="0"/>
        <v>32741</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351783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1043217</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1395000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32741</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32741</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1395000</v>
      </c>
    </row>
    <row r="37" spans="1:14" ht="13.5" thickBot="1" x14ac:dyDescent="0.25">
      <c r="A37" s="1736" t="s">
        <v>653</v>
      </c>
      <c r="B37" s="1741"/>
      <c r="C37" s="477"/>
      <c r="D37" s="477"/>
      <c r="E37" s="477"/>
      <c r="F37" s="477"/>
      <c r="G37" s="477"/>
      <c r="H37" s="477"/>
      <c r="I37" s="477"/>
      <c r="J37" s="477"/>
      <c r="K37" s="477"/>
      <c r="L37" s="480"/>
      <c r="M37" s="468"/>
      <c r="N37" s="1688">
        <f>SUM(N36:N36)</f>
        <v>1395000</v>
      </c>
    </row>
    <row r="38" spans="1:14" s="329" customFormat="1" ht="13.5" customHeight="1" thickTop="1" x14ac:dyDescent="0.2">
      <c r="A38" s="496" t="s">
        <v>420</v>
      </c>
      <c r="B38" s="483">
        <v>714</v>
      </c>
      <c r="C38" s="466">
        <v>33932</v>
      </c>
      <c r="D38" s="466">
        <v>10970</v>
      </c>
      <c r="E38" s="466">
        <v>351783</v>
      </c>
      <c r="F38" s="466">
        <v>463515</v>
      </c>
      <c r="G38" s="466">
        <v>187848</v>
      </c>
      <c r="H38" s="466">
        <v>0</v>
      </c>
      <c r="I38" s="466">
        <v>479510</v>
      </c>
      <c r="J38" s="467">
        <v>457232</v>
      </c>
      <c r="K38" s="466">
        <v>324234</v>
      </c>
      <c r="L38" s="481"/>
      <c r="M38" s="497"/>
      <c r="N38" s="497"/>
    </row>
    <row r="39" spans="1:14" s="329" customFormat="1" ht="13.5" customHeight="1" x14ac:dyDescent="0.2">
      <c r="A39" s="496" t="s">
        <v>342</v>
      </c>
      <c r="B39" s="483">
        <v>730</v>
      </c>
      <c r="C39" s="466">
        <v>1808557</v>
      </c>
      <c r="D39" s="466">
        <v>667055</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1842489</v>
      </c>
      <c r="D41" s="1688">
        <f t="shared" ref="D41:L41" si="2">SUM(D34,D37,D38:D39)</f>
        <v>678025</v>
      </c>
      <c r="E41" s="1688">
        <f t="shared" si="2"/>
        <v>351783</v>
      </c>
      <c r="F41" s="1688">
        <f t="shared" si="2"/>
        <v>463515</v>
      </c>
      <c r="G41" s="1688">
        <f t="shared" si="2"/>
        <v>187848</v>
      </c>
      <c r="H41" s="1688">
        <f t="shared" si="2"/>
        <v>0</v>
      </c>
      <c r="I41" s="1688">
        <f t="shared" si="2"/>
        <v>479510</v>
      </c>
      <c r="J41" s="1688">
        <f t="shared" si="2"/>
        <v>457232</v>
      </c>
      <c r="K41" s="1688">
        <f t="shared" si="2"/>
        <v>324234</v>
      </c>
      <c r="L41" s="1688">
        <f t="shared" si="2"/>
        <v>32741</v>
      </c>
      <c r="M41" s="1688">
        <f>SUM(M40)</f>
        <v>0</v>
      </c>
      <c r="N41" s="1688">
        <f>SUM(N37)</f>
        <v>1395000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pane="bottomLeft" activeCell="G81" sqref="G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900109</v>
      </c>
      <c r="D4" s="1742">
        <f>'Revenues 9-14'!D109</f>
        <v>367636</v>
      </c>
      <c r="E4" s="1742">
        <f>'Revenues 9-14'!E109</f>
        <v>210041</v>
      </c>
      <c r="F4" s="1742">
        <f>'Revenues 9-14'!F109</f>
        <v>47335</v>
      </c>
      <c r="G4" s="1742">
        <f>'Revenues 9-14'!G109</f>
        <v>90550</v>
      </c>
      <c r="H4" s="1742">
        <f>'Revenues 9-14'!H109</f>
        <v>0</v>
      </c>
      <c r="I4" s="1742">
        <f>'Revenues 9-14'!I109</f>
        <v>20921</v>
      </c>
      <c r="J4" s="1742">
        <f>'Revenues 9-14'!J109</f>
        <v>325787</v>
      </c>
      <c r="K4" s="1742">
        <f>'Revenues 9-14'!K109</f>
        <v>20016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1728925</v>
      </c>
      <c r="D6" s="1743">
        <f>'Revenues 9-14'!D170</f>
        <v>0</v>
      </c>
      <c r="E6" s="1743">
        <f>'Revenues 9-14'!E170</f>
        <v>0</v>
      </c>
      <c r="F6" s="1743">
        <f>'Revenues 9-14'!F170</f>
        <v>6562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356769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2985803</v>
      </c>
      <c r="D8" s="1688">
        <f t="shared" ref="D8:K8" si="0">SUM(D4:D7)</f>
        <v>367636</v>
      </c>
      <c r="E8" s="1688">
        <f t="shared" si="0"/>
        <v>210041</v>
      </c>
      <c r="F8" s="1688">
        <f t="shared" si="0"/>
        <v>53897</v>
      </c>
      <c r="G8" s="1688">
        <f t="shared" si="0"/>
        <v>90550</v>
      </c>
      <c r="H8" s="1688">
        <f t="shared" si="0"/>
        <v>0</v>
      </c>
      <c r="I8" s="1688">
        <f t="shared" si="0"/>
        <v>20921</v>
      </c>
      <c r="J8" s="1688">
        <f t="shared" si="0"/>
        <v>325787</v>
      </c>
      <c r="K8" s="1688">
        <f t="shared" si="0"/>
        <v>20016</v>
      </c>
      <c r="L8" s="347"/>
    </row>
    <row r="9" spans="1:13" ht="15.75" thickTop="1" x14ac:dyDescent="0.2">
      <c r="A9" s="514" t="s">
        <v>1653</v>
      </c>
      <c r="B9" s="515">
        <v>3998</v>
      </c>
      <c r="C9" s="481">
        <v>1429450</v>
      </c>
      <c r="D9" s="516"/>
      <c r="E9" s="481"/>
      <c r="F9" s="481"/>
      <c r="G9" s="517"/>
      <c r="H9" s="481"/>
      <c r="I9" s="509" t="s">
        <v>1169</v>
      </c>
      <c r="J9" s="478"/>
      <c r="K9" s="481"/>
      <c r="L9" s="347"/>
    </row>
    <row r="10" spans="1:13" s="519" customFormat="1" ht="13.5" thickBot="1" x14ac:dyDescent="0.25">
      <c r="A10" s="1736" t="s">
        <v>1173</v>
      </c>
      <c r="B10" s="1709"/>
      <c r="C10" s="1688">
        <f>SUM(C8:C9)</f>
        <v>4415253</v>
      </c>
      <c r="D10" s="1688">
        <f t="shared" ref="D10:K10" si="1">SUM(D8:D9)</f>
        <v>367636</v>
      </c>
      <c r="E10" s="1688">
        <f t="shared" si="1"/>
        <v>210041</v>
      </c>
      <c r="F10" s="1688">
        <f t="shared" si="1"/>
        <v>53897</v>
      </c>
      <c r="G10" s="1688">
        <f t="shared" si="1"/>
        <v>90550</v>
      </c>
      <c r="H10" s="1688">
        <f t="shared" si="1"/>
        <v>0</v>
      </c>
      <c r="I10" s="1688">
        <f t="shared" si="1"/>
        <v>20921</v>
      </c>
      <c r="J10" s="1688">
        <f t="shared" si="1"/>
        <v>325787</v>
      </c>
      <c r="K10" s="1688">
        <f t="shared" si="1"/>
        <v>20016</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2354475</v>
      </c>
      <c r="D12" s="520" t="s">
        <v>1169</v>
      </c>
      <c r="E12" s="468" t="s">
        <v>1169</v>
      </c>
      <c r="F12" s="468" t="s">
        <v>1169</v>
      </c>
      <c r="G12" s="1742">
        <f>'Expenditures 15-22'!K229</f>
        <v>37110</v>
      </c>
      <c r="H12" s="521"/>
      <c r="I12" s="468" t="s">
        <v>1169</v>
      </c>
      <c r="J12" s="468" t="s">
        <v>1169</v>
      </c>
      <c r="K12" s="521" t="s">
        <v>1169</v>
      </c>
      <c r="L12" s="347"/>
    </row>
    <row r="13" spans="1:13" ht="15.75" customHeight="1" x14ac:dyDescent="0.2">
      <c r="A13" s="1576" t="s">
        <v>457</v>
      </c>
      <c r="B13" s="1578">
        <v>2000</v>
      </c>
      <c r="C13" s="1743">
        <f>'Expenditures 15-22'!K74</f>
        <v>560308</v>
      </c>
      <c r="D13" s="1743">
        <f>'Expenditures 15-22'!K129</f>
        <v>521038</v>
      </c>
      <c r="E13" s="469" t="s">
        <v>1169</v>
      </c>
      <c r="F13" s="1743">
        <f>'Expenditures 15-22'!K184</f>
        <v>51628</v>
      </c>
      <c r="G13" s="1743">
        <f>'Expenditures 15-22'!K279</f>
        <v>49903</v>
      </c>
      <c r="H13" s="1743">
        <f>'Expenditures 15-22'!K303</f>
        <v>0</v>
      </c>
      <c r="I13" s="468" t="s">
        <v>1169</v>
      </c>
      <c r="J13" s="1743">
        <f>'Expenditures 15-22'!K330</f>
        <v>364162</v>
      </c>
      <c r="K13" s="1747">
        <f>'Expenditures 15-22'!K352</f>
        <v>36372</v>
      </c>
      <c r="L13" s="347"/>
    </row>
    <row r="14" spans="1:13" ht="15.75" customHeight="1" x14ac:dyDescent="0.2">
      <c r="A14" s="1576" t="s">
        <v>449</v>
      </c>
      <c r="B14" s="1578">
        <v>3000</v>
      </c>
      <c r="C14" s="1743">
        <f>'Expenditures 15-22'!K75</f>
        <v>36228</v>
      </c>
      <c r="D14" s="1743">
        <f>'Expenditures 15-22'!K130</f>
        <v>0</v>
      </c>
      <c r="E14" s="520" t="s">
        <v>1169</v>
      </c>
      <c r="F14" s="1743">
        <f>'Expenditures 15-22'!K185</f>
        <v>0</v>
      </c>
      <c r="G14" s="1743">
        <f>'Expenditures 15-22'!K280</f>
        <v>302</v>
      </c>
      <c r="H14" s="512"/>
      <c r="I14" s="468" t="s">
        <v>1169</v>
      </c>
      <c r="J14" s="468" t="s">
        <v>1169</v>
      </c>
      <c r="K14" s="512" t="s">
        <v>1169</v>
      </c>
      <c r="L14" s="347"/>
    </row>
    <row r="15" spans="1:13" ht="15.75" customHeight="1" x14ac:dyDescent="0.2">
      <c r="A15" s="1576" t="s">
        <v>107</v>
      </c>
      <c r="B15" s="1578">
        <v>4000</v>
      </c>
      <c r="C15" s="1743">
        <f>'Expenditures 15-22'!K102</f>
        <v>267246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214519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3218257</v>
      </c>
      <c r="D17" s="1688">
        <f t="shared" si="2"/>
        <v>521038</v>
      </c>
      <c r="E17" s="1688">
        <f t="shared" si="2"/>
        <v>214519</v>
      </c>
      <c r="F17" s="1688">
        <f t="shared" si="2"/>
        <v>51628</v>
      </c>
      <c r="G17" s="1688">
        <f t="shared" si="2"/>
        <v>87315</v>
      </c>
      <c r="H17" s="1688">
        <f t="shared" si="2"/>
        <v>0</v>
      </c>
      <c r="I17" s="468"/>
      <c r="J17" s="1688">
        <f>SUM(J12:J16)</f>
        <v>364162</v>
      </c>
      <c r="K17" s="1688">
        <f>SUM(K12:K16)</f>
        <v>36372</v>
      </c>
      <c r="L17" s="347"/>
    </row>
    <row r="18" spans="1:12" ht="15" customHeight="1" thickTop="1" x14ac:dyDescent="0.2">
      <c r="A18" s="1744" t="s">
        <v>1654</v>
      </c>
      <c r="B18" s="1745">
        <v>4180</v>
      </c>
      <c r="C18" s="1742">
        <f t="shared" ref="C18:H18" si="3">C9</f>
        <v>1429450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4647707</v>
      </c>
      <c r="D19" s="1688">
        <f t="shared" si="4"/>
        <v>521038</v>
      </c>
      <c r="E19" s="1688">
        <f t="shared" si="4"/>
        <v>214519</v>
      </c>
      <c r="F19" s="1688">
        <f t="shared" si="4"/>
        <v>51628</v>
      </c>
      <c r="G19" s="1688">
        <f t="shared" si="4"/>
        <v>87315</v>
      </c>
      <c r="H19" s="1688">
        <f t="shared" si="4"/>
        <v>0</v>
      </c>
      <c r="I19" s="468"/>
      <c r="J19" s="1688">
        <f>SUM(J17:J18)</f>
        <v>364162</v>
      </c>
      <c r="K19" s="1688">
        <f>SUM(K17:K18)</f>
        <v>36372</v>
      </c>
      <c r="L19" s="347"/>
    </row>
    <row r="20" spans="1:12" ht="16.5" thickTop="1" thickBot="1" x14ac:dyDescent="0.25">
      <c r="A20" s="2128" t="s">
        <v>1655</v>
      </c>
      <c r="B20" s="2129"/>
      <c r="C20" s="1746">
        <f>C8-C17</f>
        <v>-232454</v>
      </c>
      <c r="D20" s="1746">
        <f t="shared" ref="D20:K20" si="5">D8-D17</f>
        <v>-153402</v>
      </c>
      <c r="E20" s="1746">
        <f t="shared" si="5"/>
        <v>-4478</v>
      </c>
      <c r="F20" s="1746">
        <f t="shared" si="5"/>
        <v>2269</v>
      </c>
      <c r="G20" s="1746">
        <f t="shared" si="5"/>
        <v>3235</v>
      </c>
      <c r="H20" s="1746">
        <f t="shared" si="5"/>
        <v>0</v>
      </c>
      <c r="I20" s="1746">
        <f t="shared" si="5"/>
        <v>20921</v>
      </c>
      <c r="J20" s="1746">
        <f t="shared" si="5"/>
        <v>-38375</v>
      </c>
      <c r="K20" s="1746">
        <f t="shared" si="5"/>
        <v>-16356</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-232454</v>
      </c>
      <c r="D78" s="1702">
        <f t="shared" si="9"/>
        <v>-153402</v>
      </c>
      <c r="E78" s="1702">
        <f t="shared" si="9"/>
        <v>-4478</v>
      </c>
      <c r="F78" s="1702">
        <f t="shared" si="9"/>
        <v>2269</v>
      </c>
      <c r="G78" s="1702">
        <f t="shared" si="9"/>
        <v>3235</v>
      </c>
      <c r="H78" s="1702">
        <f t="shared" si="9"/>
        <v>0</v>
      </c>
      <c r="I78" s="1702">
        <f t="shared" si="9"/>
        <v>20921</v>
      </c>
      <c r="J78" s="1702">
        <f t="shared" si="9"/>
        <v>-38375</v>
      </c>
      <c r="K78" s="1702">
        <f t="shared" si="9"/>
        <v>-16356</v>
      </c>
      <c r="L78" s="533"/>
    </row>
    <row r="79" spans="1:12" ht="13.5" thickTop="1" x14ac:dyDescent="0.2">
      <c r="A79" s="1494" t="s">
        <v>1947</v>
      </c>
      <c r="B79" s="534"/>
      <c r="C79" s="478">
        <v>2074943</v>
      </c>
      <c r="D79" s="535">
        <v>831427</v>
      </c>
      <c r="E79" s="535">
        <v>356261</v>
      </c>
      <c r="F79" s="535">
        <v>461246</v>
      </c>
      <c r="G79" s="535">
        <v>184613</v>
      </c>
      <c r="H79" s="535"/>
      <c r="I79" s="535">
        <v>458589</v>
      </c>
      <c r="J79" s="535">
        <v>495607</v>
      </c>
      <c r="K79" s="535">
        <v>340590</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1842489</v>
      </c>
      <c r="D81" s="1688">
        <f>SUM(D78:D80)</f>
        <v>678025</v>
      </c>
      <c r="E81" s="1688">
        <f t="shared" ref="E81:K81" si="10">SUM(E78:E80)</f>
        <v>351783</v>
      </c>
      <c r="F81" s="1688">
        <f t="shared" si="10"/>
        <v>463515</v>
      </c>
      <c r="G81" s="1688">
        <f t="shared" si="10"/>
        <v>187848</v>
      </c>
      <c r="H81" s="1688">
        <f t="shared" si="10"/>
        <v>0</v>
      </c>
      <c r="I81" s="1688">
        <f t="shared" si="10"/>
        <v>479510</v>
      </c>
      <c r="J81" s="1688">
        <f t="shared" si="10"/>
        <v>457232</v>
      </c>
      <c r="K81" s="1688">
        <f t="shared" si="10"/>
        <v>324234</v>
      </c>
      <c r="L81" s="347"/>
    </row>
    <row r="82" spans="1:12" ht="0.75" customHeight="1" thickTop="1" thickBot="1" x14ac:dyDescent="0.25">
      <c r="A82" s="536" t="s">
        <v>343</v>
      </c>
      <c r="B82" s="537"/>
      <c r="C82" s="538">
        <f>(C81-C79)</f>
        <v>-232454</v>
      </c>
      <c r="D82" s="538">
        <f t="shared" ref="D82:K82" si="11">(D81-D79)</f>
        <v>-153402</v>
      </c>
      <c r="E82" s="538">
        <f t="shared" si="11"/>
        <v>-4478</v>
      </c>
      <c r="F82" s="538">
        <f t="shared" si="11"/>
        <v>2269</v>
      </c>
      <c r="G82" s="538">
        <f t="shared" si="11"/>
        <v>3235</v>
      </c>
      <c r="H82" s="538">
        <f t="shared" si="11"/>
        <v>0</v>
      </c>
      <c r="I82" s="538">
        <f t="shared" si="11"/>
        <v>20921</v>
      </c>
      <c r="J82" s="538">
        <f t="shared" si="11"/>
        <v>-38375</v>
      </c>
      <c r="K82" s="538">
        <f t="shared" si="11"/>
        <v>-16356</v>
      </c>
    </row>
    <row r="83" spans="1:12" ht="14.25" hidden="1" thickTop="1" thickBot="1" x14ac:dyDescent="0.25">
      <c r="A83" s="539" t="s">
        <v>344</v>
      </c>
      <c r="B83" s="464"/>
      <c r="C83" s="540">
        <f>C82/C81</f>
        <v>-0.12616303272366891</v>
      </c>
      <c r="D83" s="540">
        <f t="shared" ref="D83:K83" si="12">D82/D81</f>
        <v>-0.22624829467939972</v>
      </c>
      <c r="E83" s="540">
        <f t="shared" si="12"/>
        <v>-1.2729438318508854E-2</v>
      </c>
      <c r="F83" s="540">
        <f t="shared" si="12"/>
        <v>4.8952029599905076E-3</v>
      </c>
      <c r="G83" s="540">
        <f t="shared" si="12"/>
        <v>1.7221370469741492E-2</v>
      </c>
      <c r="H83" s="540" t="e">
        <f t="shared" si="12"/>
        <v>#DIV/0!</v>
      </c>
      <c r="I83" s="540">
        <f t="shared" si="12"/>
        <v>4.3629955579654232E-2</v>
      </c>
      <c r="J83" s="540">
        <f t="shared" si="12"/>
        <v>-8.3928946355460679E-2</v>
      </c>
      <c r="K83" s="540">
        <f t="shared" si="12"/>
        <v>-5.0445048946131499E-2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3" activePane="bottomLeft" state="frozen"/>
      <selection pane="bottomLeft" activeCell="C125" sqref="C12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739178</v>
      </c>
      <c r="D5" s="481">
        <v>210438</v>
      </c>
      <c r="E5" s="466">
        <v>193984</v>
      </c>
      <c r="F5" s="548">
        <v>45095</v>
      </c>
      <c r="G5" s="466">
        <f>50226+39419</f>
        <v>89645</v>
      </c>
      <c r="H5" s="466"/>
      <c r="I5" s="466">
        <v>18680</v>
      </c>
      <c r="J5" s="467">
        <v>323362</v>
      </c>
      <c r="K5" s="466">
        <v>18680</v>
      </c>
    </row>
    <row r="6" spans="1:12" ht="15" x14ac:dyDescent="0.2">
      <c r="A6" s="463" t="s">
        <v>1662</v>
      </c>
      <c r="B6" s="470">
        <v>1130</v>
      </c>
      <c r="C6" s="466">
        <v>18680</v>
      </c>
      <c r="D6" s="466">
        <v>14785</v>
      </c>
      <c r="E6" s="475"/>
      <c r="F6" s="475"/>
      <c r="G6" s="468"/>
      <c r="H6" s="468"/>
      <c r="I6" s="468"/>
      <c r="J6" s="468"/>
      <c r="K6" s="468"/>
    </row>
    <row r="7" spans="1:12" x14ac:dyDescent="0.2">
      <c r="A7" s="463" t="s">
        <v>110</v>
      </c>
      <c r="B7" s="549">
        <v>1140</v>
      </c>
      <c r="C7" s="466">
        <v>7516</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765374</v>
      </c>
      <c r="D12" s="1707">
        <f t="shared" si="0"/>
        <v>225223</v>
      </c>
      <c r="E12" s="1707">
        <f t="shared" si="0"/>
        <v>193984</v>
      </c>
      <c r="F12" s="1707">
        <f t="shared" si="0"/>
        <v>45095</v>
      </c>
      <c r="G12" s="1707">
        <f t="shared" si="0"/>
        <v>89645</v>
      </c>
      <c r="H12" s="1707">
        <f t="shared" si="0"/>
        <v>0</v>
      </c>
      <c r="I12" s="1707">
        <f t="shared" si="0"/>
        <v>18680</v>
      </c>
      <c r="J12" s="1707">
        <f t="shared" si="0"/>
        <v>323362</v>
      </c>
      <c r="K12" s="1688">
        <f t="shared" si="0"/>
        <v>18680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52742</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52742</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v>2579</v>
      </c>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2579</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9012</v>
      </c>
      <c r="D65" s="466">
        <v>3705</v>
      </c>
      <c r="E65" s="466">
        <v>1606</v>
      </c>
      <c r="F65" s="467">
        <v>2240</v>
      </c>
      <c r="G65" s="466">
        <v>905</v>
      </c>
      <c r="H65" s="466"/>
      <c r="I65" s="466">
        <v>2241</v>
      </c>
      <c r="J65" s="467">
        <v>2351</v>
      </c>
      <c r="K65" s="466">
        <v>1336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9012</v>
      </c>
      <c r="D67" s="1688">
        <f t="shared" ref="D67:K67" si="2">SUM(D65:D66)</f>
        <v>3705</v>
      </c>
      <c r="E67" s="1688">
        <f t="shared" si="2"/>
        <v>1606</v>
      </c>
      <c r="F67" s="1688">
        <f t="shared" si="2"/>
        <v>2240</v>
      </c>
      <c r="G67" s="1688">
        <f t="shared" si="2"/>
        <v>905</v>
      </c>
      <c r="H67" s="1688">
        <f t="shared" si="2"/>
        <v>0</v>
      </c>
      <c r="I67" s="1688">
        <f t="shared" si="2"/>
        <v>2241</v>
      </c>
      <c r="J67" s="1688">
        <f t="shared" si="2"/>
        <v>2351</v>
      </c>
      <c r="K67" s="1688">
        <f t="shared" si="2"/>
        <v>1336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25876</v>
      </c>
      <c r="D69" s="468"/>
      <c r="E69" s="468"/>
      <c r="F69" s="468"/>
      <c r="G69" s="468"/>
      <c r="H69" s="468"/>
      <c r="I69" s="468"/>
      <c r="J69" s="468"/>
      <c r="K69" s="468"/>
    </row>
    <row r="70" spans="1:11" ht="12.75" customHeight="1" x14ac:dyDescent="0.2">
      <c r="A70" s="463" t="s">
        <v>997</v>
      </c>
      <c r="B70" s="470">
        <v>1612</v>
      </c>
      <c r="C70" s="551">
        <v>5248</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31124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8758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8758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18418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18418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5768</v>
      </c>
      <c r="D99" s="466">
        <f>137548+560</f>
        <v>138108</v>
      </c>
      <c r="E99" s="466">
        <v>14451</v>
      </c>
      <c r="F99" s="466"/>
      <c r="G99" s="466"/>
      <c r="H99" s="466"/>
      <c r="I99" s="468"/>
      <c r="J99" s="467">
        <v>74</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0</v>
      </c>
      <c r="D106" s="489"/>
      <c r="E106" s="467"/>
      <c r="F106" s="467"/>
      <c r="G106" s="467"/>
      <c r="H106" s="467"/>
      <c r="I106" s="521"/>
      <c r="J106" s="467"/>
      <c r="K106" s="467"/>
    </row>
    <row r="107" spans="1:12" ht="12.75" customHeight="1" x14ac:dyDescent="0.2">
      <c r="A107" s="463" t="s">
        <v>78</v>
      </c>
      <c r="B107" s="470">
        <v>1999</v>
      </c>
      <c r="C107" s="551">
        <v>6334</v>
      </c>
      <c r="D107" s="466">
        <v>600</v>
      </c>
      <c r="E107" s="466"/>
      <c r="F107" s="466"/>
      <c r="G107" s="466"/>
      <c r="H107" s="466"/>
      <c r="I107" s="466"/>
      <c r="J107" s="467"/>
      <c r="K107" s="466"/>
    </row>
    <row r="108" spans="1:12" ht="12.75" customHeight="1" thickBot="1" x14ac:dyDescent="0.25">
      <c r="A108" s="1708" t="s">
        <v>487</v>
      </c>
      <c r="B108" s="1712"/>
      <c r="C108" s="1707">
        <f>SUM(C95:C107)</f>
        <v>12102</v>
      </c>
      <c r="D108" s="1707">
        <f t="shared" ref="D108:K108" si="3">SUM(D95:D107)</f>
        <v>138708</v>
      </c>
      <c r="E108" s="1707">
        <f t="shared" si="3"/>
        <v>14451</v>
      </c>
      <c r="F108" s="1707">
        <f t="shared" si="3"/>
        <v>0</v>
      </c>
      <c r="G108" s="1707">
        <f t="shared" si="3"/>
        <v>0</v>
      </c>
      <c r="H108" s="1707">
        <f t="shared" si="3"/>
        <v>0</v>
      </c>
      <c r="I108" s="1707">
        <f t="shared" si="3"/>
        <v>0</v>
      </c>
      <c r="J108" s="1707">
        <f t="shared" si="3"/>
        <v>74</v>
      </c>
      <c r="K108" s="1688">
        <f t="shared" si="3"/>
        <v>0</v>
      </c>
    </row>
    <row r="109" spans="1:12" ht="14.25" thickTop="1" thickBot="1" x14ac:dyDescent="0.25">
      <c r="A109" s="1713" t="s">
        <v>248</v>
      </c>
      <c r="B109" s="1714" t="s">
        <v>570</v>
      </c>
      <c r="C109" s="1715">
        <f t="shared" ref="C109:K109" si="4">SUM(C12,C18,C40,C63,C67,C75,C82,C93,C108,)</f>
        <v>900109</v>
      </c>
      <c r="D109" s="1715">
        <f t="shared" si="4"/>
        <v>367636</v>
      </c>
      <c r="E109" s="1715">
        <f t="shared" si="4"/>
        <v>210041</v>
      </c>
      <c r="F109" s="1715">
        <f t="shared" si="4"/>
        <v>47335</v>
      </c>
      <c r="G109" s="1715">
        <f t="shared" si="4"/>
        <v>90550</v>
      </c>
      <c r="H109" s="1715">
        <f t="shared" si="4"/>
        <v>0</v>
      </c>
      <c r="I109" s="1715">
        <f t="shared" si="4"/>
        <v>20921</v>
      </c>
      <c r="J109" s="1715">
        <f t="shared" si="4"/>
        <v>325787</v>
      </c>
      <c r="K109" s="1702">
        <f t="shared" si="4"/>
        <v>20016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1595542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1595542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13139</v>
      </c>
      <c r="D125" s="561"/>
      <c r="E125" s="468"/>
      <c r="F125" s="548"/>
      <c r="G125" s="468"/>
      <c r="H125" s="468"/>
      <c r="I125" s="468"/>
      <c r="J125" s="468"/>
      <c r="K125" s="468"/>
    </row>
    <row r="126" spans="1:11" ht="12.75" customHeight="1" x14ac:dyDescent="0.2">
      <c r="A126" s="463" t="s">
        <v>1446</v>
      </c>
      <c r="B126" s="562">
        <v>3105</v>
      </c>
      <c r="C126" s="466">
        <v>2080</v>
      </c>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89164</v>
      </c>
      <c r="D128" s="561"/>
      <c r="E128" s="468"/>
      <c r="F128" s="466"/>
      <c r="G128" s="468"/>
      <c r="H128" s="468"/>
      <c r="I128" s="468"/>
      <c r="J128" s="468"/>
      <c r="K128" s="468"/>
    </row>
    <row r="129" spans="1:11" ht="12.75" customHeight="1" x14ac:dyDescent="0.2">
      <c r="A129" s="463" t="s">
        <v>1447</v>
      </c>
      <c r="B129" s="562">
        <v>3130</v>
      </c>
      <c r="C129" s="466">
        <v>1565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105948</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1968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24</v>
      </c>
      <c r="G152" s="467"/>
      <c r="H152" s="468"/>
      <c r="I152" s="468"/>
      <c r="J152" s="468"/>
      <c r="K152" s="468"/>
    </row>
    <row r="153" spans="1:11" ht="12.75" customHeight="1" x14ac:dyDescent="0.2">
      <c r="A153" s="463" t="s">
        <v>1057</v>
      </c>
      <c r="B153" s="562">
        <v>3510</v>
      </c>
      <c r="C153" s="551"/>
      <c r="D153" s="466"/>
      <c r="E153" s="561"/>
      <c r="F153" s="466">
        <v>6538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6562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20000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5467</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133383</v>
      </c>
      <c r="D169" s="1722">
        <f t="shared" si="6"/>
        <v>0</v>
      </c>
      <c r="E169" s="1722">
        <f t="shared" si="6"/>
        <v>0</v>
      </c>
      <c r="F169" s="1722">
        <f t="shared" si="6"/>
        <v>6562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1728925</v>
      </c>
      <c r="D170" s="1715">
        <f t="shared" si="7"/>
        <v>0</v>
      </c>
      <c r="E170" s="1715">
        <f t="shared" si="7"/>
        <v>0</v>
      </c>
      <c r="F170" s="1715">
        <f t="shared" si="7"/>
        <v>6562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v>1280</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1280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87235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24391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111626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65152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65152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9267</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9267</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f>-7635+147238</f>
        <v>139603</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139603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8396</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6108</v>
      </c>
      <c r="D263" s="576"/>
      <c r="E263" s="468"/>
      <c r="F263" s="576"/>
      <c r="G263" s="576"/>
      <c r="H263" s="468"/>
      <c r="I263" s="468"/>
      <c r="J263" s="468"/>
      <c r="K263" s="468"/>
    </row>
    <row r="264" spans="1:11" ht="12.75" customHeight="1" thickTop="1" thickBot="1" x14ac:dyDescent="0.25">
      <c r="A264" s="463" t="s">
        <v>377</v>
      </c>
      <c r="B264" s="470">
        <v>4992</v>
      </c>
      <c r="C264" s="575">
        <v>15337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355489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356769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2985803</v>
      </c>
      <c r="D268" s="1715">
        <f t="shared" si="12"/>
        <v>367636</v>
      </c>
      <c r="E268" s="1715">
        <f t="shared" si="12"/>
        <v>210041</v>
      </c>
      <c r="F268" s="1715">
        <f t="shared" si="12"/>
        <v>53897</v>
      </c>
      <c r="G268" s="1715">
        <f t="shared" si="12"/>
        <v>90550</v>
      </c>
      <c r="H268" s="1715">
        <f t="shared" si="12"/>
        <v>0</v>
      </c>
      <c r="I268" s="1715">
        <f t="shared" si="12"/>
        <v>20921</v>
      </c>
      <c r="J268" s="1715">
        <f t="shared" si="12"/>
        <v>325787</v>
      </c>
      <c r="K268" s="1702">
        <f t="shared" si="12"/>
        <v>20016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9" activePane="bottomLeft" state="frozen"/>
      <selection pane="bottomLeft" activeCell="H171" sqref="H1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1411610</v>
      </c>
      <c r="D5" s="466">
        <v>329753</v>
      </c>
      <c r="E5" s="466">
        <v>5404</v>
      </c>
      <c r="F5" s="466">
        <v>146427</v>
      </c>
      <c r="G5" s="466"/>
      <c r="H5" s="466"/>
      <c r="I5" s="467"/>
      <c r="J5" s="467"/>
      <c r="K5" s="1671">
        <f>SUM(C5:J5)</f>
        <v>1893194</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0</v>
      </c>
      <c r="D7" s="467"/>
      <c r="E7" s="467"/>
      <c r="F7" s="467">
        <v>0</v>
      </c>
      <c r="G7" s="467"/>
      <c r="H7" s="467"/>
      <c r="I7" s="467"/>
      <c r="J7" s="467"/>
      <c r="K7" s="1671">
        <f t="shared" ref="K7:K32" si="0">SUM(C7:J7)</f>
        <v>0</v>
      </c>
      <c r="L7" s="466"/>
    </row>
    <row r="8" spans="1:14" x14ac:dyDescent="0.2">
      <c r="A8" s="1504" t="s">
        <v>164</v>
      </c>
      <c r="B8" s="614">
        <v>1200</v>
      </c>
      <c r="C8" s="466">
        <v>78110</v>
      </c>
      <c r="D8" s="466">
        <v>10615</v>
      </c>
      <c r="E8" s="466">
        <v>657</v>
      </c>
      <c r="F8" s="466">
        <v>957</v>
      </c>
      <c r="G8" s="466"/>
      <c r="H8" s="466"/>
      <c r="I8" s="467"/>
      <c r="J8" s="467"/>
      <c r="K8" s="1671">
        <f t="shared" si="0"/>
        <v>90339</v>
      </c>
      <c r="L8" s="466"/>
    </row>
    <row r="9" spans="1:14" x14ac:dyDescent="0.2">
      <c r="A9" s="1504" t="s">
        <v>721</v>
      </c>
      <c r="B9" s="614" t="s">
        <v>968</v>
      </c>
      <c r="C9" s="467">
        <v>62317</v>
      </c>
      <c r="D9" s="467">
        <v>12918</v>
      </c>
      <c r="E9" s="467"/>
      <c r="F9" s="467">
        <v>42</v>
      </c>
      <c r="G9" s="467"/>
      <c r="H9" s="467"/>
      <c r="I9" s="467"/>
      <c r="J9" s="467"/>
      <c r="K9" s="1671">
        <f t="shared" si="0"/>
        <v>75277</v>
      </c>
      <c r="L9" s="466"/>
    </row>
    <row r="10" spans="1:14" x14ac:dyDescent="0.2">
      <c r="A10" s="1504" t="s">
        <v>722</v>
      </c>
      <c r="B10" s="614">
        <v>1250</v>
      </c>
      <c r="C10" s="466">
        <v>121962</v>
      </c>
      <c r="D10" s="466">
        <v>29262</v>
      </c>
      <c r="E10" s="466"/>
      <c r="F10" s="466">
        <v>23966</v>
      </c>
      <c r="G10" s="466"/>
      <c r="H10" s="466"/>
      <c r="I10" s="467"/>
      <c r="J10" s="467"/>
      <c r="K10" s="1671">
        <f t="shared" si="0"/>
        <v>175190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59890</v>
      </c>
      <c r="D14" s="466">
        <v>676</v>
      </c>
      <c r="E14" s="466">
        <v>28311</v>
      </c>
      <c r="F14" s="466">
        <v>3965</v>
      </c>
      <c r="G14" s="466"/>
      <c r="H14" s="466">
        <v>516</v>
      </c>
      <c r="I14" s="467"/>
      <c r="J14" s="467"/>
      <c r="K14" s="1671">
        <f t="shared" si="0"/>
        <v>93358</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27117</v>
      </c>
      <c r="I22" s="616"/>
      <c r="J22" s="477"/>
      <c r="K22" s="1671">
        <f t="shared" si="0"/>
        <v>27117</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1733889</v>
      </c>
      <c r="D33" s="1670">
        <f t="shared" ref="D33:L33" si="1">SUM(D5:D32)</f>
        <v>383224</v>
      </c>
      <c r="E33" s="1670">
        <f t="shared" si="1"/>
        <v>34372</v>
      </c>
      <c r="F33" s="1670">
        <f t="shared" si="1"/>
        <v>175357</v>
      </c>
      <c r="G33" s="1670">
        <f t="shared" si="1"/>
        <v>0</v>
      </c>
      <c r="H33" s="1670">
        <f t="shared" si="1"/>
        <v>27633</v>
      </c>
      <c r="I33" s="1670">
        <f t="shared" si="1"/>
        <v>0</v>
      </c>
      <c r="J33" s="1670">
        <f t="shared" si="1"/>
        <v>0</v>
      </c>
      <c r="K33" s="1670">
        <f t="shared" si="1"/>
        <v>2354475</v>
      </c>
      <c r="L33" s="1670">
        <f t="shared" si="1"/>
        <v>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28970</v>
      </c>
      <c r="D36" s="481">
        <v>7310</v>
      </c>
      <c r="E36" s="481"/>
      <c r="F36" s="481"/>
      <c r="G36" s="481"/>
      <c r="H36" s="481"/>
      <c r="I36" s="467"/>
      <c r="J36" s="467"/>
      <c r="K36" s="1671">
        <f t="shared" ref="K36:K41" si="2">SUM(C36:J36)</f>
        <v>36280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400</v>
      </c>
      <c r="D38" s="466"/>
      <c r="E38" s="466">
        <v>25363</v>
      </c>
      <c r="F38" s="466">
        <v>747</v>
      </c>
      <c r="G38" s="466"/>
      <c r="H38" s="466"/>
      <c r="I38" s="467"/>
      <c r="J38" s="467"/>
      <c r="K38" s="1671">
        <f t="shared" si="2"/>
        <v>26510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29370</v>
      </c>
      <c r="D42" s="1670">
        <f t="shared" ref="D42:L42" si="3">SUM(D36:D41)</f>
        <v>7310</v>
      </c>
      <c r="E42" s="1670">
        <f t="shared" si="3"/>
        <v>25363</v>
      </c>
      <c r="F42" s="1670">
        <f t="shared" si="3"/>
        <v>747</v>
      </c>
      <c r="G42" s="1670">
        <f t="shared" si="3"/>
        <v>0</v>
      </c>
      <c r="H42" s="1670">
        <f t="shared" si="3"/>
        <v>0</v>
      </c>
      <c r="I42" s="1670">
        <f t="shared" si="3"/>
        <v>0</v>
      </c>
      <c r="J42" s="1670">
        <f t="shared" si="3"/>
        <v>0</v>
      </c>
      <c r="K42" s="1670">
        <f t="shared" si="3"/>
        <v>62790</v>
      </c>
      <c r="L42" s="1670">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9030</v>
      </c>
      <c r="D44" s="481"/>
      <c r="E44" s="481"/>
      <c r="F44" s="481"/>
      <c r="G44" s="481"/>
      <c r="H44" s="481"/>
      <c r="I44" s="467"/>
      <c r="J44" s="467"/>
      <c r="K44" s="1672">
        <f>SUM(C44:J44)</f>
        <v>9030</v>
      </c>
      <c r="L44" s="481"/>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9030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9030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1200</v>
      </c>
      <c r="D49" s="481"/>
      <c r="E49" s="481">
        <v>14131</v>
      </c>
      <c r="F49" s="481">
        <v>1805</v>
      </c>
      <c r="G49" s="481"/>
      <c r="H49" s="481">
        <v>13677</v>
      </c>
      <c r="I49" s="467"/>
      <c r="J49" s="467"/>
      <c r="K49" s="1672">
        <f>SUM(C49:J49)</f>
        <v>30813</v>
      </c>
      <c r="L49" s="481"/>
    </row>
    <row r="50" spans="1:14" x14ac:dyDescent="0.2">
      <c r="A50" s="1504" t="s">
        <v>818</v>
      </c>
      <c r="B50" s="614">
        <v>2320</v>
      </c>
      <c r="C50" s="466">
        <v>145529</v>
      </c>
      <c r="D50" s="466">
        <v>4521</v>
      </c>
      <c r="E50" s="466">
        <v>4272</v>
      </c>
      <c r="F50" s="466">
        <v>1045</v>
      </c>
      <c r="G50" s="466"/>
      <c r="H50" s="466">
        <v>6174</v>
      </c>
      <c r="I50" s="467"/>
      <c r="J50" s="467"/>
      <c r="K50" s="1672">
        <f>SUM(C50:J50)</f>
        <v>161541</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146729</v>
      </c>
      <c r="D53" s="1670">
        <f t="shared" ref="D53:L53" si="5">SUM(D49:D52)</f>
        <v>4521</v>
      </c>
      <c r="E53" s="1670">
        <f t="shared" si="5"/>
        <v>18403</v>
      </c>
      <c r="F53" s="1670">
        <f t="shared" si="5"/>
        <v>2850</v>
      </c>
      <c r="G53" s="1670">
        <f t="shared" si="5"/>
        <v>0</v>
      </c>
      <c r="H53" s="1670">
        <f t="shared" si="5"/>
        <v>19851</v>
      </c>
      <c r="I53" s="1670">
        <f t="shared" si="5"/>
        <v>0</v>
      </c>
      <c r="J53" s="1670">
        <f t="shared" si="5"/>
        <v>0</v>
      </c>
      <c r="K53" s="1670">
        <f t="shared" si="5"/>
        <v>192354</v>
      </c>
      <c r="L53" s="1670">
        <f t="shared" si="5"/>
        <v>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116006</v>
      </c>
      <c r="D55" s="481">
        <v>23367</v>
      </c>
      <c r="E55" s="481">
        <v>441</v>
      </c>
      <c r="F55" s="481">
        <v>1790</v>
      </c>
      <c r="G55" s="481"/>
      <c r="H55" s="481">
        <v>75</v>
      </c>
      <c r="I55" s="467"/>
      <c r="J55" s="467"/>
      <c r="K55" s="1672">
        <f>SUM(C55:J55)</f>
        <v>141679</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116006</v>
      </c>
      <c r="D57" s="1674">
        <f t="shared" ref="D57:K57" si="6">SUM(D55:D56)</f>
        <v>23367</v>
      </c>
      <c r="E57" s="1674">
        <f t="shared" si="6"/>
        <v>441</v>
      </c>
      <c r="F57" s="1674">
        <f t="shared" si="6"/>
        <v>1790</v>
      </c>
      <c r="G57" s="1674">
        <f t="shared" si="6"/>
        <v>0</v>
      </c>
      <c r="H57" s="1674">
        <f t="shared" si="6"/>
        <v>75</v>
      </c>
      <c r="I57" s="1674">
        <f t="shared" si="6"/>
        <v>0</v>
      </c>
      <c r="J57" s="1674">
        <f t="shared" si="6"/>
        <v>0</v>
      </c>
      <c r="K57" s="1674">
        <f t="shared" si="6"/>
        <v>141679</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20870</v>
      </c>
      <c r="D60" s="466">
        <v>1507</v>
      </c>
      <c r="E60" s="466">
        <v>10738</v>
      </c>
      <c r="F60" s="466">
        <v>476</v>
      </c>
      <c r="G60" s="466"/>
      <c r="H60" s="466"/>
      <c r="I60" s="467"/>
      <c r="J60" s="467"/>
      <c r="K60" s="1672">
        <f t="shared" si="7"/>
        <v>33591</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32820</v>
      </c>
      <c r="D63" s="466"/>
      <c r="E63" s="466">
        <v>82418</v>
      </c>
      <c r="F63" s="466">
        <v>3578</v>
      </c>
      <c r="G63" s="466"/>
      <c r="H63" s="466"/>
      <c r="I63" s="467"/>
      <c r="J63" s="467"/>
      <c r="K63" s="1672">
        <f t="shared" si="7"/>
        <v>118816</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53690</v>
      </c>
      <c r="D65" s="1670">
        <f t="shared" ref="D65:L65" si="8">SUM(D59:D64)</f>
        <v>1507</v>
      </c>
      <c r="E65" s="1670">
        <f t="shared" si="8"/>
        <v>93156</v>
      </c>
      <c r="F65" s="1670">
        <f t="shared" si="8"/>
        <v>4054</v>
      </c>
      <c r="G65" s="1670">
        <f t="shared" si="8"/>
        <v>0</v>
      </c>
      <c r="H65" s="1670">
        <f t="shared" si="8"/>
        <v>0</v>
      </c>
      <c r="I65" s="1670">
        <f t="shared" si="8"/>
        <v>0</v>
      </c>
      <c r="J65" s="1670">
        <f t="shared" si="8"/>
        <v>0</v>
      </c>
      <c r="K65" s="1670">
        <f t="shared" si="8"/>
        <v>152407</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2048</v>
      </c>
      <c r="G73" s="573"/>
      <c r="H73" s="573"/>
      <c r="I73" s="531"/>
      <c r="J73" s="531"/>
      <c r="K73" s="1670">
        <f>SUM(C73:J73)</f>
        <v>2048</v>
      </c>
      <c r="L73" s="576"/>
      <c r="M73" s="609"/>
      <c r="N73" s="609"/>
    </row>
    <row r="74" spans="1:14" ht="12.75" customHeight="1" thickTop="1" thickBot="1" x14ac:dyDescent="0.25">
      <c r="A74" s="1668" t="s">
        <v>811</v>
      </c>
      <c r="B74" s="1676">
        <v>2000</v>
      </c>
      <c r="C74" s="1677">
        <f>SUM(C42,C47,C53,C57,C65,C72,C73)</f>
        <v>354825</v>
      </c>
      <c r="D74" s="1677">
        <f t="shared" ref="D74:K74" si="10">SUM(D42,D47,D53,D57,D65,D72,D73)</f>
        <v>36705</v>
      </c>
      <c r="E74" s="1677">
        <f t="shared" si="10"/>
        <v>137363</v>
      </c>
      <c r="F74" s="1677">
        <f t="shared" si="10"/>
        <v>11489</v>
      </c>
      <c r="G74" s="1677">
        <f t="shared" si="10"/>
        <v>0</v>
      </c>
      <c r="H74" s="1677">
        <f t="shared" si="10"/>
        <v>19926</v>
      </c>
      <c r="I74" s="1677">
        <f t="shared" si="10"/>
        <v>0</v>
      </c>
      <c r="J74" s="1677">
        <f t="shared" si="10"/>
        <v>0</v>
      </c>
      <c r="K74" s="1677">
        <f t="shared" si="10"/>
        <v>560308</v>
      </c>
      <c r="L74" s="1677">
        <f>SUM(L42,L47,L53,L57,L65,L72,L73)</f>
        <v>0</v>
      </c>
    </row>
    <row r="75" spans="1:14" s="259" customFormat="1" ht="15.75" customHeight="1" thickTop="1" thickBot="1" x14ac:dyDescent="0.25">
      <c r="A75" s="1610" t="s">
        <v>47</v>
      </c>
      <c r="B75" s="1611" t="s">
        <v>575</v>
      </c>
      <c r="C75" s="573">
        <v>24425</v>
      </c>
      <c r="D75" s="573">
        <v>5843</v>
      </c>
      <c r="E75" s="573">
        <v>2525</v>
      </c>
      <c r="F75" s="573">
        <v>3435</v>
      </c>
      <c r="G75" s="573"/>
      <c r="H75" s="573"/>
      <c r="I75" s="531"/>
      <c r="J75" s="531"/>
      <c r="K75" s="1670">
        <f>SUM(C75:J75)</f>
        <v>36228</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267246</v>
      </c>
      <c r="I86" s="477"/>
      <c r="J86" s="477"/>
      <c r="K86" s="1677">
        <f t="shared" ref="K86:K98" si="12">H86</f>
        <v>267246</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267246</v>
      </c>
      <c r="I92" s="477"/>
      <c r="J92" s="477"/>
      <c r="K92" s="1677">
        <f t="shared" si="12"/>
        <v>267246</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267246</v>
      </c>
      <c r="I102" s="477"/>
      <c r="J102" s="477"/>
      <c r="K102" s="1677">
        <f>SUM(K84,K92,K100,K101)</f>
        <v>267246</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2113139</v>
      </c>
      <c r="D114" s="1670">
        <f t="shared" ref="D114:K114" si="13">SUM(D33,D74,D75,D102,D112,D113)</f>
        <v>425772</v>
      </c>
      <c r="E114" s="1670">
        <f t="shared" si="13"/>
        <v>174260</v>
      </c>
      <c r="F114" s="1670">
        <f t="shared" si="13"/>
        <v>190281</v>
      </c>
      <c r="G114" s="1670">
        <f t="shared" si="13"/>
        <v>0</v>
      </c>
      <c r="H114" s="1670">
        <f>SUM(H33,H74,H75,H102,H112,H113)</f>
        <v>314805</v>
      </c>
      <c r="I114" s="1670">
        <f t="shared" si="13"/>
        <v>0</v>
      </c>
      <c r="J114" s="1670">
        <f t="shared" si="13"/>
        <v>0</v>
      </c>
      <c r="K114" s="1670">
        <f t="shared" si="13"/>
        <v>3218257</v>
      </c>
      <c r="L114" s="1670">
        <f>SUM(L33,L74,L75,L102,L112,L113)</f>
        <v>0</v>
      </c>
    </row>
    <row r="115" spans="1:14" ht="13.5" thickTop="1" x14ac:dyDescent="0.2">
      <c r="A115" s="2183" t="s">
        <v>996</v>
      </c>
      <c r="B115" s="2184"/>
      <c r="C115" s="618"/>
      <c r="D115" s="618"/>
      <c r="E115" s="618"/>
      <c r="F115" s="618"/>
      <c r="G115" s="618"/>
      <c r="H115" s="618"/>
      <c r="I115" s="618"/>
      <c r="J115" s="618"/>
      <c r="K115" s="1684">
        <f>'Revenues 9-14'!C268-'Expenditures 15-22'!K114</f>
        <v>-232454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13617</v>
      </c>
      <c r="H123" s="466"/>
      <c r="I123" s="467"/>
      <c r="J123" s="467"/>
      <c r="K123" s="1670">
        <f>SUM(C123:J123)</f>
        <v>13617</v>
      </c>
      <c r="L123" s="466"/>
    </row>
    <row r="124" spans="1:14" ht="14.25" thickTop="1" thickBot="1" x14ac:dyDescent="0.25">
      <c r="A124" s="1504" t="s">
        <v>197</v>
      </c>
      <c r="B124" s="614">
        <v>2540</v>
      </c>
      <c r="C124" s="466">
        <v>90217</v>
      </c>
      <c r="D124" s="466">
        <v>16833</v>
      </c>
      <c r="E124" s="466">
        <v>94103</v>
      </c>
      <c r="F124" s="466">
        <v>99589</v>
      </c>
      <c r="G124" s="466">
        <v>206679</v>
      </c>
      <c r="H124" s="466"/>
      <c r="I124" s="467"/>
      <c r="J124" s="467"/>
      <c r="K124" s="1670">
        <f>SUM(C124:J124)</f>
        <v>507421</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90217</v>
      </c>
      <c r="D127" s="1670">
        <f t="shared" ref="D127:L127" si="14">SUM(D122:D126)</f>
        <v>16833</v>
      </c>
      <c r="E127" s="1670">
        <f t="shared" si="14"/>
        <v>94103</v>
      </c>
      <c r="F127" s="1670">
        <f t="shared" si="14"/>
        <v>99589</v>
      </c>
      <c r="G127" s="1670">
        <f t="shared" si="14"/>
        <v>220296</v>
      </c>
      <c r="H127" s="1670">
        <f t="shared" si="14"/>
        <v>0</v>
      </c>
      <c r="I127" s="1670">
        <f t="shared" si="14"/>
        <v>0</v>
      </c>
      <c r="J127" s="1670">
        <f t="shared" si="14"/>
        <v>0</v>
      </c>
      <c r="K127" s="1670">
        <f t="shared" si="14"/>
        <v>521038</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90217</v>
      </c>
      <c r="D129" s="1677">
        <f t="shared" ref="D129:L129" si="15">SUM(D120,D127,D128)</f>
        <v>16833</v>
      </c>
      <c r="E129" s="1677">
        <f t="shared" si="15"/>
        <v>94103</v>
      </c>
      <c r="F129" s="1677">
        <f t="shared" si="15"/>
        <v>99589</v>
      </c>
      <c r="G129" s="1677">
        <f t="shared" si="15"/>
        <v>220296</v>
      </c>
      <c r="H129" s="1677">
        <f t="shared" si="15"/>
        <v>0</v>
      </c>
      <c r="I129" s="1677">
        <f t="shared" si="15"/>
        <v>0</v>
      </c>
      <c r="J129" s="1677">
        <f t="shared" si="15"/>
        <v>0</v>
      </c>
      <c r="K129" s="1677">
        <f t="shared" si="15"/>
        <v>521038</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90217</v>
      </c>
      <c r="D151" s="1670">
        <f t="shared" ref="D151:K151" si="16">SUM(D129,D130,D139,D149,D150)</f>
        <v>16833</v>
      </c>
      <c r="E151" s="1670">
        <f t="shared" si="16"/>
        <v>94103</v>
      </c>
      <c r="F151" s="1670">
        <f t="shared" si="16"/>
        <v>99589</v>
      </c>
      <c r="G151" s="1670">
        <f t="shared" si="16"/>
        <v>220296</v>
      </c>
      <c r="H151" s="1670">
        <f t="shared" si="16"/>
        <v>0</v>
      </c>
      <c r="I151" s="1670">
        <f t="shared" si="16"/>
        <v>0</v>
      </c>
      <c r="J151" s="1670">
        <f t="shared" si="16"/>
        <v>0</v>
      </c>
      <c r="K151" s="1670">
        <f t="shared" si="16"/>
        <v>521038</v>
      </c>
      <c r="L151" s="1670">
        <f>SUM(L129,L130,L139,L149,L150)</f>
        <v>0</v>
      </c>
    </row>
    <row r="152" spans="1:14" ht="12.75" customHeight="1" thickTop="1" x14ac:dyDescent="0.2">
      <c r="A152" s="2176" t="s">
        <v>1178</v>
      </c>
      <c r="B152" s="2177"/>
      <c r="C152" s="618"/>
      <c r="D152" s="618"/>
      <c r="E152" s="618"/>
      <c r="F152" s="618"/>
      <c r="G152" s="618"/>
      <c r="H152" s="618"/>
      <c r="I152" s="618"/>
      <c r="J152" s="616"/>
      <c r="K152" s="1684">
        <f>'Revenues 9-14'!D268-'Expenditures 15-22'!K151</f>
        <v>-153402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60419</v>
      </c>
      <c r="I169" s="616"/>
      <c r="J169" s="616"/>
      <c r="K169" s="1671">
        <f>SUM(C169:H169)</f>
        <v>60419</v>
      </c>
      <c r="L169" s="656"/>
    </row>
    <row r="170" spans="1:14" ht="33.75" customHeight="1" x14ac:dyDescent="0.2">
      <c r="A170" s="669" t="s">
        <v>1670</v>
      </c>
      <c r="B170" s="671" t="s">
        <v>31</v>
      </c>
      <c r="C170" s="616"/>
      <c r="D170" s="616"/>
      <c r="E170" s="616"/>
      <c r="F170" s="616"/>
      <c r="G170" s="616"/>
      <c r="H170" s="569">
        <v>154100</v>
      </c>
      <c r="I170" s="616"/>
      <c r="J170" s="616"/>
      <c r="K170" s="1671">
        <f>SUM(C170:J170)</f>
        <v>154100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214519</v>
      </c>
      <c r="I172" s="638"/>
      <c r="J172" s="616"/>
      <c r="K172" s="1677">
        <f>SUM(K168,K169,K170,K171)</f>
        <v>214519</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214519</v>
      </c>
      <c r="I174" s="638"/>
      <c r="J174" s="616"/>
      <c r="K174" s="1677">
        <f>SUM(K160,K172,K173)</f>
        <v>214519</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-4478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51628</v>
      </c>
      <c r="F182" s="466"/>
      <c r="G182" s="466"/>
      <c r="H182" s="466"/>
      <c r="I182" s="467"/>
      <c r="J182" s="467"/>
      <c r="K182" s="1671">
        <f>SUM(C182:J182)</f>
        <v>51628</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51628</v>
      </c>
      <c r="F184" s="1677">
        <f t="shared" si="17"/>
        <v>0</v>
      </c>
      <c r="G184" s="1677">
        <f t="shared" si="17"/>
        <v>0</v>
      </c>
      <c r="H184" s="1677">
        <f t="shared" si="17"/>
        <v>0</v>
      </c>
      <c r="I184" s="1677">
        <f t="shared" si="17"/>
        <v>0</v>
      </c>
      <c r="J184" s="1677">
        <f t="shared" si="17"/>
        <v>0</v>
      </c>
      <c r="K184" s="1677">
        <f>SUM(K180,K182,K183)</f>
        <v>51628</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51628</v>
      </c>
      <c r="F210" s="1670">
        <f>SUM(F184,F185)</f>
        <v>0</v>
      </c>
      <c r="G210" s="1670">
        <f>SUM(G184,G185)</f>
        <v>0</v>
      </c>
      <c r="H210" s="1670">
        <f>SUM(H184,H185,H196,H208,H209)</f>
        <v>0</v>
      </c>
      <c r="I210" s="1670">
        <f>SUM(I184,I185)</f>
        <v>0</v>
      </c>
      <c r="J210" s="1670">
        <f>SUM(J184,J185)</f>
        <v>0</v>
      </c>
      <c r="K210" s="1671">
        <f>SUM(K184,K185,K196,K208,K209)</f>
        <v>51628</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2269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20739</v>
      </c>
      <c r="E215" s="616"/>
      <c r="F215" s="616"/>
      <c r="G215" s="616"/>
      <c r="H215" s="616"/>
      <c r="I215" s="616"/>
      <c r="J215" s="616"/>
      <c r="K215" s="1671">
        <f>D215</f>
        <v>20739</v>
      </c>
      <c r="L215" s="466"/>
    </row>
    <row r="216" spans="1:14" x14ac:dyDescent="0.2">
      <c r="A216" s="1504" t="s">
        <v>163</v>
      </c>
      <c r="B216" s="614" t="s">
        <v>967</v>
      </c>
      <c r="C216" s="616"/>
      <c r="D216" s="467">
        <v>396</v>
      </c>
      <c r="E216" s="616"/>
      <c r="F216" s="616"/>
      <c r="G216" s="616"/>
      <c r="H216" s="616"/>
      <c r="I216" s="616"/>
      <c r="J216" s="616"/>
      <c r="K216" s="1671">
        <f t="shared" ref="K216:K228" si="19">D216</f>
        <v>396</v>
      </c>
      <c r="L216" s="466"/>
    </row>
    <row r="217" spans="1:14" x14ac:dyDescent="0.2">
      <c r="A217" s="1504" t="s">
        <v>164</v>
      </c>
      <c r="B217" s="614">
        <v>1200</v>
      </c>
      <c r="C217" s="616"/>
      <c r="D217" s="466">
        <v>8442</v>
      </c>
      <c r="E217" s="616"/>
      <c r="F217" s="616"/>
      <c r="G217" s="616"/>
      <c r="H217" s="616"/>
      <c r="I217" s="616"/>
      <c r="J217" s="616"/>
      <c r="K217" s="1671">
        <f t="shared" si="19"/>
        <v>8442</v>
      </c>
      <c r="L217" s="466"/>
    </row>
    <row r="218" spans="1:14" x14ac:dyDescent="0.2">
      <c r="A218" s="1504" t="s">
        <v>278</v>
      </c>
      <c r="B218" s="614" t="s">
        <v>968</v>
      </c>
      <c r="C218" s="616"/>
      <c r="D218" s="467">
        <v>5654</v>
      </c>
      <c r="E218" s="616"/>
      <c r="F218" s="616"/>
      <c r="G218" s="616"/>
      <c r="H218" s="616"/>
      <c r="I218" s="616"/>
      <c r="J218" s="616"/>
      <c r="K218" s="1671">
        <f t="shared" si="19"/>
        <v>5654</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1879</v>
      </c>
      <c r="E223" s="616"/>
      <c r="F223" s="616"/>
      <c r="G223" s="616"/>
      <c r="H223" s="616"/>
      <c r="I223" s="616"/>
      <c r="J223" s="616"/>
      <c r="K223" s="1671">
        <f t="shared" si="19"/>
        <v>1879</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37110</v>
      </c>
      <c r="E229" s="616"/>
      <c r="F229" s="616"/>
      <c r="G229" s="616"/>
      <c r="H229" s="616"/>
      <c r="I229" s="616"/>
      <c r="J229" s="616"/>
      <c r="K229" s="1670">
        <f>SUM(K215:K228)</f>
        <v>37110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505</v>
      </c>
      <c r="E234" s="616"/>
      <c r="F234" s="616"/>
      <c r="G234" s="616"/>
      <c r="H234" s="616"/>
      <c r="I234" s="616"/>
      <c r="J234" s="616"/>
      <c r="K234" s="1671">
        <f t="shared" si="20"/>
        <v>505</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505</v>
      </c>
      <c r="E238" s="616"/>
      <c r="F238" s="616"/>
      <c r="G238" s="616"/>
      <c r="H238" s="616"/>
      <c r="I238" s="616"/>
      <c r="J238" s="616"/>
      <c r="K238" s="1670">
        <f>SUM(K232:K237)</f>
        <v>505</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3178</v>
      </c>
      <c r="E246" s="616"/>
      <c r="F246" s="616"/>
      <c r="G246" s="616"/>
      <c r="H246" s="616"/>
      <c r="I246" s="616"/>
      <c r="J246" s="616"/>
      <c r="K246" s="1672">
        <f t="shared" ref="K246:K256" si="21">D246</f>
        <v>3178</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10603</v>
      </c>
      <c r="E254" s="616"/>
      <c r="F254" s="616"/>
      <c r="G254" s="616"/>
      <c r="H254" s="616"/>
      <c r="I254" s="616"/>
      <c r="J254" s="616"/>
      <c r="K254" s="1672">
        <f t="shared" si="21"/>
        <v>10603</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13781</v>
      </c>
      <c r="E257" s="616"/>
      <c r="F257" s="616"/>
      <c r="G257" s="616"/>
      <c r="H257" s="616"/>
      <c r="I257" s="616"/>
      <c r="J257" s="616"/>
      <c r="K257" s="1670">
        <f>SUM(K245:K256)</f>
        <v>13781</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10069</v>
      </c>
      <c r="E259" s="616"/>
      <c r="F259" s="616"/>
      <c r="G259" s="616"/>
      <c r="H259" s="616"/>
      <c r="I259" s="616"/>
      <c r="J259" s="616"/>
      <c r="K259" s="1672">
        <f>D259</f>
        <v>10069</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10069</v>
      </c>
      <c r="E261" s="616"/>
      <c r="F261" s="616"/>
      <c r="G261" s="616"/>
      <c r="H261" s="616"/>
      <c r="I261" s="616"/>
      <c r="J261" s="616"/>
      <c r="K261" s="1670">
        <f>SUM(K259:K260)</f>
        <v>10069</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3867</v>
      </c>
      <c r="E264" s="616"/>
      <c r="F264" s="616"/>
      <c r="G264" s="616"/>
      <c r="H264" s="616"/>
      <c r="I264" s="616"/>
      <c r="J264" s="616"/>
      <c r="K264" s="1672">
        <f t="shared" ref="K264:K269" si="22">D264</f>
        <v>3867</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15627</v>
      </c>
      <c r="E266" s="616"/>
      <c r="F266" s="616"/>
      <c r="G266" s="616"/>
      <c r="H266" s="616"/>
      <c r="I266" s="616"/>
      <c r="J266" s="616"/>
      <c r="K266" s="1672">
        <f t="shared" si="22"/>
        <v>15627</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6054</v>
      </c>
      <c r="E268" s="616"/>
      <c r="F268" s="616"/>
      <c r="G268" s="616"/>
      <c r="H268" s="616"/>
      <c r="I268" s="616"/>
      <c r="J268" s="616"/>
      <c r="K268" s="1672">
        <f t="shared" si="22"/>
        <v>6054</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25548</v>
      </c>
      <c r="E270" s="616"/>
      <c r="F270" s="616"/>
      <c r="G270" s="616"/>
      <c r="H270" s="616"/>
      <c r="I270" s="616"/>
      <c r="J270" s="616"/>
      <c r="K270" s="1670">
        <f>SUM(K263:K269)</f>
        <v>25548</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49903</v>
      </c>
      <c r="E279" s="616"/>
      <c r="F279" s="616"/>
      <c r="G279" s="616"/>
      <c r="H279" s="616"/>
      <c r="I279" s="616"/>
      <c r="J279" s="616"/>
      <c r="K279" s="1677">
        <f>SUM(K238,K243,K257,K261,K270,K277,K278)</f>
        <v>49903</v>
      </c>
      <c r="L279" s="1677">
        <f>SUM(L238,L243,L257,L261,L270,L277,L278)</f>
        <v>0</v>
      </c>
    </row>
    <row r="280" spans="1:12" ht="15.75" customHeight="1" thickTop="1" thickBot="1" x14ac:dyDescent="0.25">
      <c r="A280" s="1624" t="s">
        <v>875</v>
      </c>
      <c r="B280" s="1613">
        <v>3000</v>
      </c>
      <c r="C280" s="616"/>
      <c r="D280" s="576">
        <v>302</v>
      </c>
      <c r="E280" s="616"/>
      <c r="F280" s="616"/>
      <c r="G280" s="616"/>
      <c r="H280" s="616"/>
      <c r="I280" s="616"/>
      <c r="J280" s="616"/>
      <c r="K280" s="1679">
        <f>D280</f>
        <v>302</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87315</v>
      </c>
      <c r="E295" s="616"/>
      <c r="F295" s="616"/>
      <c r="G295" s="616"/>
      <c r="H295" s="1670">
        <f>H293</f>
        <v>0</v>
      </c>
      <c r="I295" s="616"/>
      <c r="J295" s="616"/>
      <c r="K295" s="1670">
        <f>SUM(K229,K279,K280,K285,K293,K294)</f>
        <v>87315</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3235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8522</v>
      </c>
      <c r="F320" s="467"/>
      <c r="G320" s="467"/>
      <c r="H320" s="467"/>
      <c r="I320" s="467"/>
      <c r="J320" s="467"/>
      <c r="K320" s="1671">
        <f t="shared" ref="K320:K327" si="24">SUM(C320:J320)</f>
        <v>8522</v>
      </c>
      <c r="L320" s="467"/>
      <c r="M320" s="665"/>
      <c r="N320" s="665"/>
    </row>
    <row r="321" spans="1:14" s="674" customFormat="1" x14ac:dyDescent="0.2">
      <c r="A321" s="1519" t="s">
        <v>300</v>
      </c>
      <c r="B321" s="697" t="s">
        <v>283</v>
      </c>
      <c r="C321" s="467"/>
      <c r="D321" s="467"/>
      <c r="E321" s="467">
        <v>320</v>
      </c>
      <c r="F321" s="467"/>
      <c r="G321" s="467"/>
      <c r="H321" s="467"/>
      <c r="I321" s="467"/>
      <c r="J321" s="467"/>
      <c r="K321" s="1671">
        <f t="shared" si="24"/>
        <v>320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175383</v>
      </c>
      <c r="D325" s="467">
        <v>27216</v>
      </c>
      <c r="E325" s="467"/>
      <c r="F325" s="467"/>
      <c r="G325" s="467"/>
      <c r="H325" s="467"/>
      <c r="I325" s="467"/>
      <c r="J325" s="467"/>
      <c r="K325" s="1671">
        <f t="shared" si="24"/>
        <v>202599</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131680</v>
      </c>
      <c r="F327" s="467"/>
      <c r="G327" s="467"/>
      <c r="H327" s="467"/>
      <c r="I327" s="467"/>
      <c r="J327" s="467"/>
      <c r="K327" s="1671">
        <f t="shared" si="24"/>
        <v>131680</v>
      </c>
      <c r="L327" s="467"/>
      <c r="M327" s="665"/>
      <c r="N327" s="665"/>
    </row>
    <row r="328" spans="1:14" s="674" customFormat="1" x14ac:dyDescent="0.2">
      <c r="A328" s="1520" t="s">
        <v>472</v>
      </c>
      <c r="B328" s="690" t="s">
        <v>1132</v>
      </c>
      <c r="C328" s="474"/>
      <c r="D328" s="474"/>
      <c r="E328" s="474">
        <v>21041</v>
      </c>
      <c r="F328" s="474"/>
      <c r="G328" s="474"/>
      <c r="H328" s="474"/>
      <c r="I328" s="474"/>
      <c r="J328" s="474"/>
      <c r="K328" s="1699">
        <f>SUM(C328:J328)</f>
        <v>21041</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175383</v>
      </c>
      <c r="D330" s="1670">
        <f t="shared" ref="D330:J330" si="25">SUM(D319:D329)</f>
        <v>27216</v>
      </c>
      <c r="E330" s="1670">
        <f t="shared" si="25"/>
        <v>161563</v>
      </c>
      <c r="F330" s="1670">
        <f t="shared" si="25"/>
        <v>0</v>
      </c>
      <c r="G330" s="1670">
        <f t="shared" si="25"/>
        <v>0</v>
      </c>
      <c r="H330" s="1670">
        <f t="shared" si="25"/>
        <v>0</v>
      </c>
      <c r="I330" s="1670">
        <f t="shared" si="25"/>
        <v>0</v>
      </c>
      <c r="J330" s="1670">
        <f t="shared" si="25"/>
        <v>0</v>
      </c>
      <c r="K330" s="1670">
        <f>SUM(K319:K329)</f>
        <v>364162</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175383</v>
      </c>
      <c r="D342" s="1670">
        <f>SUM(D330)</f>
        <v>27216</v>
      </c>
      <c r="E342" s="1670">
        <f>SUM(E330)</f>
        <v>161563</v>
      </c>
      <c r="F342" s="1670">
        <f>SUM(F330)</f>
        <v>0</v>
      </c>
      <c r="G342" s="1670">
        <f>SUM(G330)</f>
        <v>0</v>
      </c>
      <c r="H342" s="1670">
        <f>SUM(H330,H334,H340)</f>
        <v>0</v>
      </c>
      <c r="I342" s="1670">
        <f>SUM(I330)</f>
        <v>0</v>
      </c>
      <c r="J342" s="1670">
        <f>SUM(J330)</f>
        <v>0</v>
      </c>
      <c r="K342" s="1670">
        <f>SUM(K330,K334,K340)</f>
        <v>364162</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-38375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36372</v>
      </c>
      <c r="F348" s="466"/>
      <c r="G348" s="466"/>
      <c r="H348" s="466"/>
      <c r="I348" s="467"/>
      <c r="J348" s="467"/>
      <c r="K348" s="1671">
        <f>SUM(C348:J348)</f>
        <v>36372</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36372</v>
      </c>
      <c r="F350" s="1670">
        <f t="shared" si="26"/>
        <v>0</v>
      </c>
      <c r="G350" s="1670">
        <f t="shared" si="26"/>
        <v>0</v>
      </c>
      <c r="H350" s="1670">
        <f t="shared" si="26"/>
        <v>0</v>
      </c>
      <c r="I350" s="1670">
        <f t="shared" si="26"/>
        <v>0</v>
      </c>
      <c r="J350" s="1670">
        <f t="shared" si="26"/>
        <v>0</v>
      </c>
      <c r="K350" s="1670">
        <f t="shared" si="26"/>
        <v>36372</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36372</v>
      </c>
      <c r="F352" s="1670">
        <f t="shared" si="27"/>
        <v>0</v>
      </c>
      <c r="G352" s="1670">
        <f t="shared" si="27"/>
        <v>0</v>
      </c>
      <c r="H352" s="1670">
        <f t="shared" si="27"/>
        <v>0</v>
      </c>
      <c r="I352" s="1670">
        <f t="shared" si="27"/>
        <v>0</v>
      </c>
      <c r="J352" s="1670">
        <f t="shared" si="27"/>
        <v>0</v>
      </c>
      <c r="K352" s="1670">
        <f t="shared" si="27"/>
        <v>36372</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36372</v>
      </c>
      <c r="F367" s="1670">
        <f t="shared" si="28"/>
        <v>0</v>
      </c>
      <c r="G367" s="1670">
        <f t="shared" si="28"/>
        <v>0</v>
      </c>
      <c r="H367" s="1670">
        <f t="shared" si="28"/>
        <v>0</v>
      </c>
      <c r="I367" s="1670">
        <f t="shared" si="28"/>
        <v>0</v>
      </c>
      <c r="J367" s="1670">
        <f t="shared" si="28"/>
        <v>0</v>
      </c>
      <c r="K367" s="1670">
        <f t="shared" si="28"/>
        <v>36372</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-16356</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739178</v>
      </c>
      <c r="C4" s="1524">
        <v>200029</v>
      </c>
      <c r="D4" s="1752">
        <f>B4-C4</f>
        <v>539149</v>
      </c>
      <c r="E4" s="1524"/>
      <c r="F4" s="1752">
        <f>E4-C4</f>
        <v>-200029</v>
      </c>
    </row>
    <row r="5" spans="1:6" ht="13.7" customHeight="1" x14ac:dyDescent="0.2">
      <c r="A5" s="715" t="s">
        <v>870</v>
      </c>
      <c r="B5" s="1750">
        <f>'Revenues 9-14'!D5</f>
        <v>210438</v>
      </c>
      <c r="C5" s="585">
        <v>51851.45</v>
      </c>
      <c r="D5" s="1753">
        <f t="shared" ref="D5:D18" si="0">B5-C5</f>
        <v>158586.54999999999</v>
      </c>
      <c r="E5" s="585"/>
      <c r="F5" s="1753">
        <f>E5-C5</f>
        <v>-51851.45</v>
      </c>
    </row>
    <row r="6" spans="1:6" ht="13.7" customHeight="1" x14ac:dyDescent="0.2">
      <c r="A6" s="715" t="s">
        <v>411</v>
      </c>
      <c r="B6" s="1750">
        <f>'Revenues 9-14'!E5</f>
        <v>193984</v>
      </c>
      <c r="C6" s="585">
        <v>57373</v>
      </c>
      <c r="D6" s="1753">
        <f t="shared" si="0"/>
        <v>136611</v>
      </c>
      <c r="E6" s="585"/>
      <c r="F6" s="1753">
        <f t="shared" ref="F6:F18" si="1">E6-C6</f>
        <v>-57373</v>
      </c>
    </row>
    <row r="7" spans="1:6" ht="13.7" customHeight="1" x14ac:dyDescent="0.2">
      <c r="A7" s="715" t="s">
        <v>155</v>
      </c>
      <c r="B7" s="1750">
        <f>'Revenues 9-14'!F5</f>
        <v>45095</v>
      </c>
      <c r="C7" s="585">
        <v>12479</v>
      </c>
      <c r="D7" s="1753">
        <f t="shared" si="0"/>
        <v>32616</v>
      </c>
      <c r="E7" s="585"/>
      <c r="F7" s="1753">
        <f t="shared" si="1"/>
        <v>-12479</v>
      </c>
    </row>
    <row r="8" spans="1:6" ht="13.7" customHeight="1" x14ac:dyDescent="0.2">
      <c r="A8" s="715" t="s">
        <v>1179</v>
      </c>
      <c r="B8" s="1750">
        <f>'Revenues 9-14'!G5</f>
        <v>89645</v>
      </c>
      <c r="C8" s="585">
        <v>12294</v>
      </c>
      <c r="D8" s="1753">
        <f t="shared" si="0"/>
        <v>77351</v>
      </c>
      <c r="E8" s="585"/>
      <c r="F8" s="1753">
        <f t="shared" si="1"/>
        <v>-12294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18680</v>
      </c>
      <c r="C10" s="585">
        <v>5123</v>
      </c>
      <c r="D10" s="1753">
        <f t="shared" si="0"/>
        <v>13557</v>
      </c>
      <c r="E10" s="585"/>
      <c r="F10" s="1753">
        <f t="shared" si="1"/>
        <v>-5123</v>
      </c>
    </row>
    <row r="11" spans="1:6" x14ac:dyDescent="0.2">
      <c r="A11" s="715" t="s">
        <v>409</v>
      </c>
      <c r="B11" s="1750">
        <f>'Revenues 9-14'!J5</f>
        <v>323362</v>
      </c>
      <c r="C11" s="585">
        <v>88325</v>
      </c>
      <c r="D11" s="1753">
        <f t="shared" si="0"/>
        <v>235037</v>
      </c>
      <c r="E11" s="585"/>
      <c r="F11" s="1753">
        <f t="shared" si="1"/>
        <v>-88325</v>
      </c>
    </row>
    <row r="12" spans="1:6" ht="13.7" customHeight="1" x14ac:dyDescent="0.2">
      <c r="A12" s="715" t="s">
        <v>157</v>
      </c>
      <c r="B12" s="1750">
        <f>'Revenues 9-14'!K5</f>
        <v>18680</v>
      </c>
      <c r="C12" s="585">
        <v>5123</v>
      </c>
      <c r="D12" s="1753">
        <f t="shared" si="0"/>
        <v>13557</v>
      </c>
      <c r="E12" s="585"/>
      <c r="F12" s="1753">
        <f t="shared" si="1"/>
        <v>-5123</v>
      </c>
    </row>
    <row r="13" spans="1:6" ht="13.7" customHeight="1" x14ac:dyDescent="0.2">
      <c r="A13" s="715" t="s">
        <v>936</v>
      </c>
      <c r="B13" s="1750">
        <f>SUM('Revenues 9-14'!C6:D6)</f>
        <v>33465</v>
      </c>
      <c r="C13" s="585">
        <v>5123</v>
      </c>
      <c r="D13" s="1753">
        <f t="shared" si="0"/>
        <v>28342</v>
      </c>
      <c r="E13" s="585"/>
      <c r="F13" s="1753">
        <f t="shared" si="1"/>
        <v>-5123</v>
      </c>
    </row>
    <row r="14" spans="1:6" ht="13.7" customHeight="1" x14ac:dyDescent="0.2">
      <c r="A14" s="715" t="s">
        <v>410</v>
      </c>
      <c r="B14" s="1750">
        <f>SUM('Revenues 9-14'!C7:D7,'Revenues 9-14'!F7:H7)</f>
        <v>7516</v>
      </c>
      <c r="C14" s="585">
        <v>2049</v>
      </c>
      <c r="D14" s="1753">
        <f t="shared" si="0"/>
        <v>5467</v>
      </c>
      <c r="E14" s="585"/>
      <c r="F14" s="1753">
        <f t="shared" si="1"/>
        <v>-2049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v>0</v>
      </c>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1680043</v>
      </c>
      <c r="C19" s="1751">
        <f>SUM(C4:C18)</f>
        <v>439769.45</v>
      </c>
      <c r="D19" s="1751">
        <f>SUM(D4:D18)</f>
        <v>1240273.55</v>
      </c>
      <c r="E19" s="1751">
        <f>SUM(E4:E18)</f>
        <v>0</v>
      </c>
      <c r="F19" s="1751">
        <f>SUM(F4:F18)</f>
        <v>-439769.45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B30" sqref="B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2081</v>
      </c>
      <c r="B33" s="733">
        <v>41505</v>
      </c>
      <c r="C33" s="734">
        <v>2036700</v>
      </c>
      <c r="D33" s="735">
        <v>4</v>
      </c>
      <c r="E33" s="734">
        <v>1549100</v>
      </c>
      <c r="F33" s="734"/>
      <c r="G33" s="734"/>
      <c r="H33" s="734">
        <v>154100</v>
      </c>
      <c r="I33" s="1756">
        <f t="shared" ref="I33:I48" si="1">((E33+F33)-H33)+G33</f>
        <v>1395000</v>
      </c>
      <c r="J33" s="734">
        <v>1043217</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2036700</v>
      </c>
      <c r="D49" s="745"/>
      <c r="E49" s="1756">
        <f t="shared" ref="E49:J49" si="2">SUM(E31:E48)</f>
        <v>1549100</v>
      </c>
      <c r="F49" s="1756">
        <f t="shared" si="2"/>
        <v>0</v>
      </c>
      <c r="G49" s="1756">
        <f t="shared" si="2"/>
        <v>0</v>
      </c>
      <c r="H49" s="1756">
        <f t="shared" si="2"/>
        <v>154100</v>
      </c>
      <c r="I49" s="1756">
        <f t="shared" si="2"/>
        <v>1395000</v>
      </c>
      <c r="J49" s="1756">
        <f t="shared" si="2"/>
        <v>1043217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2"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7516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7516</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7516</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7516</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2065</v>
      </c>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78859</v>
      </c>
      <c r="D5" s="841"/>
      <c r="E5" s="841"/>
      <c r="F5" s="1760">
        <f>(C5+D5)-E5</f>
        <v>78859</v>
      </c>
      <c r="G5" s="837"/>
      <c r="H5" s="842"/>
      <c r="I5" s="842"/>
      <c r="J5" s="842"/>
      <c r="K5" s="793"/>
      <c r="L5" s="1769">
        <f>F5-K5</f>
        <v>78859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4359692</v>
      </c>
      <c r="D8" s="844"/>
      <c r="E8" s="844"/>
      <c r="F8" s="1760">
        <f>(C8+D8)-E8</f>
        <v>4359692</v>
      </c>
      <c r="G8" s="843">
        <v>50</v>
      </c>
      <c r="H8" s="765">
        <v>2275459</v>
      </c>
      <c r="I8" s="765">
        <v>77194</v>
      </c>
      <c r="J8" s="765"/>
      <c r="K8" s="1769">
        <f>(H8+I8)-J8</f>
        <v>2352653</v>
      </c>
      <c r="L8" s="1769">
        <f>F8-K8</f>
        <v>2007039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3561732</v>
      </c>
      <c r="D10" s="846">
        <v>115910</v>
      </c>
      <c r="E10" s="846"/>
      <c r="F10" s="1764">
        <f>(C10+D10)-E10</f>
        <v>3677642</v>
      </c>
      <c r="G10" s="843">
        <v>20</v>
      </c>
      <c r="H10" s="847">
        <v>1229744</v>
      </c>
      <c r="I10" s="847">
        <v>163967</v>
      </c>
      <c r="J10" s="847"/>
      <c r="K10" s="1769">
        <f>(H10+I10)-J10</f>
        <v>1393711</v>
      </c>
      <c r="L10" s="1769">
        <f>F10-K10</f>
        <v>2283931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v>104101</v>
      </c>
      <c r="D13" s="844"/>
      <c r="E13" s="844"/>
      <c r="F13" s="1760">
        <f>(C13+D13)-E13</f>
        <v>104101</v>
      </c>
      <c r="G13" s="843">
        <v>5</v>
      </c>
      <c r="H13" s="765">
        <v>93307</v>
      </c>
      <c r="I13" s="765">
        <v>2698</v>
      </c>
      <c r="J13" s="765"/>
      <c r="K13" s="1769">
        <f>(H13+I13)-J13</f>
        <v>96005</v>
      </c>
      <c r="L13" s="1769">
        <f>F13-K13</f>
        <v>8096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90769</v>
      </c>
      <c r="E15" s="844"/>
      <c r="F15" s="1760">
        <f>(C15+D15)-E15</f>
        <v>90769</v>
      </c>
      <c r="G15" s="849" t="s">
        <v>862</v>
      </c>
      <c r="H15" s="781"/>
      <c r="I15" s="781"/>
      <c r="J15" s="781"/>
      <c r="K15" s="781"/>
      <c r="L15" s="1769">
        <f>F15-K15</f>
        <v>90769</v>
      </c>
    </row>
    <row r="16" spans="1:14" ht="15" customHeight="1" thickTop="1" thickBot="1" x14ac:dyDescent="0.25">
      <c r="A16" s="1765" t="s">
        <v>643</v>
      </c>
      <c r="B16" s="1766">
        <v>200</v>
      </c>
      <c r="C16" s="1760">
        <f>SUM(C3,C5:C6,C8:C10,C12:C15)</f>
        <v>8104384</v>
      </c>
      <c r="D16" s="1760">
        <f>SUM(D3,D5:D6,D8:D10,D12:D15)</f>
        <v>206679</v>
      </c>
      <c r="E16" s="1760">
        <f>SUM(E3,E5:E6,E8:E10,E12:E15)</f>
        <v>0</v>
      </c>
      <c r="F16" s="1760">
        <f>SUM(F3,F5:F6,F8:F10,F12:F15)</f>
        <v>8311063</v>
      </c>
      <c r="G16" s="843"/>
      <c r="H16" s="1760">
        <f>SUM(H3,H6,H8:H10,H12:H14,)</f>
        <v>3598510</v>
      </c>
      <c r="I16" s="1760">
        <f>SUM(I3,I6,I8:I10,I12:I14,)</f>
        <v>243859</v>
      </c>
      <c r="J16" s="1760">
        <f>SUM(J3,J6,J8:J10,J12:J14,)</f>
        <v>0</v>
      </c>
      <c r="K16" s="1760">
        <f>(H16+I16)-J16</f>
        <v>3842369</v>
      </c>
      <c r="L16" s="1760">
        <f>F16-K16</f>
        <v>4468694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243859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H10" sqref="H1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3218257</v>
      </c>
      <c r="G8" s="865"/>
    </row>
    <row r="9" spans="1:7" x14ac:dyDescent="0.2">
      <c r="A9" s="869" t="s">
        <v>460</v>
      </c>
      <c r="B9" s="870" t="s">
        <v>1876</v>
      </c>
      <c r="C9" s="871"/>
      <c r="D9" s="869" t="s">
        <v>501</v>
      </c>
      <c r="E9" s="868"/>
      <c r="F9" s="1909">
        <f>'Expenditures 15-22'!K151</f>
        <v>521038</v>
      </c>
      <c r="G9" s="872"/>
    </row>
    <row r="10" spans="1:7" x14ac:dyDescent="0.2">
      <c r="A10" s="869" t="s">
        <v>499</v>
      </c>
      <c r="B10" s="870" t="s">
        <v>1877</v>
      </c>
      <c r="C10" s="871"/>
      <c r="D10" s="869" t="s">
        <v>501</v>
      </c>
      <c r="E10" s="868"/>
      <c r="F10" s="1909">
        <f>'Expenditures 15-22'!K174</f>
        <v>214519</v>
      </c>
      <c r="G10" s="872"/>
    </row>
    <row r="11" spans="1:7" x14ac:dyDescent="0.2">
      <c r="A11" s="869" t="s">
        <v>461</v>
      </c>
      <c r="B11" s="870" t="s">
        <v>1878</v>
      </c>
      <c r="C11" s="871"/>
      <c r="D11" s="869" t="s">
        <v>501</v>
      </c>
      <c r="E11" s="868"/>
      <c r="F11" s="1909">
        <f>'Expenditures 15-22'!K210</f>
        <v>51628</v>
      </c>
      <c r="G11" s="872"/>
    </row>
    <row r="12" spans="1:7" x14ac:dyDescent="0.2">
      <c r="A12" s="869" t="s">
        <v>462</v>
      </c>
      <c r="B12" s="870" t="s">
        <v>1879</v>
      </c>
      <c r="C12" s="871"/>
      <c r="D12" s="869" t="s">
        <v>501</v>
      </c>
      <c r="E12" s="868"/>
      <c r="F12" s="1909">
        <f>'Expenditures 15-22'!K295</f>
        <v>87315</v>
      </c>
      <c r="G12" s="872"/>
    </row>
    <row r="13" spans="1:7" x14ac:dyDescent="0.2">
      <c r="A13" s="869" t="s">
        <v>106</v>
      </c>
      <c r="B13" s="870" t="s">
        <v>1880</v>
      </c>
      <c r="C13" s="871"/>
      <c r="D13" s="869" t="s">
        <v>501</v>
      </c>
      <c r="E13" s="868"/>
      <c r="F13" s="1909">
        <f>'Expenditures 15-22'!K342</f>
        <v>364162</v>
      </c>
      <c r="G13" s="873"/>
    </row>
    <row r="14" spans="1:7" ht="12" customHeight="1" thickBot="1" x14ac:dyDescent="0.25">
      <c r="A14" s="1770"/>
      <c r="B14" s="1771"/>
      <c r="C14" s="1772"/>
      <c r="D14" s="1773" t="s">
        <v>501</v>
      </c>
      <c r="E14" s="1774" t="s">
        <v>958</v>
      </c>
      <c r="F14" s="1775">
        <f>SUM(F8:F13)</f>
        <v>4456919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75277</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27117</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36228</v>
      </c>
      <c r="G52" s="865"/>
    </row>
    <row r="53" spans="1:7" x14ac:dyDescent="0.2">
      <c r="A53" s="869" t="s">
        <v>459</v>
      </c>
      <c r="B53" s="869" t="s">
        <v>1475</v>
      </c>
      <c r="C53" s="889">
        <f>'Expenditures 15-22'!B102</f>
        <v>4000</v>
      </c>
      <c r="D53" s="888" t="str">
        <f>'Expenditures 15-22'!A102</f>
        <v>Total Payments to Other Govt Units</v>
      </c>
      <c r="E53" s="868"/>
      <c r="F53" s="1913">
        <f>'Expenditures 15-22'!K102</f>
        <v>267246</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220296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154100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396</v>
      </c>
      <c r="G67" s="865"/>
    </row>
    <row r="68" spans="1:8" x14ac:dyDescent="0.2">
      <c r="A68" s="869" t="s">
        <v>462</v>
      </c>
      <c r="B68" s="869" t="s">
        <v>1479</v>
      </c>
      <c r="C68" s="886" t="str">
        <f>'Expenditures 15-22'!B218</f>
        <v>1225</v>
      </c>
      <c r="D68" s="892" t="str">
        <f>'Expenditures 15-22'!A218</f>
        <v>Special Education Programs - Pre-K</v>
      </c>
      <c r="E68" s="868"/>
      <c r="F68" s="1913">
        <f>'Expenditures 15-22'!K218</f>
        <v>5654</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302</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786616</v>
      </c>
      <c r="G76" s="865"/>
    </row>
    <row r="77" spans="1:8" s="893" customFormat="1" ht="12" customHeight="1" thickTop="1" thickBot="1" x14ac:dyDescent="0.25">
      <c r="A77" s="1779"/>
      <c r="B77" s="1776"/>
      <c r="C77" s="1772"/>
      <c r="D77" s="1777" t="s">
        <v>1899</v>
      </c>
      <c r="E77" s="1774"/>
      <c r="F77" s="1780">
        <f>(F14-F76)</f>
        <v>3670303</v>
      </c>
      <c r="G77" s="869"/>
    </row>
    <row r="78" spans="1:8" s="893" customFormat="1" ht="12" customHeight="1" thickTop="1" x14ac:dyDescent="0.2">
      <c r="A78" s="1781"/>
      <c r="B78" s="1776"/>
      <c r="C78" s="1772"/>
      <c r="D78" s="1777" t="s">
        <v>2060</v>
      </c>
      <c r="E78" s="1774"/>
      <c r="F78" s="898">
        <v>324.10000000000002</v>
      </c>
      <c r="G78" s="899"/>
      <c r="H78" s="869"/>
    </row>
    <row r="79" spans="1:8" s="893" customFormat="1" ht="12" customHeight="1" thickBot="1" x14ac:dyDescent="0.25">
      <c r="A79" s="1782"/>
      <c r="B79" s="1776"/>
      <c r="C79" s="1772"/>
      <c r="D79" s="1777" t="s">
        <v>1900</v>
      </c>
      <c r="E79" s="1774" t="s">
        <v>958</v>
      </c>
      <c r="F79" s="1783">
        <f>IF(F78&gt;0,F77/F78," Complete Line 78")</f>
        <v>11324.600431965442</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31124</v>
      </c>
      <c r="G94" s="912"/>
    </row>
    <row r="95" spans="1:7" x14ac:dyDescent="0.2">
      <c r="A95" s="908" t="s">
        <v>140</v>
      </c>
      <c r="B95" s="908" t="s">
        <v>175</v>
      </c>
      <c r="C95" s="910">
        <v>1700</v>
      </c>
      <c r="D95" s="918" t="str">
        <f>'Revenues 9-14'!A82</f>
        <v>Total District/School Activity Income</v>
      </c>
      <c r="E95" s="906"/>
      <c r="F95" s="1789">
        <f>SUM('Revenues 9-14'!C82,'Revenues 9-14'!D82)</f>
        <v>8758</v>
      </c>
      <c r="G95" s="912"/>
    </row>
    <row r="96" spans="1:7" x14ac:dyDescent="0.2">
      <c r="A96" s="908" t="s">
        <v>459</v>
      </c>
      <c r="B96" s="908" t="s">
        <v>176</v>
      </c>
      <c r="C96" s="910">
        <f>'Revenues 9-14'!B84</f>
        <v>1811</v>
      </c>
      <c r="D96" s="911" t="str">
        <f>'Revenues 9-14'!A84</f>
        <v>Rentals - Regular Textbooks</v>
      </c>
      <c r="E96" s="906"/>
      <c r="F96" s="1789">
        <f>'Revenues 9-14'!C84</f>
        <v>18418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105948</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1968</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6562</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5467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111626</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65152</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9267</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139603</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8396</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6108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15337</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533734</v>
      </c>
    </row>
    <row r="175" spans="1:7" ht="12" customHeight="1" x14ac:dyDescent="0.2">
      <c r="A175" s="1770"/>
      <c r="B175" s="1784"/>
      <c r="C175" s="1785"/>
      <c r="D175" s="1786" t="s">
        <v>2055</v>
      </c>
      <c r="E175" s="1787"/>
      <c r="F175" s="1789">
        <f>'PCTC-OEPP 27-28'!F77-F174</f>
        <v>3136569</v>
      </c>
    </row>
    <row r="176" spans="1:7" ht="12" customHeight="1" x14ac:dyDescent="0.2">
      <c r="A176" s="1770"/>
      <c r="B176" s="1784"/>
      <c r="C176" s="1785"/>
      <c r="D176" s="1786" t="s">
        <v>1817</v>
      </c>
      <c r="E176" s="1787"/>
      <c r="F176" s="1789">
        <f>'Cap Outlay Deprec 26'!I18</f>
        <v>243859</v>
      </c>
    </row>
    <row r="177" spans="1:7" ht="12" customHeight="1" x14ac:dyDescent="0.2">
      <c r="A177" s="1770"/>
      <c r="B177" s="1784"/>
      <c r="C177" s="1785"/>
      <c r="D177" s="1786" t="s">
        <v>2056</v>
      </c>
      <c r="E177" s="1787"/>
      <c r="F177" s="1789">
        <f>F175+F176</f>
        <v>3380428</v>
      </c>
    </row>
    <row r="178" spans="1:7" ht="12" customHeight="1" x14ac:dyDescent="0.2">
      <c r="A178" s="1770"/>
      <c r="B178" s="1790"/>
      <c r="C178" s="1785"/>
      <c r="D178" s="1786" t="str">
        <f>D78</f>
        <v>9 Month ADA from District Average Daily Attendance/Prior General State Aid Inquiry 2018-2019</v>
      </c>
      <c r="E178" s="1787"/>
      <c r="F178" s="1791">
        <f>'PCTC-OEPP 27-28'!F78</f>
        <v>324.10000000000002</v>
      </c>
      <c r="G178" s="930"/>
    </row>
    <row r="179" spans="1:7" ht="12" customHeight="1" thickBot="1" x14ac:dyDescent="0.25">
      <c r="A179" s="1770"/>
      <c r="B179" s="1790"/>
      <c r="C179" s="1785"/>
      <c r="D179" s="1786" t="s">
        <v>2057</v>
      </c>
      <c r="E179" s="1787" t="s">
        <v>1545</v>
      </c>
      <c r="F179" s="1792">
        <f>F177/F178</f>
        <v>10430.200555384139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C31" sqref="C3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33"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9" t="s">
        <v>2064</v>
      </c>
      <c r="B6" s="1940"/>
      <c r="C6" s="1940"/>
      <c r="D6" s="1940"/>
      <c r="E6" s="1940"/>
      <c r="F6" s="1940"/>
      <c r="G6" s="1941"/>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t="s">
        <v>2085</v>
      </c>
      <c r="C18" s="1656" t="s">
        <v>2082</v>
      </c>
      <c r="D18" s="1844">
        <v>2518.67</v>
      </c>
      <c r="E18" s="1540">
        <f t="shared" ref="E18:E142" si="0">IF(D18&lt;=25000,D18,IF(D18&gt;25000,25000,0))</f>
        <v>2518.67</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2518.67</v>
      </c>
      <c r="G18" s="1793">
        <f>IF(F18=0,0,D18-F18)</f>
        <v>0</v>
      </c>
      <c r="H18" s="1647"/>
    </row>
    <row r="19" spans="1:8" x14ac:dyDescent="0.25">
      <c r="A19" s="1653"/>
      <c r="B19" s="1934" t="s">
        <v>2085</v>
      </c>
      <c r="C19" s="1656" t="s">
        <v>2083</v>
      </c>
      <c r="D19" s="1844">
        <v>6157.83</v>
      </c>
      <c r="E19" s="1540">
        <f t="shared" ref="E19:E141" si="2">IF(D19&lt;=25000,D19,IF(D19&gt;25000,25000,0))</f>
        <v>6157.83</v>
      </c>
      <c r="F19" s="1938">
        <f t="shared" si="1"/>
        <v>6157.83</v>
      </c>
      <c r="G19" s="1793">
        <f t="shared" ref="G19:G141" si="3">IF(F19=0,0,D19-F19)</f>
        <v>0</v>
      </c>
    </row>
    <row r="20" spans="1:8" x14ac:dyDescent="0.25">
      <c r="A20" s="1653"/>
      <c r="B20" s="1934" t="s">
        <v>2085</v>
      </c>
      <c r="C20" s="1656" t="s">
        <v>2084</v>
      </c>
      <c r="D20" s="1844">
        <v>1881.21</v>
      </c>
      <c r="E20" s="1540">
        <f t="shared" si="2"/>
        <v>1881.21</v>
      </c>
      <c r="F20" s="1938">
        <f t="shared" si="1"/>
        <v>1881.21</v>
      </c>
      <c r="G20" s="1793">
        <f t="shared" si="3"/>
        <v>0</v>
      </c>
    </row>
    <row r="21" spans="1:8" x14ac:dyDescent="0.25">
      <c r="A21" s="1653"/>
      <c r="B21" s="1934" t="s">
        <v>2085</v>
      </c>
      <c r="C21" s="1656" t="s">
        <v>2086</v>
      </c>
      <c r="D21" s="1844">
        <v>5968.42</v>
      </c>
      <c r="E21" s="1540">
        <f t="shared" si="2"/>
        <v>5968.42</v>
      </c>
      <c r="F21" s="1938">
        <f t="shared" si="1"/>
        <v>5968.42</v>
      </c>
      <c r="G21" s="1793">
        <f t="shared" si="3"/>
        <v>0</v>
      </c>
    </row>
    <row r="22" spans="1:8" x14ac:dyDescent="0.25">
      <c r="A22" s="1653"/>
      <c r="B22" s="1934" t="s">
        <v>2085</v>
      </c>
      <c r="C22" s="1656" t="s">
        <v>2087</v>
      </c>
      <c r="D22" s="1844">
        <v>1234</v>
      </c>
      <c r="E22" s="1540">
        <f t="shared" si="2"/>
        <v>1234</v>
      </c>
      <c r="F22" s="1938">
        <f t="shared" si="1"/>
        <v>1234</v>
      </c>
      <c r="G22" s="1793">
        <f t="shared" si="3"/>
        <v>0</v>
      </c>
    </row>
    <row r="23" spans="1:8" x14ac:dyDescent="0.25">
      <c r="A23" s="1653"/>
      <c r="B23" s="1934" t="s">
        <v>2093</v>
      </c>
      <c r="C23" s="1656" t="s">
        <v>2088</v>
      </c>
      <c r="D23" s="1844">
        <v>64097.48</v>
      </c>
      <c r="E23" s="1540">
        <f t="shared" si="2"/>
        <v>25000</v>
      </c>
      <c r="F23" s="1938">
        <f t="shared" si="1"/>
        <v>25000</v>
      </c>
      <c r="G23" s="1793">
        <f t="shared" si="3"/>
        <v>39097.480000000003</v>
      </c>
    </row>
    <row r="24" spans="1:8" x14ac:dyDescent="0.25">
      <c r="A24" s="1653"/>
      <c r="B24" s="1934" t="s">
        <v>2094</v>
      </c>
      <c r="C24" s="1656" t="s">
        <v>2089</v>
      </c>
      <c r="D24" s="1844">
        <v>49675.5</v>
      </c>
      <c r="E24" s="1540">
        <f t="shared" si="2"/>
        <v>25000</v>
      </c>
      <c r="F24" s="1938">
        <f t="shared" si="1"/>
        <v>25000</v>
      </c>
      <c r="G24" s="1793">
        <f t="shared" si="3"/>
        <v>24675.5</v>
      </c>
    </row>
    <row r="25" spans="1:8" x14ac:dyDescent="0.25">
      <c r="A25" s="1653"/>
      <c r="B25" s="1934" t="s">
        <v>2094</v>
      </c>
      <c r="C25" s="1656" t="s">
        <v>2090</v>
      </c>
      <c r="D25" s="1844">
        <v>121.51</v>
      </c>
      <c r="E25" s="1540">
        <f t="shared" si="2"/>
        <v>121.51</v>
      </c>
      <c r="F25" s="1938">
        <f t="shared" si="1"/>
        <v>121.51</v>
      </c>
      <c r="G25" s="1793">
        <f t="shared" si="3"/>
        <v>0</v>
      </c>
    </row>
    <row r="26" spans="1:8" x14ac:dyDescent="0.25">
      <c r="A26" s="1653"/>
      <c r="B26" s="1934" t="s">
        <v>2085</v>
      </c>
      <c r="C26" s="1656" t="s">
        <v>2091</v>
      </c>
      <c r="D26" s="1844">
        <v>3408.52</v>
      </c>
      <c r="E26" s="1540">
        <f t="shared" si="2"/>
        <v>3408.52</v>
      </c>
      <c r="F26" s="1938">
        <f t="shared" si="1"/>
        <v>3408.52</v>
      </c>
      <c r="G26" s="1793">
        <f t="shared" si="3"/>
        <v>0</v>
      </c>
    </row>
    <row r="27" spans="1:8" x14ac:dyDescent="0.25">
      <c r="A27" s="1653"/>
      <c r="B27" s="1934" t="s">
        <v>2085</v>
      </c>
      <c r="C27" s="1654" t="s">
        <v>2092</v>
      </c>
      <c r="D27" s="1844">
        <v>3050</v>
      </c>
      <c r="E27" s="1540">
        <f t="shared" si="2"/>
        <v>3050</v>
      </c>
      <c r="F27" s="1938">
        <f t="shared" si="1"/>
        <v>3050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138113.13999999998</v>
      </c>
      <c r="E142" s="1541">
        <f t="shared" si="0"/>
        <v>25000</v>
      </c>
      <c r="F142" s="1933">
        <f>SUM(F18:F141)</f>
        <v>74340.160000000003</v>
      </c>
      <c r="G142" s="1795">
        <f>SUM(G18:G141)</f>
        <v>63772.98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24" sqref="E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2391585</v>
      </c>
      <c r="F19" s="1799"/>
      <c r="G19" s="1801">
        <f>'Expenditures 15-22'!K33-SUM('Expenditures 15-22'!G33,'Expenditures 15-22'!I33)+'Expenditures 15-22'!D229</f>
        <v>2391585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63295</v>
      </c>
      <c r="F21" s="1802"/>
      <c r="G21" s="1805">
        <f>'Expenditures 15-22'!K42-SUM('Expenditures 15-22'!G42,'Expenditures 15-22'!I42)+'Expenditures 15-22'!K120-SUM('Expenditures 15-22'!G120,'Expenditures 15-22'!I120)+'Expenditures 15-22'!K180-SUM('Expenditures 15-22'!G180,'Expenditures 15-22'!I180)+'Expenditures 15-22'!D238</f>
        <v>63295</v>
      </c>
      <c r="H21" s="987"/>
      <c r="I21" s="162"/>
    </row>
    <row r="22" spans="1:9" s="668" customFormat="1" ht="12" customHeight="1" x14ac:dyDescent="0.2">
      <c r="A22" s="994" t="s">
        <v>564</v>
      </c>
      <c r="B22" s="995"/>
      <c r="C22" s="993">
        <v>2200</v>
      </c>
      <c r="D22" s="1802"/>
      <c r="E22" s="1804">
        <f>'Expenditures 15-22'!K47-SUM('Expenditures 15-22'!G47,'Expenditures 15-22'!I47)+'Expenditures 15-22'!D243</f>
        <v>9030</v>
      </c>
      <c r="F22" s="1802"/>
      <c r="G22" s="1805">
        <f>'Expenditures 15-22'!K47-SUM('Expenditures 15-22'!G47,'Expenditures 15-22'!I47)+'Expenditures 15-22'!D243</f>
        <v>9030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570297</v>
      </c>
      <c r="F23" s="1802"/>
      <c r="G23" s="1804">
        <f>'Expenditures 15-22'!K53-SUM('Expenditures 15-22'!G53,'Expenditures 15-22'!I53)+'Expenditures 15-22'!D257+'Expenditures 15-22'!K330-SUM('Expenditures 15-22'!G330,'Expenditures 15-22'!I330)</f>
        <v>570297</v>
      </c>
      <c r="H23" s="987"/>
      <c r="I23" s="162"/>
    </row>
    <row r="24" spans="1:9" s="668" customFormat="1" ht="12" customHeight="1" x14ac:dyDescent="0.2">
      <c r="A24" s="994" t="s">
        <v>566</v>
      </c>
      <c r="B24" s="995"/>
      <c r="C24" s="993">
        <v>2400</v>
      </c>
      <c r="D24" s="1802"/>
      <c r="E24" s="1804">
        <f>'Expenditures 15-22'!K57-SUM('Expenditures 15-22'!G57,'Expenditures 15-22'!I57)+'Expenditures 15-22'!D261</f>
        <v>151748</v>
      </c>
      <c r="F24" s="1802"/>
      <c r="G24" s="1805">
        <f>'Expenditures 15-22'!K57-SUM('Expenditures 15-22'!G57,'Expenditures 15-22'!I57)+'Expenditures 15-22'!D261</f>
        <v>151748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37458</v>
      </c>
      <c r="E27" s="1804">
        <f>E8</f>
        <v>0</v>
      </c>
      <c r="F27" s="1804">
        <f>'Expenditures 15-22'!K60-SUM('Expenditures 15-22'!G60,'Expenditures 15-22'!I60)+'Expenditures 15-22'!D264-E8</f>
        <v>37458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316369</v>
      </c>
      <c r="F28" s="1806">
        <f>'Expenditures 15-22'!K61-SUM('Expenditures 15-22'!G61,'Expenditures 15-22'!I61)+'Expenditures 15-22'!K124-SUM('Expenditures 15-22'!G124,'Expenditures 15-22'!I124)+'Expenditures 15-22'!D266-E9</f>
        <v>316369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51628</v>
      </c>
      <c r="F29" s="1802"/>
      <c r="G29" s="1805">
        <f>'Expenditures 15-22'!K62-SUM('Expenditures 15-22'!G62,'Expenditures 15-22'!I62)+'Expenditures 15-22'!K125-SUM('Expenditures 15-22'!G125,'Expenditures 15-22'!I125)+'Expenditures 15-22'!K182-SUM('Expenditures 15-22'!G182,'Expenditures 15-22'!I182)+'Expenditures 15-22'!D267</f>
        <v>51628</v>
      </c>
      <c r="H29" s="985"/>
    </row>
    <row r="30" spans="1:9" ht="12" customHeight="1" x14ac:dyDescent="0.2">
      <c r="A30" s="994" t="s">
        <v>100</v>
      </c>
      <c r="B30" s="997"/>
      <c r="C30" s="993">
        <v>2560</v>
      </c>
      <c r="D30" s="1802"/>
      <c r="E30" s="1804">
        <f>'Expenditures 15-22'!K63-SUM('Expenditures 15-22'!G63,'Expenditures 15-22'!I63)+'Expenditures 15-22'!D268-E10</f>
        <v>124870</v>
      </c>
      <c r="F30" s="1802"/>
      <c r="G30" s="1804">
        <f>'Expenditures 15-22'!K63-SUM('Expenditures 15-22'!G63,'Expenditures 15-22'!I63)+'Expenditures 15-22'!D268-E10</f>
        <v>124870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2048</v>
      </c>
      <c r="F38" s="1802"/>
      <c r="G38" s="1804">
        <f>'Expenditures 15-22'!K73-SUM('Expenditures 15-22'!G73,'Expenditures 15-22'!I73)+'Expenditures 15-22'!K128-SUM('Expenditures 15-22'!G128,'Expenditures 15-22'!I128)+'Expenditures 15-22'!K183-SUM('Expenditures 15-22'!G183,'Expenditures 15-22'!I183)+'Expenditures 15-22'!D278</f>
        <v>2048</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36530</v>
      </c>
      <c r="F39" s="1802"/>
      <c r="G39" s="1804">
        <f>'Expenditures 15-22'!K75-SUM('Expenditures 15-22'!G75,'Expenditures 15-22'!I75)+'Expenditures 15-22'!K130-SUM('Expenditures 15-22'!G130,'Expenditures 15-22'!I130)+'Expenditures 15-22'!K185-SUM('Expenditures 15-22'!G185,'Expenditures 15-22'!I185)+'Expenditures 15-22'!D280</f>
        <v>36530</v>
      </c>
    </row>
    <row r="40" spans="1:7" ht="12" customHeight="1" x14ac:dyDescent="0.2">
      <c r="A40" s="990" t="s">
        <v>1823</v>
      </c>
      <c r="B40" s="991"/>
      <c r="C40" s="993"/>
      <c r="D40" s="1802"/>
      <c r="E40" s="1806">
        <f>-'Contracts Paid in CY 29'!G142</f>
        <v>-63772.98</v>
      </c>
      <c r="F40" s="1802"/>
      <c r="G40" s="1806">
        <f>-'Contracts Paid in CY 29'!G142</f>
        <v>-63772.98</v>
      </c>
    </row>
    <row r="41" spans="1:7" ht="12" customHeight="1" x14ac:dyDescent="0.2">
      <c r="A41" s="998" t="s">
        <v>156</v>
      </c>
      <c r="B41" s="999"/>
      <c r="C41" s="1000"/>
      <c r="D41" s="1806">
        <f>SUM(D19:D39)</f>
        <v>37458</v>
      </c>
      <c r="E41" s="1806">
        <f>SUM(E19:E40)</f>
        <v>3653627.02</v>
      </c>
      <c r="F41" s="1806">
        <f>SUM(F19:F39)</f>
        <v>353827</v>
      </c>
      <c r="G41" s="1806">
        <f>SUM(G19:G40)</f>
        <v>3337258.02</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37458</v>
      </c>
      <c r="F43" s="1807" t="s">
        <v>473</v>
      </c>
      <c r="G43" s="1808">
        <f>F41</f>
        <v>353827</v>
      </c>
    </row>
    <row r="44" spans="1:7" ht="12" customHeight="1" x14ac:dyDescent="0.2">
      <c r="A44" s="987"/>
      <c r="B44" s="162"/>
      <c r="C44" s="1001"/>
      <c r="D44" s="1807" t="s">
        <v>474</v>
      </c>
      <c r="E44" s="1808">
        <f>E41</f>
        <v>3653627.02</v>
      </c>
      <c r="F44" s="1807" t="s">
        <v>474</v>
      </c>
      <c r="G44" s="1808">
        <f>G41</f>
        <v>3337258.02</v>
      </c>
    </row>
    <row r="45" spans="1:7" ht="12" customHeight="1" x14ac:dyDescent="0.2">
      <c r="A45" s="987"/>
      <c r="B45" s="162"/>
      <c r="C45" s="162"/>
      <c r="D45" s="1809" t="s">
        <v>1006</v>
      </c>
      <c r="E45" s="1810">
        <f>(E43/E44)</f>
        <v>1.025227802262093E-2</v>
      </c>
      <c r="F45" s="1809" t="s">
        <v>1006</v>
      </c>
      <c r="G45" s="1810">
        <f>(G43/G44)</f>
        <v>0.1060232675686251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6" activePane="bottomLeft" state="frozen"/>
      <selection activeCell="A47" sqref="A47"/>
      <selection pane="bottomLeft" activeCell="B9" sqref="B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Signal Hill SD 181</v>
      </c>
      <c r="D6" s="2299"/>
      <c r="E6" s="2299"/>
      <c r="F6" s="1852"/>
    </row>
    <row r="7" spans="1:10" ht="11.25" customHeight="1" thickBot="1" x14ac:dyDescent="0.3">
      <c r="A7" s="1850"/>
      <c r="B7" s="1851"/>
      <c r="C7" s="2300">
        <f>COVER!A13</f>
        <v>50082181002</v>
      </c>
      <c r="D7" s="2300"/>
      <c r="E7" s="2300"/>
      <c r="F7" s="1852"/>
    </row>
    <row r="8" spans="1:10" ht="25.5" customHeight="1" thickBot="1" x14ac:dyDescent="0.25">
      <c r="A8" s="1893" t="s">
        <v>1907</v>
      </c>
      <c r="B8" s="1853" t="s">
        <v>2065</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27" sqref="F27:G2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Signal Hill SD 181</v>
      </c>
      <c r="J6" s="2320"/>
      <c r="Q6" s="1664"/>
    </row>
    <row r="7" spans="1:17" x14ac:dyDescent="0.2">
      <c r="A7" s="2321" t="s">
        <v>869</v>
      </c>
      <c r="B7" s="2322"/>
      <c r="C7" s="2322"/>
      <c r="D7" s="2322"/>
      <c r="E7" s="2323"/>
      <c r="F7" s="1017"/>
      <c r="G7" s="1009"/>
      <c r="H7" s="1016" t="s">
        <v>372</v>
      </c>
      <c r="I7" s="2324">
        <f>COVER!A13</f>
        <v>50082181002</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161541</v>
      </c>
      <c r="F12" s="1039"/>
      <c r="G12" s="1811">
        <f t="shared" ref="G12:G18" si="0">SUM(E12:F12)</f>
        <v>161541</v>
      </c>
      <c r="H12" s="1040">
        <v>137650</v>
      </c>
      <c r="I12" s="1039"/>
      <c r="J12" s="1811">
        <f t="shared" ref="J12:J18" si="1">SUM(H12:I12)</f>
        <v>137650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161541</v>
      </c>
      <c r="F19" s="1813">
        <f t="shared" si="2"/>
        <v>0</v>
      </c>
      <c r="G19" s="1813">
        <f t="shared" si="2"/>
        <v>161541</v>
      </c>
      <c r="H19" s="1813">
        <f t="shared" si="2"/>
        <v>137650</v>
      </c>
      <c r="I19" s="1813">
        <f t="shared" si="2"/>
        <v>0</v>
      </c>
      <c r="J19" s="1813">
        <f t="shared" si="2"/>
        <v>137650</v>
      </c>
    </row>
    <row r="20" spans="1:10" ht="13.5" thickTop="1" x14ac:dyDescent="0.2">
      <c r="A20" s="1035">
        <v>9</v>
      </c>
      <c r="B20" s="2331" t="s">
        <v>1979</v>
      </c>
      <c r="C20" s="2331"/>
      <c r="D20" s="2332"/>
      <c r="E20" s="1046"/>
      <c r="F20" s="1046"/>
      <c r="G20" s="1046"/>
      <c r="H20" s="1046"/>
      <c r="I20" s="1046"/>
      <c r="J20" s="1814">
        <f>IF(AND(G19&gt;0,J19&gt;0),(((J19-G19)/G19)),"Enter Budget Data")</f>
        <v>-0.14789434261271131</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Signal Hill SD 181</v>
      </c>
    </row>
    <row r="65" spans="2:2" x14ac:dyDescent="0.2">
      <c r="B65" s="1070">
        <f>COVER!A13</f>
        <v>50082181002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shapeId="50177" r:id="rId4">
          <objectPr defaultSize="0" autoPict="0" r:id="rId5">
            <anchor moveWithCells="1">
              <from>
                <xdr:col>1</xdr:col>
                <xdr:colOff>0</xdr:colOff>
                <xdr:row>2</xdr:row>
                <xdr:rowOff>0</xdr:rowOff>
              </from>
              <to>
                <xdr:col>1</xdr:col>
                <xdr:colOff>742950</xdr:colOff>
                <xdr:row>7</xdr:row>
                <xdr:rowOff>142875</xdr:rowOff>
              </to>
            </anchor>
          </objectPr>
        </oleObject>
      </mc:Choice>
      <mc:Fallback>
        <oleObject progId="Acrobat.Document.11"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2985803</v>
      </c>
      <c r="C8" s="1815">
        <f>'Acct Summary 7-8'!D8</f>
        <v>367636</v>
      </c>
      <c r="D8" s="1815">
        <f>'Acct Summary 7-8'!F8</f>
        <v>53897</v>
      </c>
      <c r="E8" s="1815">
        <f>'Acct Summary 7-8'!I8</f>
        <v>20921</v>
      </c>
      <c r="F8" s="1815">
        <f>SUM(B8:E8)</f>
        <v>3428257</v>
      </c>
    </row>
    <row r="9" spans="1:8" s="1079" customFormat="1" ht="14.25" customHeight="1" thickBot="1" x14ac:dyDescent="0.25">
      <c r="A9" s="1078" t="s">
        <v>1369</v>
      </c>
      <c r="B9" s="1816">
        <f>'Acct Summary 7-8'!C17</f>
        <v>3218257</v>
      </c>
      <c r="C9" s="1816">
        <f>'Acct Summary 7-8'!D17</f>
        <v>521038</v>
      </c>
      <c r="D9" s="1816">
        <f>'Acct Summary 7-8'!F17</f>
        <v>51628</v>
      </c>
      <c r="E9" s="1815"/>
      <c r="F9" s="1815">
        <f>SUM(B9:E9)</f>
        <v>3790923</v>
      </c>
    </row>
    <row r="10" spans="1:8" s="1079" customFormat="1" ht="14.25" thickTop="1" thickBot="1" x14ac:dyDescent="0.25">
      <c r="A10" s="1080" t="s">
        <v>1370</v>
      </c>
      <c r="B10" s="1817">
        <f>(B8-B9)</f>
        <v>-232454</v>
      </c>
      <c r="C10" s="1817">
        <f>(C8-C9)</f>
        <v>-153402</v>
      </c>
      <c r="D10" s="1817">
        <f>(D8-D9)</f>
        <v>2269</v>
      </c>
      <c r="E10" s="1816">
        <f>(E8-E9)</f>
        <v>20921</v>
      </c>
      <c r="F10" s="1818">
        <f>SUM(F8-F9)</f>
        <v>-362666</v>
      </c>
    </row>
    <row r="11" spans="1:8" s="1079" customFormat="1" ht="14.25" thickTop="1" thickBot="1" x14ac:dyDescent="0.25">
      <c r="A11" s="1081" t="s">
        <v>1983</v>
      </c>
      <c r="B11" s="1819">
        <f>'Acct Summary 7-8'!C81</f>
        <v>1842489</v>
      </c>
      <c r="C11" s="1819">
        <f>'Acct Summary 7-8'!D81</f>
        <v>678025</v>
      </c>
      <c r="D11" s="1819">
        <f>'Acct Summary 7-8'!F81</f>
        <v>463515</v>
      </c>
      <c r="E11" s="1819">
        <f>'Acct Summary 7-8'!I81</f>
        <v>479510</v>
      </c>
      <c r="F11" s="1820">
        <f>SUM(B11:E11)</f>
        <v>3463539</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46" sqref="C4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50082181002</v>
      </c>
    </row>
    <row r="3" spans="1:2" x14ac:dyDescent="0.2">
      <c r="A3" t="s">
        <v>956</v>
      </c>
      <c r="B3" s="138" t="str">
        <f>COVER!A15</f>
        <v>ST. CLAIR</v>
      </c>
    </row>
    <row r="4" spans="1:2" x14ac:dyDescent="0.2">
      <c r="A4" t="s">
        <v>1007</v>
      </c>
      <c r="B4" s="138" t="str">
        <f>COVER!A17</f>
        <v>Signal Hill SD 181</v>
      </c>
    </row>
    <row r="5" spans="1:2" x14ac:dyDescent="0.2">
      <c r="A5" t="s">
        <v>704</v>
      </c>
      <c r="B5" s="138" t="str">
        <f>COVER!A38</f>
        <v>Mr. Kelly Bohnenstiehl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60008105</v>
      </c>
    </row>
    <row r="16" spans="1:2" x14ac:dyDescent="0.2">
      <c r="A16" t="s">
        <v>422</v>
      </c>
      <c r="B16" s="138" t="str">
        <f>COVER!T13</f>
        <v>FICK, EGGEMEYER, AND WILLIAMSON CPAS PC</v>
      </c>
    </row>
    <row r="17" spans="1:2" x14ac:dyDescent="0.2">
      <c r="A17" t="s">
        <v>884</v>
      </c>
      <c r="B17" s="138" t="str">
        <f>COVER!T15</f>
        <v>KEITH SLUSSER</v>
      </c>
    </row>
    <row r="18" spans="1:2" x14ac:dyDescent="0.2">
      <c r="A18" t="s">
        <v>1150</v>
      </c>
      <c r="B18" s="138" t="str">
        <f>COVER!T17</f>
        <v>205 S MAIN ST</v>
      </c>
    </row>
    <row r="19" spans="1:2" x14ac:dyDescent="0.2">
      <c r="A19" t="s">
        <v>886</v>
      </c>
      <c r="B19" s="138" t="str">
        <f>COVER!T25</f>
        <v>JAMES@AFEWCPAS.COM</v>
      </c>
    </row>
    <row r="20" spans="1:2" x14ac:dyDescent="0.2">
      <c r="A20" t="s">
        <v>887</v>
      </c>
      <c r="B20" s="138" t="str">
        <f>COVER!T19</f>
        <v>COLUMBIA</v>
      </c>
    </row>
    <row r="21" spans="1:2" x14ac:dyDescent="0.2">
      <c r="A21" t="s">
        <v>479</v>
      </c>
      <c r="B21" s="138" t="str">
        <f>COVER!X19</f>
        <v>IL</v>
      </c>
    </row>
    <row r="22" spans="1:2" x14ac:dyDescent="0.2">
      <c r="A22" t="s">
        <v>888</v>
      </c>
      <c r="B22" s="138">
        <f>COVER!Z19</f>
        <v>62239</v>
      </c>
    </row>
    <row r="23" spans="1:2" x14ac:dyDescent="0.2">
      <c r="A23" t="s">
        <v>1152</v>
      </c>
      <c r="B23" s="138" t="str">
        <f>COVER!T21</f>
        <v>618-281-4999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1842489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1808557</v>
      </c>
      <c r="D92" s="2" t="str">
        <f t="shared" si="0"/>
        <v>Error?</v>
      </c>
    </row>
    <row r="93" spans="1:4" x14ac:dyDescent="0.2">
      <c r="A93" s="5">
        <v>32</v>
      </c>
      <c r="B93" s="138">
        <f>'Assets-Liab 5-6'!C41</f>
        <v>1842489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678025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667055</v>
      </c>
      <c r="D123" s="2" t="str">
        <f t="shared" si="0"/>
        <v>Error?</v>
      </c>
    </row>
    <row r="124" spans="1:4" x14ac:dyDescent="0.2">
      <c r="A124" s="5">
        <v>63</v>
      </c>
      <c r="B124" s="138">
        <f>'Assets-Liab 5-6'!D41</f>
        <v>678025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351783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351783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463515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463515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187848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187848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351783</v>
      </c>
      <c r="D282" s="2" t="str">
        <f t="shared" si="3"/>
        <v>Error?</v>
      </c>
    </row>
    <row r="283" spans="1:4" x14ac:dyDescent="0.2">
      <c r="A283" s="5">
        <v>222</v>
      </c>
      <c r="B283" s="138">
        <f>'Assets-Liab 5-6'!N22</f>
        <v>1043217</v>
      </c>
      <c r="D283" s="2" t="str">
        <f t="shared" si="3"/>
        <v>Error?</v>
      </c>
    </row>
    <row r="284" spans="1:4" x14ac:dyDescent="0.2">
      <c r="A284" s="5">
        <v>223</v>
      </c>
      <c r="B284" s="138">
        <f>'Assets-Liab 5-6'!N23</f>
        <v>1395000</v>
      </c>
      <c r="C284" s="2" t="s">
        <v>573</v>
      </c>
      <c r="D284" s="2" t="str">
        <f t="shared" si="3"/>
        <v>Error?</v>
      </c>
    </row>
    <row r="285" spans="1:4" x14ac:dyDescent="0.2">
      <c r="A285" s="5">
        <v>224</v>
      </c>
      <c r="B285" s="138">
        <f>'Assets-Liab 5-6'!N36</f>
        <v>1395000</v>
      </c>
      <c r="D285" s="2" t="str">
        <f t="shared" si="3"/>
        <v>Error?</v>
      </c>
    </row>
    <row r="286" spans="1:4" x14ac:dyDescent="0.2">
      <c r="A286" s="10">
        <v>225</v>
      </c>
      <c r="D286" s="2" t="str">
        <f t="shared" si="3"/>
        <v>OK</v>
      </c>
    </row>
    <row r="287" spans="1:4" x14ac:dyDescent="0.2">
      <c r="A287" s="5">
        <v>226</v>
      </c>
      <c r="B287" s="138">
        <f>'Assets-Liab 5-6'!N37</f>
        <v>1395000</v>
      </c>
      <c r="C287" s="2" t="s">
        <v>573</v>
      </c>
      <c r="D287" s="2" t="str">
        <f t="shared" si="3"/>
        <v>Error?</v>
      </c>
    </row>
    <row r="288" spans="1:4" x14ac:dyDescent="0.2">
      <c r="A288" s="5">
        <v>227</v>
      </c>
      <c r="B288" s="138">
        <f>'Assets-Liab 5-6'!N41</f>
        <v>1395000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1411610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59890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1733889</v>
      </c>
      <c r="C720" s="2" t="s">
        <v>573</v>
      </c>
      <c r="D720" s="2" t="str">
        <f t="shared" si="10"/>
        <v>Error?</v>
      </c>
    </row>
    <row r="721" spans="1:4" x14ac:dyDescent="0.2">
      <c r="A721" s="5">
        <v>660</v>
      </c>
      <c r="B721" s="138">
        <f>'Expenditures 15-22'!C36</f>
        <v>28970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29370</v>
      </c>
      <c r="C727" s="2" t="s">
        <v>573</v>
      </c>
      <c r="D727" s="2" t="str">
        <f t="shared" si="10"/>
        <v>Error?</v>
      </c>
    </row>
    <row r="728" spans="1:4" x14ac:dyDescent="0.2">
      <c r="A728" s="5">
        <v>667</v>
      </c>
      <c r="B728" s="138">
        <f>'Expenditures 15-22'!C44</f>
        <v>9030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9030</v>
      </c>
      <c r="C731" s="2" t="s">
        <v>573</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145529</v>
      </c>
      <c r="D733" s="2" t="str">
        <f t="shared" si="10"/>
        <v>Error?</v>
      </c>
    </row>
    <row r="734" spans="1:4" x14ac:dyDescent="0.2">
      <c r="A734" s="5">
        <v>673</v>
      </c>
      <c r="B734" s="138">
        <f>'Expenditures 15-22'!C53</f>
        <v>146729</v>
      </c>
      <c r="C734" s="2" t="s">
        <v>573</v>
      </c>
      <c r="D734" s="2" t="str">
        <f t="shared" si="10"/>
        <v>Error?</v>
      </c>
    </row>
    <row r="735" spans="1:4" x14ac:dyDescent="0.2">
      <c r="A735" s="5">
        <v>674</v>
      </c>
      <c r="B735" s="138">
        <f>'Expenditures 15-22'!C55</f>
        <v>116006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116006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20870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32820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53690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354825</v>
      </c>
      <c r="C755" s="2" t="s">
        <v>573</v>
      </c>
      <c r="D755" s="2" t="str">
        <f t="shared" si="10"/>
        <v>Error?</v>
      </c>
    </row>
    <row r="756" spans="1:4" x14ac:dyDescent="0.2">
      <c r="A756" s="5">
        <v>695</v>
      </c>
      <c r="B756" s="138">
        <f>'Expenditures 15-22'!C75</f>
        <v>24425</v>
      </c>
      <c r="D756" s="2" t="str">
        <f t="shared" si="10"/>
        <v>Error?</v>
      </c>
    </row>
    <row r="757" spans="1:4" x14ac:dyDescent="0.2">
      <c r="A757" s="5">
        <v>696</v>
      </c>
      <c r="B757" s="138">
        <f>'Expenditures 15-22'!C114</f>
        <v>2113139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329753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676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383224</v>
      </c>
      <c r="C778" s="2" t="s">
        <v>573</v>
      </c>
      <c r="D778" s="2" t="str">
        <f t="shared" si="11"/>
        <v>Error?</v>
      </c>
    </row>
    <row r="779" spans="1:4" x14ac:dyDescent="0.2">
      <c r="A779" s="5">
        <v>718</v>
      </c>
      <c r="B779" s="138">
        <f>'Expenditures 15-22'!D36</f>
        <v>7310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7310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4521</v>
      </c>
      <c r="D791" s="2" t="str">
        <f t="shared" si="11"/>
        <v>Error?</v>
      </c>
    </row>
    <row r="792" spans="1:4" x14ac:dyDescent="0.2">
      <c r="A792" s="5">
        <v>731</v>
      </c>
      <c r="B792" s="138">
        <f>'Expenditures 15-22'!D53</f>
        <v>4521</v>
      </c>
      <c r="C792" s="2" t="s">
        <v>573</v>
      </c>
      <c r="D792" s="2" t="str">
        <f t="shared" si="11"/>
        <v>Error?</v>
      </c>
    </row>
    <row r="793" spans="1:4" x14ac:dyDescent="0.2">
      <c r="A793" s="5">
        <v>732</v>
      </c>
      <c r="B793" s="138">
        <f>'Expenditures 15-22'!D55</f>
        <v>23367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23367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1507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1507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36705</v>
      </c>
      <c r="C813" s="2" t="s">
        <v>573</v>
      </c>
      <c r="D813" s="2" t="str">
        <f t="shared" si="11"/>
        <v>Error?</v>
      </c>
    </row>
    <row r="814" spans="1:4" x14ac:dyDescent="0.2">
      <c r="A814" s="5">
        <v>753</v>
      </c>
      <c r="B814" s="138">
        <f>'Expenditures 15-22'!D75</f>
        <v>5843</v>
      </c>
      <c r="D814" s="2" t="str">
        <f t="shared" si="11"/>
        <v>Error?</v>
      </c>
    </row>
    <row r="815" spans="1:4" x14ac:dyDescent="0.2">
      <c r="A815" s="5">
        <v>754</v>
      </c>
      <c r="B815" s="138">
        <f>'Expenditures 15-22'!D114</f>
        <v>425772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5404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28311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34372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25363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25363</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14131</v>
      </c>
      <c r="D848" s="2" t="str">
        <f t="shared" si="12"/>
        <v>Error?</v>
      </c>
    </row>
    <row r="849" spans="1:4" x14ac:dyDescent="0.2">
      <c r="A849" s="5">
        <v>788</v>
      </c>
      <c r="B849" s="138">
        <f>'Expenditures 15-22'!E50</f>
        <v>4272</v>
      </c>
      <c r="D849" s="2" t="str">
        <f t="shared" si="12"/>
        <v>Error?</v>
      </c>
    </row>
    <row r="850" spans="1:4" x14ac:dyDescent="0.2">
      <c r="A850" s="5">
        <v>789</v>
      </c>
      <c r="B850" s="138">
        <f>'Expenditures 15-22'!E53</f>
        <v>18403</v>
      </c>
      <c r="C850" s="2" t="s">
        <v>573</v>
      </c>
      <c r="D850" s="2" t="str">
        <f t="shared" si="12"/>
        <v>Error?</v>
      </c>
    </row>
    <row r="851" spans="1:4" x14ac:dyDescent="0.2">
      <c r="A851" s="5">
        <v>790</v>
      </c>
      <c r="B851" s="138">
        <f>'Expenditures 15-22'!E55</f>
        <v>441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10738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82418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93156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137363</v>
      </c>
      <c r="C871" s="2" t="s">
        <v>573</v>
      </c>
      <c r="D871" s="2" t="str">
        <f t="shared" si="12"/>
        <v>Error?</v>
      </c>
    </row>
    <row r="872" spans="1:4" x14ac:dyDescent="0.2">
      <c r="A872" s="5">
        <v>811</v>
      </c>
      <c r="B872" s="138">
        <f>'Expenditures 15-22'!E75</f>
        <v>2525</v>
      </c>
      <c r="D872" s="2" t="str">
        <f t="shared" si="12"/>
        <v>Error?</v>
      </c>
    </row>
    <row r="873" spans="1:4" x14ac:dyDescent="0.2">
      <c r="A873" s="5">
        <v>812</v>
      </c>
      <c r="B873" s="138">
        <f>'Expenditures 15-22'!E114</f>
        <v>174260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146427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175357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747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1805</v>
      </c>
      <c r="D906" s="2" t="str">
        <f t="shared" si="13"/>
        <v>Error?</v>
      </c>
    </row>
    <row r="907" spans="1:4" x14ac:dyDescent="0.2">
      <c r="A907" s="5">
        <v>846</v>
      </c>
      <c r="B907" s="138">
        <f>'Expenditures 15-22'!F50</f>
        <v>1045</v>
      </c>
      <c r="D907" s="2" t="str">
        <f t="shared" si="13"/>
        <v>Error?</v>
      </c>
    </row>
    <row r="908" spans="1:4" x14ac:dyDescent="0.2">
      <c r="A908" s="5">
        <v>847</v>
      </c>
      <c r="B908" s="138">
        <f>'Expenditures 15-22'!F53</f>
        <v>2850</v>
      </c>
      <c r="C908" s="2" t="s">
        <v>573</v>
      </c>
      <c r="D908" s="2" t="str">
        <f t="shared" si="13"/>
        <v>Error?</v>
      </c>
    </row>
    <row r="909" spans="1:4" x14ac:dyDescent="0.2">
      <c r="A909" s="5">
        <v>848</v>
      </c>
      <c r="B909" s="138">
        <f>'Expenditures 15-22'!F55</f>
        <v>1790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1790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4054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2048</v>
      </c>
      <c r="D928" s="2" t="str">
        <f t="shared" si="13"/>
        <v>Error?</v>
      </c>
    </row>
    <row r="929" spans="1:4" x14ac:dyDescent="0.2">
      <c r="A929" s="5">
        <v>868</v>
      </c>
      <c r="B929" s="138">
        <f>'Expenditures 15-22'!F74</f>
        <v>11489</v>
      </c>
      <c r="C929" s="2" t="s">
        <v>573</v>
      </c>
      <c r="D929" s="2" t="str">
        <f t="shared" si="13"/>
        <v>Error?</v>
      </c>
    </row>
    <row r="930" spans="1:4" x14ac:dyDescent="0.2">
      <c r="A930" s="5">
        <v>869</v>
      </c>
      <c r="B930" s="138">
        <f>'Expenditures 15-22'!F75</f>
        <v>3435</v>
      </c>
      <c r="D930" s="2" t="str">
        <f t="shared" si="13"/>
        <v>Error?</v>
      </c>
    </row>
    <row r="931" spans="1:4" x14ac:dyDescent="0.2">
      <c r="A931" s="5">
        <v>870</v>
      </c>
      <c r="B931" s="138">
        <f>'Expenditures 15-22'!F114</f>
        <v>190281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27633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13677</v>
      </c>
      <c r="D1022" s="2" t="str">
        <f t="shared" si="14"/>
        <v>Error?</v>
      </c>
    </row>
    <row r="1023" spans="1:4" x14ac:dyDescent="0.2">
      <c r="A1023" s="5">
        <v>962</v>
      </c>
      <c r="B1023" s="138">
        <f>'Expenditures 15-22'!H50</f>
        <v>6174</v>
      </c>
      <c r="D1023" s="2" t="str">
        <f t="shared" ref="D1023:D1086" si="15">IF(ISBLANK(B1023),"OK",IF(A1023-B1023=0,"OK","Error?"))</f>
        <v>Error?</v>
      </c>
    </row>
    <row r="1024" spans="1:4" x14ac:dyDescent="0.2">
      <c r="A1024" s="5">
        <v>963</v>
      </c>
      <c r="B1024" s="138">
        <f>'Expenditures 15-22'!H53</f>
        <v>19851</v>
      </c>
      <c r="C1024" s="2" t="s">
        <v>573</v>
      </c>
      <c r="D1024" s="2" t="str">
        <f t="shared" si="15"/>
        <v>Error?</v>
      </c>
    </row>
    <row r="1025" spans="1:4" x14ac:dyDescent="0.2">
      <c r="A1025" s="5">
        <v>964</v>
      </c>
      <c r="B1025" s="138">
        <f>'Expenditures 15-22'!H55</f>
        <v>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19926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267246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314805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1893194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93358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2354475</v>
      </c>
      <c r="C1108" s="2" t="s">
        <v>573</v>
      </c>
      <c r="D1108" s="2" t="str">
        <f t="shared" si="16"/>
        <v>Error?</v>
      </c>
    </row>
    <row r="1109" spans="1:4" x14ac:dyDescent="0.2">
      <c r="A1109" s="5">
        <v>1048</v>
      </c>
      <c r="B1109" s="138">
        <f>'Expenditures 15-22'!K36</f>
        <v>36280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26510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62790</v>
      </c>
      <c r="C1115" s="2" t="s">
        <v>573</v>
      </c>
      <c r="D1115" s="2" t="str">
        <f t="shared" si="16"/>
        <v>Error?</v>
      </c>
    </row>
    <row r="1116" spans="1:4" x14ac:dyDescent="0.2">
      <c r="A1116" s="5">
        <v>1055</v>
      </c>
      <c r="B1116" s="138">
        <f>'Expenditures 15-22'!K44</f>
        <v>9030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9030</v>
      </c>
      <c r="C1119" s="2" t="s">
        <v>573</v>
      </c>
      <c r="D1119" s="2" t="str">
        <f t="shared" si="16"/>
        <v>Error?</v>
      </c>
    </row>
    <row r="1120" spans="1:4" x14ac:dyDescent="0.2">
      <c r="A1120" s="5">
        <v>1059</v>
      </c>
      <c r="B1120" s="138">
        <f>'Expenditures 15-22'!K49</f>
        <v>30813</v>
      </c>
      <c r="C1120" s="2" t="s">
        <v>573</v>
      </c>
      <c r="D1120" s="2" t="str">
        <f t="shared" si="16"/>
        <v>Error?</v>
      </c>
    </row>
    <row r="1121" spans="1:4" x14ac:dyDescent="0.2">
      <c r="A1121" s="5">
        <v>1060</v>
      </c>
      <c r="B1121" s="138">
        <f>'Expenditures 15-22'!K50</f>
        <v>161541</v>
      </c>
      <c r="C1121" s="2" t="s">
        <v>573</v>
      </c>
      <c r="D1121" s="2" t="str">
        <f t="shared" si="16"/>
        <v>Error?</v>
      </c>
    </row>
    <row r="1122" spans="1:4" x14ac:dyDescent="0.2">
      <c r="A1122" s="5">
        <v>1061</v>
      </c>
      <c r="B1122" s="138">
        <f>'Expenditures 15-22'!K53</f>
        <v>192354</v>
      </c>
      <c r="C1122" s="2" t="s">
        <v>573</v>
      </c>
      <c r="D1122" s="2" t="str">
        <f t="shared" si="16"/>
        <v>Error?</v>
      </c>
    </row>
    <row r="1123" spans="1:4" x14ac:dyDescent="0.2">
      <c r="A1123" s="5">
        <v>1062</v>
      </c>
      <c r="B1123" s="138">
        <f>'Expenditures 15-22'!K55</f>
        <v>141679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141679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33591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118816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152407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2048</v>
      </c>
      <c r="C1142" s="2" t="s">
        <v>573</v>
      </c>
      <c r="D1142" s="2" t="str">
        <f t="shared" si="16"/>
        <v>Error?</v>
      </c>
    </row>
    <row r="1143" spans="1:4" x14ac:dyDescent="0.2">
      <c r="A1143" s="5">
        <v>1082</v>
      </c>
      <c r="B1143" s="138">
        <f>'Expenditures 15-22'!K74</f>
        <v>560308</v>
      </c>
      <c r="C1143" s="2" t="s">
        <v>573</v>
      </c>
      <c r="D1143" s="2" t="str">
        <f t="shared" si="16"/>
        <v>Error?</v>
      </c>
    </row>
    <row r="1144" spans="1:4" x14ac:dyDescent="0.2">
      <c r="A1144" s="5">
        <v>1083</v>
      </c>
      <c r="B1144" s="138">
        <f>'Expenditures 15-22'!K75</f>
        <v>36228</v>
      </c>
      <c r="C1144" s="2" t="s">
        <v>573</v>
      </c>
      <c r="D1144" s="2" t="str">
        <f t="shared" si="16"/>
        <v>Error?</v>
      </c>
    </row>
    <row r="1145" spans="1:4" x14ac:dyDescent="0.2">
      <c r="A1145" s="5">
        <v>1084</v>
      </c>
      <c r="B1145" s="138">
        <f>'Expenditures 15-22'!K102</f>
        <v>267246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3218257</v>
      </c>
      <c r="C1152" s="2" t="s">
        <v>573</v>
      </c>
      <c r="D1152" s="2" t="str">
        <f t="shared" si="17"/>
        <v>Error?</v>
      </c>
    </row>
    <row r="1153" spans="1:4" x14ac:dyDescent="0.2">
      <c r="A1153" s="5">
        <v>1092</v>
      </c>
      <c r="B1153" s="138">
        <f>'Expenditures 15-22'!K115</f>
        <v>-232454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90217</v>
      </c>
      <c r="D1221" s="2" t="str">
        <f t="shared" si="18"/>
        <v>Error?</v>
      </c>
    </row>
    <row r="1222" spans="1:4" x14ac:dyDescent="0.2">
      <c r="A1222" s="10">
        <v>1161</v>
      </c>
      <c r="D1222" s="2" t="str">
        <f t="shared" si="18"/>
        <v>OK</v>
      </c>
    </row>
    <row r="1223" spans="1:4" x14ac:dyDescent="0.2">
      <c r="A1223" s="5">
        <v>1162</v>
      </c>
      <c r="B1223" s="138">
        <f>'Expenditures 15-22'!C127</f>
        <v>90217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90217</v>
      </c>
      <c r="C1225" s="2" t="s">
        <v>573</v>
      </c>
      <c r="D1225" s="2" t="str">
        <f t="shared" si="18"/>
        <v>Error?</v>
      </c>
    </row>
    <row r="1226" spans="1:4" x14ac:dyDescent="0.2">
      <c r="A1226" s="5">
        <v>1165</v>
      </c>
      <c r="B1226" s="138">
        <f>'Expenditures 15-22'!C151</f>
        <v>90217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16833</v>
      </c>
      <c r="D1229" s="2" t="str">
        <f t="shared" si="18"/>
        <v>Error?</v>
      </c>
    </row>
    <row r="1230" spans="1:4" x14ac:dyDescent="0.2">
      <c r="A1230" s="10">
        <v>1169</v>
      </c>
      <c r="D1230" s="2" t="str">
        <f t="shared" si="18"/>
        <v>OK</v>
      </c>
    </row>
    <row r="1231" spans="1:4" x14ac:dyDescent="0.2">
      <c r="A1231" s="5">
        <v>1170</v>
      </c>
      <c r="B1231" s="138">
        <f>'Expenditures 15-22'!D127</f>
        <v>16833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16833</v>
      </c>
      <c r="C1233" s="2" t="s">
        <v>573</v>
      </c>
      <c r="D1233" s="2" t="str">
        <f t="shared" si="18"/>
        <v>Error?</v>
      </c>
    </row>
    <row r="1234" spans="1:4" x14ac:dyDescent="0.2">
      <c r="A1234" s="5">
        <v>1173</v>
      </c>
      <c r="B1234" s="138">
        <f>'Expenditures 15-22'!D151</f>
        <v>16833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94103</v>
      </c>
      <c r="D1237" s="2" t="str">
        <f t="shared" si="18"/>
        <v>Error?</v>
      </c>
    </row>
    <row r="1238" spans="1:4" x14ac:dyDescent="0.2">
      <c r="A1238" s="10">
        <v>1177</v>
      </c>
      <c r="D1238" s="2" t="str">
        <f t="shared" si="18"/>
        <v>OK</v>
      </c>
    </row>
    <row r="1239" spans="1:4" x14ac:dyDescent="0.2">
      <c r="A1239" s="5">
        <v>1178</v>
      </c>
      <c r="B1239" s="138">
        <f>'Expenditures 15-22'!E127</f>
        <v>94103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94103</v>
      </c>
      <c r="C1241" s="2" t="s">
        <v>573</v>
      </c>
      <c r="D1241" s="2" t="str">
        <f t="shared" si="18"/>
        <v>Error?</v>
      </c>
    </row>
    <row r="1242" spans="1:4" x14ac:dyDescent="0.2">
      <c r="A1242" s="5">
        <v>1181</v>
      </c>
      <c r="B1242" s="138">
        <f>'Expenditures 15-22'!E151</f>
        <v>94103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99589</v>
      </c>
      <c r="D1245" s="2" t="str">
        <f t="shared" si="18"/>
        <v>Error?</v>
      </c>
    </row>
    <row r="1246" spans="1:4" x14ac:dyDescent="0.2">
      <c r="A1246" s="10">
        <v>1185</v>
      </c>
      <c r="D1246" s="2" t="str">
        <f t="shared" si="18"/>
        <v>OK</v>
      </c>
    </row>
    <row r="1247" spans="1:4" x14ac:dyDescent="0.2">
      <c r="A1247" s="5">
        <v>1186</v>
      </c>
      <c r="B1247" s="138">
        <f>'Expenditures 15-22'!F127</f>
        <v>99589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99589</v>
      </c>
      <c r="C1249" s="2" t="s">
        <v>573</v>
      </c>
      <c r="D1249" s="2" t="str">
        <f t="shared" si="18"/>
        <v>Error?</v>
      </c>
    </row>
    <row r="1250" spans="1:4" x14ac:dyDescent="0.2">
      <c r="A1250" s="5">
        <v>1189</v>
      </c>
      <c r="B1250" s="138">
        <f>'Expenditures 15-22'!F151</f>
        <v>99589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13617</v>
      </c>
      <c r="D1252" s="2" t="str">
        <f t="shared" si="18"/>
        <v>Error?</v>
      </c>
    </row>
    <row r="1253" spans="1:4" x14ac:dyDescent="0.2">
      <c r="A1253" s="5">
        <v>1192</v>
      </c>
      <c r="B1253" s="138">
        <f>'Expenditures 15-22'!G124</f>
        <v>206679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220296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220296</v>
      </c>
      <c r="C1258" s="2" t="s">
        <v>573</v>
      </c>
      <c r="D1258" s="2" t="str">
        <f t="shared" si="18"/>
        <v>Error?</v>
      </c>
    </row>
    <row r="1259" spans="1:4" x14ac:dyDescent="0.2">
      <c r="A1259" s="5">
        <v>1198</v>
      </c>
      <c r="B1259" s="138">
        <f>'Expenditures 15-22'!G151</f>
        <v>220296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13617</v>
      </c>
      <c r="C1275" s="2" t="s">
        <v>573</v>
      </c>
      <c r="D1275" s="2" t="str">
        <f t="shared" si="18"/>
        <v>Error?</v>
      </c>
    </row>
    <row r="1276" spans="1:4" x14ac:dyDescent="0.2">
      <c r="A1276" s="5">
        <v>1215</v>
      </c>
      <c r="B1276" s="138">
        <f>'Expenditures 15-22'!K124</f>
        <v>507421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521038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521038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521038</v>
      </c>
      <c r="C1288" s="2" t="s">
        <v>573</v>
      </c>
      <c r="D1288" s="2" t="str">
        <f t="shared" si="19"/>
        <v>Error?</v>
      </c>
    </row>
    <row r="1289" spans="1:4" x14ac:dyDescent="0.2">
      <c r="A1289" s="5">
        <v>1228</v>
      </c>
      <c r="B1289" s="138">
        <f>'Expenditures 15-22'!K152</f>
        <v>-153402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60419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154100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214519</v>
      </c>
      <c r="C1317" s="2" t="s">
        <v>573</v>
      </c>
      <c r="D1317" s="2" t="str">
        <f t="shared" si="19"/>
        <v>Error?</v>
      </c>
    </row>
    <row r="1318" spans="1:4" x14ac:dyDescent="0.2">
      <c r="A1318" s="5">
        <v>1257</v>
      </c>
      <c r="B1318" s="138">
        <f>'Expenditures 15-22'!H174</f>
        <v>214519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60419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154100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214519</v>
      </c>
      <c r="C1331" s="2" t="s">
        <v>573</v>
      </c>
      <c r="D1331" s="2" t="str">
        <f t="shared" si="19"/>
        <v>Error?</v>
      </c>
    </row>
    <row r="1332" spans="1:4" x14ac:dyDescent="0.2">
      <c r="A1332" s="5">
        <v>1271</v>
      </c>
      <c r="B1332" s="138">
        <f>'Expenditures 15-22'!K174</f>
        <v>214519</v>
      </c>
      <c r="C1332" s="2" t="s">
        <v>573</v>
      </c>
      <c r="D1332" s="2" t="str">
        <f t="shared" si="19"/>
        <v>Error?</v>
      </c>
    </row>
    <row r="1333" spans="1:4" x14ac:dyDescent="0.2">
      <c r="A1333" s="5">
        <v>1272</v>
      </c>
      <c r="B1333" s="138">
        <f>'Expenditures 15-22'!K175</f>
        <v>-4478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51628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51628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51628</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51628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51628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51628</v>
      </c>
      <c r="C1388" s="2" t="s">
        <v>573</v>
      </c>
      <c r="D1388" s="2" t="str">
        <f t="shared" si="20"/>
        <v>Error?</v>
      </c>
    </row>
    <row r="1389" spans="1:4" x14ac:dyDescent="0.2">
      <c r="A1389" s="5">
        <v>1328</v>
      </c>
      <c r="B1389" s="138">
        <f>'Expenditures 15-22'!K211</f>
        <v>2269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37110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505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3178</v>
      </c>
      <c r="D1423" s="2" t="str">
        <f t="shared" si="21"/>
        <v>Error?</v>
      </c>
    </row>
    <row r="1424" spans="1:4" x14ac:dyDescent="0.2">
      <c r="A1424" s="5">
        <v>1363</v>
      </c>
      <c r="B1424" s="138">
        <f>'Expenditures 15-22'!D257</f>
        <v>13781</v>
      </c>
      <c r="C1424" s="2" t="s">
        <v>573</v>
      </c>
      <c r="D1424" s="2" t="str">
        <f t="shared" si="21"/>
        <v>Error?</v>
      </c>
    </row>
    <row r="1425" spans="1:4" x14ac:dyDescent="0.2">
      <c r="A1425" s="5">
        <v>1364</v>
      </c>
      <c r="B1425" s="138">
        <f>'Expenditures 15-22'!D259</f>
        <v>10069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10069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3867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15627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6054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25548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49903</v>
      </c>
      <c r="C1446" s="2" t="s">
        <v>573</v>
      </c>
      <c r="D1446" s="2" t="str">
        <f t="shared" si="21"/>
        <v>Error?</v>
      </c>
    </row>
    <row r="1447" spans="1:4" x14ac:dyDescent="0.2">
      <c r="A1447" s="5">
        <v>1386</v>
      </c>
      <c r="B1447" s="138">
        <f>'Expenditures 15-22'!D280</f>
        <v>302</v>
      </c>
      <c r="D1447" s="2" t="str">
        <f t="shared" si="21"/>
        <v>Error?</v>
      </c>
    </row>
    <row r="1448" spans="1:4" x14ac:dyDescent="0.2">
      <c r="A1448" s="5">
        <v>1387</v>
      </c>
      <c r="B1448" s="138">
        <f>'Expenditures 15-22'!D295</f>
        <v>87315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37110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505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505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3178</v>
      </c>
      <c r="C1487" s="2" t="s">
        <v>573</v>
      </c>
      <c r="D1487" s="2" t="str">
        <f t="shared" si="22"/>
        <v>Error?</v>
      </c>
    </row>
    <row r="1488" spans="1:4" x14ac:dyDescent="0.2">
      <c r="A1488" s="5">
        <v>1427</v>
      </c>
      <c r="B1488" s="138">
        <f>'Expenditures 15-22'!K257</f>
        <v>13781</v>
      </c>
      <c r="C1488" s="2" t="s">
        <v>573</v>
      </c>
      <c r="D1488" s="2" t="str">
        <f t="shared" si="22"/>
        <v>Error?</v>
      </c>
    </row>
    <row r="1489" spans="1:4" x14ac:dyDescent="0.2">
      <c r="A1489" s="5">
        <v>1428</v>
      </c>
      <c r="B1489" s="138">
        <f>'Expenditures 15-22'!K259</f>
        <v>10069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10069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3867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15627</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6054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25548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49903</v>
      </c>
      <c r="C1510" s="2" t="s">
        <v>573</v>
      </c>
      <c r="D1510" s="2" t="str">
        <f t="shared" si="22"/>
        <v>Error?</v>
      </c>
    </row>
    <row r="1511" spans="1:4" x14ac:dyDescent="0.2">
      <c r="A1511" s="5">
        <v>1450</v>
      </c>
      <c r="B1511" s="138">
        <f>'Expenditures 15-22'!K280</f>
        <v>302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87315</v>
      </c>
      <c r="C1517" s="2" t="s">
        <v>573</v>
      </c>
      <c r="D1517" s="2" t="str">
        <f t="shared" si="22"/>
        <v>Error?</v>
      </c>
    </row>
    <row r="1518" spans="1:4" x14ac:dyDescent="0.2">
      <c r="A1518" s="5">
        <v>1457</v>
      </c>
      <c r="B1518" s="138">
        <f>'Expenditures 15-22'!K296</f>
        <v>3235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2074943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1842489</v>
      </c>
      <c r="C1630" s="2" t="s">
        <v>573</v>
      </c>
      <c r="D1630" s="2" t="str">
        <f t="shared" si="24"/>
        <v>Error?</v>
      </c>
    </row>
    <row r="1631" spans="1:4" x14ac:dyDescent="0.2">
      <c r="A1631" s="5">
        <v>1570</v>
      </c>
      <c r="B1631" s="138">
        <f>'Acct Summary 7-8'!D79</f>
        <v>831427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678025</v>
      </c>
      <c r="C1644" s="2" t="s">
        <v>573</v>
      </c>
      <c r="D1644" s="2" t="str">
        <f t="shared" si="24"/>
        <v>Error?</v>
      </c>
    </row>
    <row r="1645" spans="1:4" x14ac:dyDescent="0.2">
      <c r="A1645" s="5">
        <v>1584</v>
      </c>
      <c r="B1645" s="138">
        <f>'Acct Summary 7-8'!E79</f>
        <v>356261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351783</v>
      </c>
      <c r="C1658" s="2" t="s">
        <v>573</v>
      </c>
      <c r="D1658" s="2" t="str">
        <f t="shared" si="24"/>
        <v>Error?</v>
      </c>
    </row>
    <row r="1659" spans="1:4" x14ac:dyDescent="0.2">
      <c r="A1659" s="5">
        <v>1598</v>
      </c>
      <c r="B1659" s="138">
        <f>'Acct Summary 7-8'!F79</f>
        <v>461246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463515</v>
      </c>
      <c r="C1672" s="2" t="s">
        <v>573</v>
      </c>
      <c r="D1672" s="2" t="str">
        <f t="shared" si="25"/>
        <v>Error?</v>
      </c>
    </row>
    <row r="1673" spans="1:4" x14ac:dyDescent="0.2">
      <c r="A1673" s="5">
        <v>1612</v>
      </c>
      <c r="B1673" s="138">
        <f>'Acct Summary 7-8'!G79</f>
        <v>184613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187848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739178</v>
      </c>
      <c r="C1744" s="2" t="s">
        <v>573</v>
      </c>
      <c r="D1744" s="2" t="str">
        <f t="shared" si="26"/>
        <v>Error?</v>
      </c>
    </row>
    <row r="1745" spans="1:5" x14ac:dyDescent="0.2">
      <c r="A1745" s="5">
        <v>1684</v>
      </c>
      <c r="B1745" s="138">
        <f>'Tax Sched 23'!B5</f>
        <v>210438</v>
      </c>
      <c r="C1745" s="2" t="s">
        <v>573</v>
      </c>
      <c r="D1745" s="2" t="str">
        <f t="shared" si="26"/>
        <v>Error?</v>
      </c>
    </row>
    <row r="1746" spans="1:5" x14ac:dyDescent="0.2">
      <c r="A1746" s="5">
        <v>1685</v>
      </c>
      <c r="B1746" s="138">
        <f>'Tax Sched 23'!B6</f>
        <v>193984</v>
      </c>
      <c r="C1746" s="2" t="s">
        <v>573</v>
      </c>
      <c r="D1746" s="2" t="str">
        <f t="shared" si="26"/>
        <v>Error?</v>
      </c>
    </row>
    <row r="1747" spans="1:5" x14ac:dyDescent="0.2">
      <c r="A1747" s="5">
        <v>1686</v>
      </c>
      <c r="B1747" s="138">
        <f>'Tax Sched 23'!B7</f>
        <v>45095</v>
      </c>
      <c r="C1747" s="2" t="s">
        <v>573</v>
      </c>
      <c r="D1747" s="2" t="str">
        <f t="shared" si="26"/>
        <v>Error?</v>
      </c>
    </row>
    <row r="1748" spans="1:5" x14ac:dyDescent="0.2">
      <c r="A1748" s="5">
        <v>1687</v>
      </c>
      <c r="B1748" s="138">
        <f>'Tax Sched 23'!B8</f>
        <v>89645</v>
      </c>
      <c r="C1748" s="2" t="s">
        <v>573</v>
      </c>
      <c r="D1748" s="2" t="str">
        <f t="shared" si="26"/>
        <v>Error?</v>
      </c>
    </row>
    <row r="1749" spans="1:5" x14ac:dyDescent="0.2">
      <c r="A1749" s="5">
        <v>1688</v>
      </c>
      <c r="B1749" s="138">
        <f>'Tax Sched 23'!B10</f>
        <v>18680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323362</v>
      </c>
      <c r="C1752" s="2" t="s">
        <v>573</v>
      </c>
      <c r="D1752" s="2" t="str">
        <f t="shared" si="26"/>
        <v>Error?</v>
      </c>
    </row>
    <row r="1753" spans="1:5" x14ac:dyDescent="0.2">
      <c r="A1753" s="5">
        <v>1692</v>
      </c>
      <c r="B1753" s="138">
        <f>'Tax Sched 23'!B12</f>
        <v>18680</v>
      </c>
      <c r="C1753" s="2" t="s">
        <v>573</v>
      </c>
      <c r="D1753" s="2" t="str">
        <f t="shared" si="26"/>
        <v>Error?</v>
      </c>
    </row>
    <row r="1754" spans="1:5" x14ac:dyDescent="0.2">
      <c r="A1754" s="5">
        <v>1693</v>
      </c>
      <c r="B1754" s="138">
        <f>'Tax Sched 23'!B14</f>
        <v>7516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1680043</v>
      </c>
      <c r="C1759" s="2" t="s">
        <v>573</v>
      </c>
      <c r="D1759" s="2" t="str">
        <f t="shared" si="26"/>
        <v>Error?</v>
      </c>
    </row>
    <row r="1760" spans="1:5" x14ac:dyDescent="0.2">
      <c r="A1760" s="5">
        <v>1699</v>
      </c>
      <c r="B1760" s="138">
        <f>'Tax Sched 23'!D4</f>
        <v>539149</v>
      </c>
      <c r="C1760" s="2" t="s">
        <v>573</v>
      </c>
      <c r="D1760" s="2" t="str">
        <f t="shared" si="26"/>
        <v>Error?</v>
      </c>
    </row>
    <row r="1761" spans="1:5" x14ac:dyDescent="0.2">
      <c r="A1761" s="5">
        <v>1700</v>
      </c>
      <c r="B1761" s="138">
        <f>'Tax Sched 23'!D5</f>
        <v>158586.54999999999</v>
      </c>
      <c r="C1761" s="2" t="s">
        <v>573</v>
      </c>
      <c r="D1761" s="2" t="str">
        <f t="shared" si="26"/>
        <v>Error?</v>
      </c>
    </row>
    <row r="1762" spans="1:5" s="8" customFormat="1" x14ac:dyDescent="0.2">
      <c r="A1762" s="5">
        <v>1701</v>
      </c>
      <c r="B1762" s="138">
        <f>'Tax Sched 23'!D6</f>
        <v>136611</v>
      </c>
      <c r="C1762" s="2" t="s">
        <v>573</v>
      </c>
      <c r="D1762" s="2" t="str">
        <f t="shared" si="26"/>
        <v>Error?</v>
      </c>
      <c r="E1762" s="9"/>
    </row>
    <row r="1763" spans="1:5" x14ac:dyDescent="0.2">
      <c r="A1763" s="5">
        <v>1702</v>
      </c>
      <c r="B1763" s="138">
        <f>'Tax Sched 23'!D7</f>
        <v>32616</v>
      </c>
      <c r="C1763" s="2" t="s">
        <v>573</v>
      </c>
      <c r="D1763" s="2" t="str">
        <f t="shared" si="26"/>
        <v>Error?</v>
      </c>
    </row>
    <row r="1764" spans="1:5" x14ac:dyDescent="0.2">
      <c r="A1764" s="5">
        <v>1703</v>
      </c>
      <c r="B1764" s="138">
        <f>'Tax Sched 23'!D8</f>
        <v>77351</v>
      </c>
      <c r="C1764" s="2" t="s">
        <v>573</v>
      </c>
      <c r="D1764" s="2" t="str">
        <f t="shared" si="26"/>
        <v>Error?</v>
      </c>
    </row>
    <row r="1765" spans="1:5" x14ac:dyDescent="0.2">
      <c r="A1765" s="5">
        <v>1704</v>
      </c>
      <c r="B1765" s="138">
        <f>'Tax Sched 23'!D10</f>
        <v>13557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235037</v>
      </c>
      <c r="C1768" s="2" t="s">
        <v>573</v>
      </c>
      <c r="D1768" s="2" t="str">
        <f t="shared" si="26"/>
        <v>Error?</v>
      </c>
    </row>
    <row r="1769" spans="1:5" x14ac:dyDescent="0.2">
      <c r="A1769" s="5">
        <v>1708</v>
      </c>
      <c r="B1769" s="138">
        <f>'Tax Sched 23'!D12</f>
        <v>13557</v>
      </c>
      <c r="C1769" s="2" t="s">
        <v>573</v>
      </c>
      <c r="D1769" s="2" t="str">
        <f t="shared" si="26"/>
        <v>Error?</v>
      </c>
    </row>
    <row r="1770" spans="1:5" x14ac:dyDescent="0.2">
      <c r="A1770" s="5">
        <v>1709</v>
      </c>
      <c r="B1770" s="138">
        <f>'Tax Sched 23'!D14</f>
        <v>5467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1240273.55</v>
      </c>
      <c r="C1775" s="2" t="s">
        <v>573</v>
      </c>
      <c r="D1775" s="2" t="str">
        <f t="shared" si="26"/>
        <v>Error?</v>
      </c>
    </row>
    <row r="1776" spans="1:5" x14ac:dyDescent="0.2">
      <c r="A1776" s="5">
        <v>1715</v>
      </c>
      <c r="B1776" s="138">
        <f>'Tax Sched 23'!C4</f>
        <v>200029</v>
      </c>
      <c r="D1776" s="2" t="str">
        <f t="shared" si="26"/>
        <v>Error?</v>
      </c>
    </row>
    <row r="1777" spans="1:4" x14ac:dyDescent="0.2">
      <c r="A1777" s="5">
        <v>1716</v>
      </c>
      <c r="B1777" s="138">
        <f>'Tax Sched 23'!C5</f>
        <v>51851.45</v>
      </c>
      <c r="D1777" s="2" t="str">
        <f t="shared" si="26"/>
        <v>Error?</v>
      </c>
    </row>
    <row r="1778" spans="1:4" x14ac:dyDescent="0.2">
      <c r="A1778" s="5">
        <v>1717</v>
      </c>
      <c r="B1778" s="138">
        <f>'Tax Sched 23'!C6</f>
        <v>57373</v>
      </c>
      <c r="D1778" s="2" t="str">
        <f t="shared" si="26"/>
        <v>Error?</v>
      </c>
    </row>
    <row r="1779" spans="1:4" x14ac:dyDescent="0.2">
      <c r="A1779" s="5">
        <v>1718</v>
      </c>
      <c r="B1779" s="138">
        <f>'Tax Sched 23'!C7</f>
        <v>12479</v>
      </c>
      <c r="D1779" s="2" t="str">
        <f t="shared" si="26"/>
        <v>Error?</v>
      </c>
    </row>
    <row r="1780" spans="1:4" x14ac:dyDescent="0.2">
      <c r="A1780" s="5">
        <v>1719</v>
      </c>
      <c r="B1780" s="138">
        <f>'Tax Sched 23'!C8</f>
        <v>12294</v>
      </c>
      <c r="D1780" s="2" t="str">
        <f t="shared" si="26"/>
        <v>Error?</v>
      </c>
    </row>
    <row r="1781" spans="1:4" x14ac:dyDescent="0.2">
      <c r="A1781" s="5">
        <v>1720</v>
      </c>
      <c r="B1781" s="138">
        <f>'Tax Sched 23'!C10</f>
        <v>5123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88325</v>
      </c>
      <c r="D1784" s="2" t="str">
        <f t="shared" si="26"/>
        <v>Error?</v>
      </c>
    </row>
    <row r="1785" spans="1:4" x14ac:dyDescent="0.2">
      <c r="A1785" s="5">
        <v>1724</v>
      </c>
      <c r="B1785" s="138">
        <f>'Tax Sched 23'!C12</f>
        <v>5123</v>
      </c>
      <c r="D1785" s="2" t="str">
        <f t="shared" si="26"/>
        <v>Error?</v>
      </c>
    </row>
    <row r="1786" spans="1:4" x14ac:dyDescent="0.2">
      <c r="A1786" s="5">
        <v>1725</v>
      </c>
      <c r="B1786" s="138">
        <f>'Tax Sched 23'!C14</f>
        <v>2049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439769.45</v>
      </c>
      <c r="C1791" s="2" t="s">
        <v>573</v>
      </c>
      <c r="D1791" s="2" t="str">
        <f t="shared" ref="D1791:D1854" si="27">IF(ISBLANK(B1791),"OK",IF(A1791-B1791=0,"OK","Error?"))</f>
        <v>Error?</v>
      </c>
    </row>
    <row r="1792" spans="1:4" x14ac:dyDescent="0.2">
      <c r="A1792" s="5">
        <v>1731</v>
      </c>
      <c r="B1792" s="138">
        <f>'Tax Sched 23'!F4</f>
        <v>-200029</v>
      </c>
      <c r="C1792" s="2" t="s">
        <v>573</v>
      </c>
      <c r="D1792" s="2" t="str">
        <f t="shared" si="27"/>
        <v>Error?</v>
      </c>
    </row>
    <row r="1793" spans="1:4" x14ac:dyDescent="0.2">
      <c r="A1793" s="5">
        <v>1732</v>
      </c>
      <c r="B1793" s="138">
        <f>'Tax Sched 23'!F5</f>
        <v>-51851.45</v>
      </c>
      <c r="C1793" s="2" t="s">
        <v>573</v>
      </c>
      <c r="D1793" s="2" t="str">
        <f t="shared" si="27"/>
        <v>Error?</v>
      </c>
    </row>
    <row r="1794" spans="1:4" x14ac:dyDescent="0.2">
      <c r="A1794" s="5">
        <v>1733</v>
      </c>
      <c r="B1794" s="138">
        <f>'Tax Sched 23'!F6</f>
        <v>-57373</v>
      </c>
      <c r="C1794" s="2" t="s">
        <v>573</v>
      </c>
      <c r="D1794" s="2" t="str">
        <f t="shared" si="27"/>
        <v>Error?</v>
      </c>
    </row>
    <row r="1795" spans="1:4" x14ac:dyDescent="0.2">
      <c r="A1795" s="5">
        <v>1734</v>
      </c>
      <c r="B1795" s="138">
        <f>'Tax Sched 23'!F7</f>
        <v>-12479</v>
      </c>
      <c r="C1795" s="2" t="s">
        <v>573</v>
      </c>
      <c r="D1795" s="2" t="str">
        <f t="shared" si="27"/>
        <v>Error?</v>
      </c>
    </row>
    <row r="1796" spans="1:4" x14ac:dyDescent="0.2">
      <c r="A1796" s="5">
        <v>1735</v>
      </c>
      <c r="B1796" s="138">
        <f>'Tax Sched 23'!F8</f>
        <v>-12294</v>
      </c>
      <c r="C1796" s="2" t="s">
        <v>573</v>
      </c>
      <c r="D1796" s="2" t="str">
        <f t="shared" si="27"/>
        <v>Error?</v>
      </c>
    </row>
    <row r="1797" spans="1:4" x14ac:dyDescent="0.2">
      <c r="A1797" s="5">
        <v>1736</v>
      </c>
      <c r="B1797" s="138">
        <f>'Tax Sched 23'!F10</f>
        <v>-5123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-88325</v>
      </c>
      <c r="C1800" s="2" t="s">
        <v>573</v>
      </c>
      <c r="D1800" s="2" t="str">
        <f t="shared" si="27"/>
        <v>Error?</v>
      </c>
    </row>
    <row r="1801" spans="1:4" x14ac:dyDescent="0.2">
      <c r="A1801" s="5">
        <v>1740</v>
      </c>
      <c r="B1801" s="138">
        <f>'Tax Sched 23'!F12</f>
        <v>-5123</v>
      </c>
      <c r="C1801" s="2" t="s">
        <v>573</v>
      </c>
      <c r="D1801" s="2" t="str">
        <f t="shared" si="27"/>
        <v>Error?</v>
      </c>
    </row>
    <row r="1802" spans="1:4" x14ac:dyDescent="0.2">
      <c r="A1802" s="5">
        <v>1741</v>
      </c>
      <c r="B1802" s="138">
        <f>'Tax Sched 23'!F14</f>
        <v>-2049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-439769.45</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1549100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7516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7516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7516</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78859</v>
      </c>
      <c r="D2008" s="2" t="str">
        <f t="shared" si="30"/>
        <v>Error?</v>
      </c>
    </row>
    <row r="2009" spans="1:4" x14ac:dyDescent="0.2">
      <c r="A2009" s="5">
        <v>1948</v>
      </c>
      <c r="B2009" s="138">
        <f>'Cap Outlay Deprec 26'!C8</f>
        <v>4359692</v>
      </c>
      <c r="D2009" s="2" t="str">
        <f t="shared" si="30"/>
        <v>Error?</v>
      </c>
    </row>
    <row r="2010" spans="1:4" x14ac:dyDescent="0.2">
      <c r="A2010" s="5">
        <v>1949</v>
      </c>
      <c r="B2010" s="138">
        <f>'Cap Outlay Deprec 26'!C10</f>
        <v>3561732</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104101</v>
      </c>
      <c r="D2012" s="2" t="str">
        <f t="shared" si="30"/>
        <v>Error?</v>
      </c>
    </row>
    <row r="2013" spans="1:4" x14ac:dyDescent="0.2">
      <c r="A2013" s="5">
        <v>1952</v>
      </c>
      <c r="B2013" s="138">
        <f>'Cap Outlay Deprec 26'!C16</f>
        <v>8104384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115910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206679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78859</v>
      </c>
      <c r="C2026" s="2" t="s">
        <v>573</v>
      </c>
      <c r="D2026" s="2" t="str">
        <f t="shared" si="30"/>
        <v>Error?</v>
      </c>
    </row>
    <row r="2027" spans="1:4" x14ac:dyDescent="0.2">
      <c r="A2027" s="5">
        <v>1966</v>
      </c>
      <c r="B2027" s="138">
        <f>'Cap Outlay Deprec 26'!F8</f>
        <v>4359692</v>
      </c>
      <c r="C2027" s="2" t="s">
        <v>573</v>
      </c>
      <c r="D2027" s="2" t="str">
        <f t="shared" si="30"/>
        <v>Error?</v>
      </c>
    </row>
    <row r="2028" spans="1:4" x14ac:dyDescent="0.2">
      <c r="A2028" s="5">
        <v>1967</v>
      </c>
      <c r="B2028" s="138">
        <f>'Cap Outlay Deprec 26'!F10</f>
        <v>3677642</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104101</v>
      </c>
      <c r="C2030" s="2" t="s">
        <v>573</v>
      </c>
      <c r="D2030" s="2" t="str">
        <f t="shared" si="30"/>
        <v>Error?</v>
      </c>
    </row>
    <row r="2031" spans="1:4" x14ac:dyDescent="0.2">
      <c r="A2031" s="5">
        <v>1970</v>
      </c>
      <c r="B2031" s="138">
        <f>'Cap Outlay Deprec 26'!F16</f>
        <v>8311063</v>
      </c>
      <c r="C2031" s="2" t="s">
        <v>573</v>
      </c>
      <c r="D2031" s="2" t="str">
        <f t="shared" si="30"/>
        <v>Error?</v>
      </c>
    </row>
    <row r="2032" spans="1:4" x14ac:dyDescent="0.2">
      <c r="A2032" s="10">
        <v>1971</v>
      </c>
      <c r="D2032" s="2" t="str">
        <f t="shared" si="30"/>
        <v>OK</v>
      </c>
    </row>
    <row r="2033" spans="1:4" x14ac:dyDescent="0.2">
      <c r="A2033" s="5">
        <v>1972</v>
      </c>
      <c r="B2033" s="138">
        <f>'Cap Outlay Deprec 26'!H8</f>
        <v>2275459</v>
      </c>
      <c r="D2033" s="2" t="str">
        <f t="shared" si="30"/>
        <v>Error?</v>
      </c>
    </row>
    <row r="2034" spans="1:4" x14ac:dyDescent="0.2">
      <c r="A2034" s="5">
        <v>1973</v>
      </c>
      <c r="B2034" s="138">
        <f>'Cap Outlay Deprec 26'!H10</f>
        <v>1229744</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93307</v>
      </c>
      <c r="D2036" s="2" t="str">
        <f t="shared" si="30"/>
        <v>Error?</v>
      </c>
    </row>
    <row r="2037" spans="1:4" x14ac:dyDescent="0.2">
      <c r="A2037" s="5">
        <v>1976</v>
      </c>
      <c r="B2037" s="138">
        <f>'Cap Outlay Deprec 26'!H16</f>
        <v>3598510</v>
      </c>
      <c r="C2037" s="2" t="s">
        <v>573</v>
      </c>
      <c r="D2037" s="2" t="str">
        <f t="shared" si="30"/>
        <v>Error?</v>
      </c>
    </row>
    <row r="2038" spans="1:4" x14ac:dyDescent="0.2">
      <c r="A2038" s="10">
        <v>1977</v>
      </c>
      <c r="D2038" s="2" t="str">
        <f t="shared" si="30"/>
        <v>OK</v>
      </c>
    </row>
    <row r="2039" spans="1:4" x14ac:dyDescent="0.2">
      <c r="A2039" s="5">
        <v>1978</v>
      </c>
      <c r="B2039" s="138">
        <f>'Cap Outlay Deprec 26'!I8</f>
        <v>77194</v>
      </c>
      <c r="D2039" s="2" t="str">
        <f t="shared" si="30"/>
        <v>Error?</v>
      </c>
    </row>
    <row r="2040" spans="1:4" x14ac:dyDescent="0.2">
      <c r="A2040" s="5">
        <v>1979</v>
      </c>
      <c r="B2040" s="138">
        <f>'Cap Outlay Deprec 26'!I10</f>
        <v>163967</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2698</v>
      </c>
      <c r="D2042" s="2" t="str">
        <f t="shared" si="30"/>
        <v>Error?</v>
      </c>
    </row>
    <row r="2043" spans="1:4" x14ac:dyDescent="0.2">
      <c r="A2043" s="5">
        <v>1982</v>
      </c>
      <c r="B2043" s="138">
        <f>'Cap Outlay Deprec 26'!I16</f>
        <v>243859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2352653</v>
      </c>
      <c r="C2051" s="2" t="s">
        <v>573</v>
      </c>
      <c r="D2051" s="2" t="str">
        <f t="shared" si="31"/>
        <v>Error?</v>
      </c>
    </row>
    <row r="2052" spans="1:4" x14ac:dyDescent="0.2">
      <c r="A2052" s="5">
        <v>1991</v>
      </c>
      <c r="B2052" s="138">
        <f>'Cap Outlay Deprec 26'!K10</f>
        <v>1393711</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96005</v>
      </c>
      <c r="C2054" s="2" t="s">
        <v>573</v>
      </c>
      <c r="D2054" s="2" t="str">
        <f t="shared" si="31"/>
        <v>Error?</v>
      </c>
    </row>
    <row r="2055" spans="1:4" x14ac:dyDescent="0.2">
      <c r="A2055" s="5">
        <v>1994</v>
      </c>
      <c r="B2055" s="138">
        <f>'Cap Outlay Deprec 26'!K16</f>
        <v>3842369</v>
      </c>
      <c r="C2055" s="2" t="s">
        <v>573</v>
      </c>
      <c r="D2055" s="2" t="str">
        <f t="shared" si="31"/>
        <v>Error?</v>
      </c>
    </row>
    <row r="2056" spans="1:4" x14ac:dyDescent="0.2">
      <c r="A2056" s="5">
        <v>1995</v>
      </c>
      <c r="B2056" s="138">
        <f>'Cap Outlay Deprec 26'!L5</f>
        <v>78859</v>
      </c>
      <c r="C2056" s="2" t="s">
        <v>573</v>
      </c>
      <c r="D2056" s="2" t="str">
        <f t="shared" si="31"/>
        <v>Error?</v>
      </c>
    </row>
    <row r="2057" spans="1:4" x14ac:dyDescent="0.2">
      <c r="A2057" s="5">
        <v>1996</v>
      </c>
      <c r="B2057" s="138">
        <f>'Cap Outlay Deprec 26'!L8</f>
        <v>2007039</v>
      </c>
      <c r="C2057" s="2" t="s">
        <v>573</v>
      </c>
      <c r="D2057" s="2" t="str">
        <f t="shared" si="31"/>
        <v>Error?</v>
      </c>
    </row>
    <row r="2058" spans="1:4" x14ac:dyDescent="0.2">
      <c r="A2058" s="5">
        <v>1997</v>
      </c>
      <c r="B2058" s="138">
        <f>'Cap Outlay Deprec 26'!L10</f>
        <v>2283931</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8096</v>
      </c>
      <c r="C2060" s="2" t="s">
        <v>573</v>
      </c>
      <c r="D2060" s="2" t="str">
        <f t="shared" si="31"/>
        <v>Error?</v>
      </c>
    </row>
    <row r="2061" spans="1:4" x14ac:dyDescent="0.2">
      <c r="A2061" s="5">
        <v>2000</v>
      </c>
      <c r="B2061" s="138">
        <f>'Cap Outlay Deprec 26'!L16</f>
        <v>4468694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267246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33932</v>
      </c>
      <c r="D2435" s="2" t="str">
        <f t="shared" si="37"/>
        <v>Error?</v>
      </c>
    </row>
    <row r="2436" spans="1:4" x14ac:dyDescent="0.2">
      <c r="A2436" s="10">
        <v>2375</v>
      </c>
      <c r="D2436" s="2" t="str">
        <f t="shared" si="37"/>
        <v>OK</v>
      </c>
    </row>
    <row r="2437" spans="1:4" x14ac:dyDescent="0.2">
      <c r="A2437" s="5">
        <v>2376</v>
      </c>
      <c r="B2437" s="138">
        <f>'Assets-Liab 5-6'!D38</f>
        <v>10970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463515</v>
      </c>
      <c r="D2475" s="2" t="str">
        <f t="shared" si="37"/>
        <v>Error?</v>
      </c>
    </row>
    <row r="2476" spans="1:4" x14ac:dyDescent="0.2">
      <c r="A2476" s="10">
        <v>2415</v>
      </c>
      <c r="D2476" s="2" t="str">
        <f t="shared" si="37"/>
        <v>OK</v>
      </c>
    </row>
    <row r="2477" spans="1:4" x14ac:dyDescent="0.2">
      <c r="A2477" s="5">
        <v>2416</v>
      </c>
      <c r="B2477" s="138">
        <f>'Assets-Liab 5-6'!G38</f>
        <v>187848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351783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900109</v>
      </c>
      <c r="C2551" s="2" t="s">
        <v>573</v>
      </c>
      <c r="D2551" s="2" t="str">
        <f t="shared" si="38"/>
        <v>Error?</v>
      </c>
    </row>
    <row r="2552" spans="1:4" x14ac:dyDescent="0.2">
      <c r="A2552" s="10">
        <v>2491</v>
      </c>
      <c r="D2552" s="2" t="str">
        <f t="shared" si="38"/>
        <v>OK</v>
      </c>
    </row>
    <row r="2553" spans="1:4" x14ac:dyDescent="0.2">
      <c r="A2553" s="5">
        <v>2492</v>
      </c>
      <c r="B2553" s="138">
        <f>'Acct Summary 7-8'!C6</f>
        <v>1728925</v>
      </c>
      <c r="C2553" s="2" t="s">
        <v>573</v>
      </c>
      <c r="D2553" s="2" t="str">
        <f t="shared" si="38"/>
        <v>Error?</v>
      </c>
    </row>
    <row r="2554" spans="1:4" x14ac:dyDescent="0.2">
      <c r="A2554" s="5">
        <v>2493</v>
      </c>
      <c r="B2554" s="138">
        <f>'Acct Summary 7-8'!C7</f>
        <v>356769</v>
      </c>
      <c r="C2554" s="2" t="s">
        <v>573</v>
      </c>
      <c r="D2554" s="2" t="str">
        <f t="shared" si="38"/>
        <v>Error?</v>
      </c>
    </row>
    <row r="2555" spans="1:4" x14ac:dyDescent="0.2">
      <c r="A2555" s="5">
        <v>2494</v>
      </c>
      <c r="B2555" s="138">
        <f>'Acct Summary 7-8'!C8</f>
        <v>2985803</v>
      </c>
      <c r="C2555" s="2" t="s">
        <v>573</v>
      </c>
      <c r="D2555" s="2" t="str">
        <f t="shared" si="38"/>
        <v>Error?</v>
      </c>
    </row>
    <row r="2556" spans="1:4" x14ac:dyDescent="0.2">
      <c r="A2556" s="5">
        <v>2495</v>
      </c>
      <c r="B2556" s="138">
        <f>'Acct Summary 7-8'!C12</f>
        <v>2354475</v>
      </c>
      <c r="C2556" s="2" t="s">
        <v>573</v>
      </c>
      <c r="D2556" s="2" t="str">
        <f t="shared" si="38"/>
        <v>Error?</v>
      </c>
    </row>
    <row r="2557" spans="1:4" x14ac:dyDescent="0.2">
      <c r="A2557" s="5">
        <v>2496</v>
      </c>
      <c r="B2557" s="138">
        <f>'Acct Summary 7-8'!C13</f>
        <v>560308</v>
      </c>
      <c r="C2557" s="2" t="s">
        <v>573</v>
      </c>
      <c r="D2557" s="2" t="str">
        <f t="shared" si="38"/>
        <v>Error?</v>
      </c>
    </row>
    <row r="2558" spans="1:4" x14ac:dyDescent="0.2">
      <c r="A2558" s="5">
        <v>2497</v>
      </c>
      <c r="B2558" s="138">
        <f>'Acct Summary 7-8'!C14</f>
        <v>36228</v>
      </c>
      <c r="C2558" s="2" t="s">
        <v>573</v>
      </c>
      <c r="D2558" s="2" t="str">
        <f t="shared" si="38"/>
        <v>Error?</v>
      </c>
    </row>
    <row r="2559" spans="1:4" x14ac:dyDescent="0.2">
      <c r="A2559" s="5">
        <v>2498</v>
      </c>
      <c r="B2559" s="138">
        <f>'Acct Summary 7-8'!C15</f>
        <v>267246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3218257</v>
      </c>
      <c r="C2561" s="2" t="s">
        <v>573</v>
      </c>
      <c r="D2561" s="2" t="str">
        <f t="shared" si="39"/>
        <v>Error?</v>
      </c>
    </row>
    <row r="2562" spans="1:4" x14ac:dyDescent="0.2">
      <c r="A2562" s="5">
        <v>2501</v>
      </c>
      <c r="B2562" s="138">
        <f>'Acct Summary 7-8'!C20</f>
        <v>-232454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367636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367636</v>
      </c>
      <c r="C2568" s="2" t="s">
        <v>573</v>
      </c>
      <c r="D2568" s="2" t="str">
        <f t="shared" si="39"/>
        <v>Error?</v>
      </c>
    </row>
    <row r="2569" spans="1:4" x14ac:dyDescent="0.2">
      <c r="A2569" s="5">
        <v>2508</v>
      </c>
      <c r="B2569" s="138">
        <f>'Acct Summary 7-8'!D13</f>
        <v>521038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521038</v>
      </c>
      <c r="C2573" s="2" t="s">
        <v>573</v>
      </c>
      <c r="D2573" s="2" t="str">
        <f t="shared" si="39"/>
        <v>Error?</v>
      </c>
    </row>
    <row r="2574" spans="1:4" x14ac:dyDescent="0.2">
      <c r="A2574" s="5">
        <v>2513</v>
      </c>
      <c r="B2574" s="138">
        <f>'Acct Summary 7-8'!D20</f>
        <v>-153402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47335</v>
      </c>
      <c r="C2591" s="2" t="s">
        <v>573</v>
      </c>
      <c r="D2591" s="2" t="str">
        <f t="shared" si="39"/>
        <v>Error?</v>
      </c>
    </row>
    <row r="2592" spans="1:4" x14ac:dyDescent="0.2">
      <c r="A2592" s="10">
        <v>2531</v>
      </c>
      <c r="D2592" s="2" t="str">
        <f t="shared" si="39"/>
        <v>OK</v>
      </c>
    </row>
    <row r="2593" spans="1:4" x14ac:dyDescent="0.2">
      <c r="A2593" s="5">
        <v>2532</v>
      </c>
      <c r="B2593" s="138">
        <f>'Acct Summary 7-8'!F6</f>
        <v>6562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53897</v>
      </c>
      <c r="C2595" s="2" t="s">
        <v>573</v>
      </c>
      <c r="D2595" s="2" t="str">
        <f t="shared" si="39"/>
        <v>Error?</v>
      </c>
    </row>
    <row r="2596" spans="1:4" x14ac:dyDescent="0.2">
      <c r="A2596" s="5">
        <v>2535</v>
      </c>
      <c r="B2596" s="138">
        <f>'Acct Summary 7-8'!F13</f>
        <v>51628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51628</v>
      </c>
      <c r="C2600" s="2" t="s">
        <v>573</v>
      </c>
      <c r="D2600" s="2" t="str">
        <f t="shared" si="39"/>
        <v>Error?</v>
      </c>
    </row>
    <row r="2601" spans="1:4" x14ac:dyDescent="0.2">
      <c r="A2601" s="5">
        <v>2540</v>
      </c>
      <c r="B2601" s="138">
        <f>'Acct Summary 7-8'!F20</f>
        <v>2269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90550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90550</v>
      </c>
      <c r="C2606" s="2" t="s">
        <v>573</v>
      </c>
      <c r="D2606" s="2" t="str">
        <f t="shared" si="39"/>
        <v>Error?</v>
      </c>
    </row>
    <row r="2607" spans="1:4" x14ac:dyDescent="0.2">
      <c r="A2607" s="5">
        <v>2546</v>
      </c>
      <c r="B2607" s="138">
        <f>'Acct Summary 7-8'!G12</f>
        <v>37110</v>
      </c>
      <c r="C2607" s="2" t="s">
        <v>573</v>
      </c>
      <c r="D2607" s="2" t="str">
        <f t="shared" si="39"/>
        <v>Error?</v>
      </c>
    </row>
    <row r="2608" spans="1:4" x14ac:dyDescent="0.2">
      <c r="A2608" s="5">
        <v>2547</v>
      </c>
      <c r="B2608" s="138">
        <f>'Acct Summary 7-8'!G13</f>
        <v>49903</v>
      </c>
      <c r="C2608" s="2" t="s">
        <v>573</v>
      </c>
      <c r="D2608" s="2" t="str">
        <f t="shared" si="39"/>
        <v>Error?</v>
      </c>
    </row>
    <row r="2609" spans="1:4" x14ac:dyDescent="0.2">
      <c r="A2609" s="5">
        <v>2548</v>
      </c>
      <c r="B2609" s="138">
        <f>'Acct Summary 7-8'!G14</f>
        <v>302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87315</v>
      </c>
      <c r="C2612" s="2" t="s">
        <v>573</v>
      </c>
      <c r="D2612" s="2" t="str">
        <f t="shared" si="39"/>
        <v>Error?</v>
      </c>
    </row>
    <row r="2613" spans="1:4" x14ac:dyDescent="0.2">
      <c r="A2613" s="5">
        <v>2552</v>
      </c>
      <c r="B2613" s="138">
        <f>'Acct Summary 7-8'!G20</f>
        <v>3235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210041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210041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214519</v>
      </c>
      <c r="C2634" s="2" t="s">
        <v>573</v>
      </c>
      <c r="D2634" s="2" t="str">
        <f t="shared" si="40"/>
        <v>Error?</v>
      </c>
    </row>
    <row r="2635" spans="1:4" x14ac:dyDescent="0.2">
      <c r="A2635" s="5">
        <v>2574</v>
      </c>
      <c r="B2635" s="138">
        <f>'Acct Summary 7-8'!E17</f>
        <v>214519</v>
      </c>
      <c r="C2635" s="2" t="s">
        <v>573</v>
      </c>
      <c r="D2635" s="2" t="str">
        <f t="shared" si="40"/>
        <v>Error?</v>
      </c>
    </row>
    <row r="2636" spans="1:4" x14ac:dyDescent="0.2">
      <c r="A2636" s="5">
        <v>2575</v>
      </c>
      <c r="B2636" s="138">
        <f>'Acct Summary 7-8'!E20</f>
        <v>-4478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479510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32741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479510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479510</v>
      </c>
      <c r="C2913" s="2" t="s">
        <v>573</v>
      </c>
      <c r="D2913" s="2" t="str">
        <f t="shared" si="44"/>
        <v>Error?</v>
      </c>
    </row>
    <row r="2914" spans="1:4" x14ac:dyDescent="0.2">
      <c r="A2914" s="5">
        <v>2853</v>
      </c>
      <c r="B2914" s="138">
        <f>'Assets-Liab 5-6'!L33</f>
        <v>32741</v>
      </c>
      <c r="D2914" s="2" t="str">
        <f t="shared" si="44"/>
        <v>Error?</v>
      </c>
    </row>
    <row r="2915" spans="1:4" x14ac:dyDescent="0.2">
      <c r="A2915" s="10">
        <v>2854</v>
      </c>
      <c r="D2915" s="2" t="str">
        <f t="shared" si="44"/>
        <v>OK</v>
      </c>
    </row>
    <row r="2916" spans="1:4" x14ac:dyDescent="0.2">
      <c r="A2916" s="5">
        <v>2855</v>
      </c>
      <c r="B2916" s="138">
        <f>'Assets-Liab 5-6'!L34</f>
        <v>32741</v>
      </c>
      <c r="C2916" s="2" t="s">
        <v>573</v>
      </c>
      <c r="D2916" s="2" t="str">
        <f t="shared" si="44"/>
        <v>Error?</v>
      </c>
    </row>
    <row r="2917" spans="1:4" x14ac:dyDescent="0.2">
      <c r="A2917" s="5">
        <v>2856</v>
      </c>
      <c r="B2917" s="138">
        <f>'Assets-Liab 5-6'!L41</f>
        <v>32741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121962</v>
      </c>
      <c r="D3055" s="2" t="str">
        <f t="shared" si="46"/>
        <v>Error?</v>
      </c>
    </row>
    <row r="3056" spans="1:4" x14ac:dyDescent="0.2">
      <c r="A3056" s="5">
        <v>2995</v>
      </c>
      <c r="B3056" s="138">
        <f>'Expenditures 15-22'!D10</f>
        <v>29262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23966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175190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20921</v>
      </c>
      <c r="C3225" s="2" t="s">
        <v>573</v>
      </c>
      <c r="D3225" s="2" t="str">
        <f t="shared" si="49"/>
        <v>Error?</v>
      </c>
    </row>
    <row r="3226" spans="1:4" x14ac:dyDescent="0.2">
      <c r="A3226" s="5">
        <v>3165</v>
      </c>
      <c r="B3226" s="138">
        <f>'Acct Summary 7-8'!I8</f>
        <v>20921</v>
      </c>
      <c r="C3226" s="2" t="s">
        <v>573</v>
      </c>
      <c r="D3226" s="2" t="str">
        <f t="shared" si="49"/>
        <v>Error?</v>
      </c>
    </row>
    <row r="3227" spans="1:4" x14ac:dyDescent="0.2">
      <c r="A3227" s="5">
        <v>3166</v>
      </c>
      <c r="B3227" s="138">
        <f>'Acct Summary 7-8'!I20</f>
        <v>20921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-232454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-153402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3235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-4478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20921</v>
      </c>
      <c r="C3320" s="2" t="s">
        <v>573</v>
      </c>
      <c r="D3320" s="2" t="str">
        <f t="shared" si="50"/>
        <v>Error?</v>
      </c>
    </row>
    <row r="3321" spans="1:4" x14ac:dyDescent="0.2">
      <c r="A3321" s="5">
        <v>3260</v>
      </c>
      <c r="B3321" s="138">
        <f>'Acct Summary 7-8'!I79</f>
        <v>458589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479510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78110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10615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957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90339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20739</v>
      </c>
      <c r="D3387" s="2" t="str">
        <f t="shared" si="51"/>
        <v>Error?</v>
      </c>
    </row>
    <row r="3388" spans="1:4" x14ac:dyDescent="0.2">
      <c r="A3388" s="5">
        <v>3327</v>
      </c>
      <c r="B3388" s="138">
        <f>'Expenditures 15-22'!D217</f>
        <v>8442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20739</v>
      </c>
      <c r="C3390" s="2" t="s">
        <v>573</v>
      </c>
      <c r="D3390" s="2" t="str">
        <f t="shared" si="51"/>
        <v>Error?</v>
      </c>
    </row>
    <row r="3391" spans="1:4" x14ac:dyDescent="0.2">
      <c r="A3391" s="5">
        <v>3330</v>
      </c>
      <c r="B3391" s="138">
        <f>'Expenditures 15-22'!K217</f>
        <v>8442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1842489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678025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351783</v>
      </c>
      <c r="D3417" s="2" t="str">
        <f t="shared" si="52"/>
        <v>Error?</v>
      </c>
    </row>
    <row r="3418" spans="1:4" x14ac:dyDescent="0.2">
      <c r="A3418" s="10">
        <v>3357</v>
      </c>
      <c r="D3418" s="2" t="str">
        <f t="shared" si="52"/>
        <v>OK</v>
      </c>
    </row>
    <row r="3419" spans="1:4" x14ac:dyDescent="0.2">
      <c r="A3419" s="5">
        <v>3358</v>
      </c>
      <c r="B3419" s="138">
        <f>'Assets-Liab 5-6'!F4</f>
        <v>463515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187848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479510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32741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90769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90769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90769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324234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324234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324234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324234</v>
      </c>
      <c r="C3568" s="2" t="s">
        <v>573</v>
      </c>
      <c r="D3568" s="2" t="str">
        <f t="shared" si="54"/>
        <v>Error?</v>
      </c>
    </row>
    <row r="3569" spans="1:4" x14ac:dyDescent="0.2">
      <c r="A3569" s="5">
        <v>3508</v>
      </c>
      <c r="B3569" s="138">
        <f>'Acct Summary 7-8'!K4</f>
        <v>20016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20016</v>
      </c>
      <c r="C3571" s="2" t="s">
        <v>573</v>
      </c>
      <c r="D3571" s="2" t="str">
        <f t="shared" si="54"/>
        <v>Error?</v>
      </c>
    </row>
    <row r="3572" spans="1:4" x14ac:dyDescent="0.2">
      <c r="A3572" s="5">
        <v>3511</v>
      </c>
      <c r="B3572" s="138">
        <f>'Acct Summary 7-8'!K13</f>
        <v>36372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36372</v>
      </c>
      <c r="C3575" s="2" t="s">
        <v>573</v>
      </c>
      <c r="D3575" s="2" t="str">
        <f t="shared" si="54"/>
        <v>Error?</v>
      </c>
    </row>
    <row r="3576" spans="1:4" x14ac:dyDescent="0.2">
      <c r="A3576" s="5">
        <v>3515</v>
      </c>
      <c r="B3576" s="138">
        <f>'Acct Summary 7-8'!K20</f>
        <v>-16356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-16356</v>
      </c>
      <c r="C3588" s="2" t="s">
        <v>573</v>
      </c>
      <c r="D3588" s="2" t="str">
        <f t="shared" si="55"/>
        <v>Error?</v>
      </c>
    </row>
    <row r="3589" spans="1:4" x14ac:dyDescent="0.2">
      <c r="A3589" s="5">
        <v>3528</v>
      </c>
      <c r="B3589" s="138">
        <f>'Acct Summary 7-8'!K79</f>
        <v>340590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324234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36372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36372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36372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36372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36372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36372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36372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-16356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33465</v>
      </c>
      <c r="C3725" s="2" t="s">
        <v>573</v>
      </c>
      <c r="D3725" s="2" t="str">
        <f t="shared" si="57"/>
        <v>Error?</v>
      </c>
    </row>
    <row r="3726" spans="1:4" x14ac:dyDescent="0.2">
      <c r="A3726" s="5">
        <v>3665</v>
      </c>
      <c r="B3726" s="138">
        <f>'Tax Sched 23'!D13</f>
        <v>28342</v>
      </c>
      <c r="C3726" s="2" t="s">
        <v>573</v>
      </c>
      <c r="D3726" s="2" t="str">
        <f t="shared" si="57"/>
        <v>Error?</v>
      </c>
    </row>
    <row r="3727" spans="1:4" x14ac:dyDescent="0.2">
      <c r="A3727" s="5">
        <v>3666</v>
      </c>
      <c r="B3727" s="138">
        <f>'Tax Sched 23'!C13</f>
        <v>5123</v>
      </c>
      <c r="D3727" s="2" t="str">
        <f t="shared" si="57"/>
        <v>Error?</v>
      </c>
    </row>
    <row r="3728" spans="1:4" x14ac:dyDescent="0.2">
      <c r="A3728" s="5">
        <v>3667</v>
      </c>
      <c r="B3728" s="138">
        <f>'Tax Sched 23'!F13</f>
        <v>-5123</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1429450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4415253</v>
      </c>
      <c r="C4122" s="2" t="s">
        <v>573</v>
      </c>
      <c r="D4122" s="2" t="str">
        <f t="shared" si="63"/>
        <v>Error?</v>
      </c>
    </row>
    <row r="4123" spans="1:4" x14ac:dyDescent="0.2">
      <c r="A4123" s="5">
        <v>4062</v>
      </c>
      <c r="B4123" s="138">
        <f>'Acct Summary 7-8'!D10</f>
        <v>367636</v>
      </c>
      <c r="C4123" s="2" t="s">
        <v>573</v>
      </c>
      <c r="D4123" s="2" t="str">
        <f t="shared" si="63"/>
        <v>Error?</v>
      </c>
    </row>
    <row r="4124" spans="1:4" x14ac:dyDescent="0.2">
      <c r="A4124" s="5">
        <v>4063</v>
      </c>
      <c r="B4124" s="138">
        <f>'Acct Summary 7-8'!E10</f>
        <v>210041</v>
      </c>
      <c r="C4124" s="2" t="s">
        <v>573</v>
      </c>
      <c r="D4124" s="2" t="str">
        <f t="shared" si="63"/>
        <v>Error?</v>
      </c>
    </row>
    <row r="4125" spans="1:4" x14ac:dyDescent="0.2">
      <c r="A4125" s="5">
        <v>4064</v>
      </c>
      <c r="B4125" s="138">
        <f>'Acct Summary 7-8'!F10</f>
        <v>53897</v>
      </c>
      <c r="C4125" s="2" t="s">
        <v>573</v>
      </c>
      <c r="D4125" s="2" t="str">
        <f t="shared" si="63"/>
        <v>Error?</v>
      </c>
    </row>
    <row r="4126" spans="1:4" x14ac:dyDescent="0.2">
      <c r="A4126" s="5">
        <v>4065</v>
      </c>
      <c r="B4126" s="138">
        <f>'Acct Summary 7-8'!G10</f>
        <v>90550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20921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20016</v>
      </c>
      <c r="C4130" s="2" t="s">
        <v>573</v>
      </c>
      <c r="D4130" s="2" t="str">
        <f t="shared" si="63"/>
        <v>Error?</v>
      </c>
    </row>
    <row r="4131" spans="1:4" x14ac:dyDescent="0.2">
      <c r="A4131" s="5">
        <v>4070</v>
      </c>
      <c r="B4131" s="138">
        <f>'Acct Summary 7-8'!C18</f>
        <v>1429450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4647707</v>
      </c>
      <c r="C4136" s="2" t="s">
        <v>573</v>
      </c>
      <c r="D4136" s="2" t="str">
        <f t="shared" si="63"/>
        <v>Error?</v>
      </c>
    </row>
    <row r="4137" spans="1:4" x14ac:dyDescent="0.2">
      <c r="A4137" s="5">
        <v>4076</v>
      </c>
      <c r="B4137" s="138">
        <f>'Acct Summary 7-8'!D19</f>
        <v>521038</v>
      </c>
      <c r="C4137" s="2" t="s">
        <v>573</v>
      </c>
      <c r="D4137" s="2" t="str">
        <f t="shared" si="63"/>
        <v>Error?</v>
      </c>
    </row>
    <row r="4138" spans="1:4" x14ac:dyDescent="0.2">
      <c r="A4138" s="5">
        <v>4077</v>
      </c>
      <c r="B4138" s="138">
        <f>'Acct Summary 7-8'!E19</f>
        <v>214519</v>
      </c>
      <c r="C4138" s="2" t="s">
        <v>573</v>
      </c>
      <c r="D4138" s="2" t="str">
        <f t="shared" si="63"/>
        <v>Error?</v>
      </c>
    </row>
    <row r="4139" spans="1:4" x14ac:dyDescent="0.2">
      <c r="A4139" s="5">
        <v>4078</v>
      </c>
      <c r="B4139" s="138">
        <f>'Acct Summary 7-8'!F19</f>
        <v>51628</v>
      </c>
      <c r="C4139" s="2" t="s">
        <v>573</v>
      </c>
      <c r="D4139" s="2" t="str">
        <f t="shared" si="63"/>
        <v>Error?</v>
      </c>
    </row>
    <row r="4140" spans="1:4" x14ac:dyDescent="0.2">
      <c r="A4140" s="5">
        <v>4079</v>
      </c>
      <c r="B4140" s="138">
        <f>'Acct Summary 7-8'!G19</f>
        <v>87315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36372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1395000</v>
      </c>
      <c r="C4171" s="2" t="s">
        <v>573</v>
      </c>
      <c r="D4171" s="2" t="str">
        <f t="shared" si="64"/>
        <v>Error?</v>
      </c>
    </row>
    <row r="4172" spans="1:4" x14ac:dyDescent="0.2">
      <c r="A4172" s="5">
        <v>4111</v>
      </c>
      <c r="B4172" s="138">
        <f>'Short-Term Long-Term Debt 24'!J49</f>
        <v>1043217</v>
      </c>
      <c r="C4172" s="2" t="s">
        <v>573</v>
      </c>
      <c r="D4172" s="2" t="str">
        <f t="shared" si="64"/>
        <v>Error?</v>
      </c>
    </row>
    <row r="4173" spans="1:4" x14ac:dyDescent="0.2">
      <c r="A4173" s="5">
        <v>4112</v>
      </c>
      <c r="B4173" s="138">
        <f>'Short-Term Long-Term Debt 24'!H49</f>
        <v>154100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195.24</v>
      </c>
      <c r="C4265" s="2" t="s">
        <v>573</v>
      </c>
      <c r="D4265" s="2" t="str">
        <f t="shared" si="65"/>
        <v>Error?</v>
      </c>
      <c r="E4265" s="128"/>
    </row>
    <row r="4266" spans="1:5" x14ac:dyDescent="0.2">
      <c r="A4266" s="12">
        <v>4205</v>
      </c>
      <c r="B4266" s="138">
        <f>('FP Info 3'!F10)*100000</f>
        <v>56.6</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372</v>
      </c>
      <c r="C4268" s="2" t="s">
        <v>573</v>
      </c>
      <c r="D4268" s="2" t="str">
        <f t="shared" si="65"/>
        <v>Error?</v>
      </c>
    </row>
    <row r="4269" spans="1:5" x14ac:dyDescent="0.2">
      <c r="A4269" s="12">
        <v>4208</v>
      </c>
      <c r="B4269" s="138">
        <f>'FP Info 3'!J16</f>
        <v>3463539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6108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15337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9267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5467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39438297</v>
      </c>
      <c r="D4995" s="2" t="str">
        <f t="shared" si="77"/>
        <v>Error?</v>
      </c>
    </row>
    <row r="4996" spans="1:4" x14ac:dyDescent="0.2">
      <c r="A4996" s="12">
        <v>4935</v>
      </c>
      <c r="B4996" s="138">
        <f>'FP Info 3'!H31</f>
        <v>2721242.4930000002</v>
      </c>
      <c r="D4996" s="2" t="str">
        <f t="shared" si="77"/>
        <v>Error?</v>
      </c>
    </row>
    <row r="4997" spans="1:4" x14ac:dyDescent="0.2">
      <c r="A4997" s="12">
        <v>4936</v>
      </c>
      <c r="B4997" s="138">
        <f>'FP Info 3'!H37</f>
        <v>1395000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18680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739178</v>
      </c>
      <c r="D5061" s="2" t="str">
        <f t="shared" si="78"/>
        <v>Error?</v>
      </c>
    </row>
    <row r="5062" spans="1:4" x14ac:dyDescent="0.2">
      <c r="A5062" s="10">
        <v>5001</v>
      </c>
      <c r="D5062" s="2" t="str">
        <f t="shared" si="78"/>
        <v>OK</v>
      </c>
    </row>
    <row r="5063" spans="1:4" x14ac:dyDescent="0.2">
      <c r="A5063" s="5">
        <v>5002</v>
      </c>
      <c r="B5063" s="138">
        <f>'Revenues 9-14'!C7</f>
        <v>7516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765374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52742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52742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2579</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2579</v>
      </c>
      <c r="C5087" s="2" t="s">
        <v>573</v>
      </c>
      <c r="D5087" s="2" t="str">
        <f t="shared" si="78"/>
        <v>Error?</v>
      </c>
    </row>
    <row r="5088" spans="1:4" x14ac:dyDescent="0.2">
      <c r="A5088" s="5">
        <v>5027</v>
      </c>
      <c r="B5088" s="138">
        <f>'Revenues 9-14'!C65</f>
        <v>9012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9012</v>
      </c>
      <c r="C5090" s="2" t="s">
        <v>573</v>
      </c>
      <c r="D5090" s="2" t="str">
        <f t="shared" si="78"/>
        <v>Error?</v>
      </c>
    </row>
    <row r="5091" spans="1:4" x14ac:dyDescent="0.2">
      <c r="A5091" s="5">
        <v>5030</v>
      </c>
      <c r="B5091" s="138">
        <f>'Revenues 9-14'!C70</f>
        <v>5248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31124</v>
      </c>
      <c r="C5096" s="2" t="s">
        <v>573</v>
      </c>
      <c r="D5096" s="2" t="str">
        <f t="shared" si="78"/>
        <v>Error?</v>
      </c>
    </row>
    <row r="5097" spans="1:4" x14ac:dyDescent="0.2">
      <c r="A5097" s="5">
        <v>5036</v>
      </c>
      <c r="B5097" s="138">
        <f>'Revenues 9-14'!C77</f>
        <v>8758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8758</v>
      </c>
      <c r="C5102" s="2" t="s">
        <v>573</v>
      </c>
      <c r="D5102" s="2" t="str">
        <f t="shared" si="78"/>
        <v>Error?</v>
      </c>
    </row>
    <row r="5103" spans="1:4" x14ac:dyDescent="0.2">
      <c r="A5103" s="5">
        <v>5042</v>
      </c>
      <c r="B5103" s="138">
        <f>'Revenues 9-14'!C84</f>
        <v>18418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18418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6334</v>
      </c>
      <c r="D5119" s="2" t="str">
        <f t="shared" ref="D5119:D5182" si="79">IF(ISBLANK(B5119),"OK",IF(A5119-B5119=0,"OK","Error?"))</f>
        <v>Error?</v>
      </c>
    </row>
    <row r="5120" spans="1:4" x14ac:dyDescent="0.2">
      <c r="A5120" s="5">
        <v>5059</v>
      </c>
      <c r="B5120" s="138">
        <f>'Revenues 9-14'!C108</f>
        <v>12102</v>
      </c>
      <c r="C5120" s="2" t="s">
        <v>573</v>
      </c>
      <c r="D5120" s="2" t="str">
        <f t="shared" si="79"/>
        <v>Error?</v>
      </c>
    </row>
    <row r="5121" spans="1:4" x14ac:dyDescent="0.2">
      <c r="A5121" s="5">
        <v>5060</v>
      </c>
      <c r="B5121" s="138">
        <f>'Revenues 9-14'!C109</f>
        <v>900109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1595542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1595542</v>
      </c>
      <c r="C5132" s="2" t="s">
        <v>573</v>
      </c>
      <c r="D5132" s="2" t="str">
        <f t="shared" si="79"/>
        <v>Error?</v>
      </c>
    </row>
    <row r="5133" spans="1:4" x14ac:dyDescent="0.2">
      <c r="A5133" s="5">
        <v>5072</v>
      </c>
      <c r="B5133" s="138">
        <f>'Revenues 9-14'!C125</f>
        <v>13139</v>
      </c>
      <c r="D5133" s="2" t="str">
        <f t="shared" si="79"/>
        <v>Error?</v>
      </c>
    </row>
    <row r="5134" spans="1:4" x14ac:dyDescent="0.2">
      <c r="A5134" s="5">
        <v>5073</v>
      </c>
      <c r="B5134" s="138">
        <f>'Revenues 9-14'!C126</f>
        <v>2080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89164</v>
      </c>
      <c r="D5137" s="2" t="str">
        <f t="shared" si="79"/>
        <v>Error?</v>
      </c>
    </row>
    <row r="5138" spans="1:4" x14ac:dyDescent="0.2">
      <c r="A5138" s="10">
        <v>5077</v>
      </c>
      <c r="D5138" s="2" t="str">
        <f t="shared" si="79"/>
        <v>OK</v>
      </c>
    </row>
    <row r="5139" spans="1:4" x14ac:dyDescent="0.2">
      <c r="A5139" s="5">
        <v>5078</v>
      </c>
      <c r="B5139" s="138">
        <f>'Revenues 9-14'!C129</f>
        <v>1565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105948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1968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20000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133383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1728925</v>
      </c>
      <c r="C5223" s="2" t="s">
        <v>573</v>
      </c>
      <c r="D5223" s="2" t="str">
        <f t="shared" si="80"/>
        <v>Error?</v>
      </c>
    </row>
    <row r="5224" spans="1:4" x14ac:dyDescent="0.2">
      <c r="A5224" s="5">
        <v>5163</v>
      </c>
      <c r="B5224" s="138">
        <f>'Revenues 9-14'!C173</f>
        <v>1280</v>
      </c>
      <c r="D5224" s="2" t="str">
        <f t="shared" si="80"/>
        <v>Error?</v>
      </c>
    </row>
    <row r="5225" spans="1:4" x14ac:dyDescent="0.2">
      <c r="A5225" s="5">
        <v>5164</v>
      </c>
      <c r="B5225" s="138">
        <f>'Revenues 9-14'!C175</f>
        <v>1280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87235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24391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111626</v>
      </c>
      <c r="C5246" s="2" t="s">
        <v>573</v>
      </c>
      <c r="D5246" s="2" t="str">
        <f t="shared" si="80"/>
        <v>Error?</v>
      </c>
    </row>
    <row r="5247" spans="1:4" x14ac:dyDescent="0.2">
      <c r="A5247" s="5">
        <v>5186</v>
      </c>
      <c r="B5247" s="138">
        <f>'Revenues 9-14'!C200</f>
        <v>65152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9267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65152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139603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139603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8396</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355489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356769</v>
      </c>
      <c r="C5326" s="2" t="s">
        <v>573</v>
      </c>
      <c r="D5326" s="2" t="str">
        <f t="shared" si="82"/>
        <v>Error?</v>
      </c>
    </row>
    <row r="5327" spans="1:5" x14ac:dyDescent="0.2">
      <c r="A5327" s="5">
        <v>5266</v>
      </c>
      <c r="B5327" s="138">
        <f>'Revenues 9-14'!C268</f>
        <v>2985803</v>
      </c>
      <c r="C5327" s="2" t="s">
        <v>573</v>
      </c>
      <c r="D5327" s="2" t="str">
        <f t="shared" si="82"/>
        <v>Error?</v>
      </c>
    </row>
    <row r="5328" spans="1:5" x14ac:dyDescent="0.2">
      <c r="A5328" s="5">
        <v>5267</v>
      </c>
      <c r="B5328" s="138">
        <f>'Revenues 9-14'!D5</f>
        <v>210438</v>
      </c>
      <c r="D5328" s="2" t="str">
        <f t="shared" si="82"/>
        <v>Error?</v>
      </c>
    </row>
    <row r="5329" spans="1:4" x14ac:dyDescent="0.2">
      <c r="A5329" s="10">
        <v>5268</v>
      </c>
      <c r="D5329" s="2" t="str">
        <f t="shared" si="82"/>
        <v>OK</v>
      </c>
    </row>
    <row r="5330" spans="1:4" x14ac:dyDescent="0.2">
      <c r="A5330" s="5">
        <v>5269</v>
      </c>
      <c r="B5330" s="138">
        <f>'Revenues 9-14'!D6</f>
        <v>14785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225223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3705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138108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600</v>
      </c>
      <c r="D5354" s="2" t="str">
        <f t="shared" si="82"/>
        <v>Error?</v>
      </c>
    </row>
    <row r="5355" spans="1:4" x14ac:dyDescent="0.2">
      <c r="A5355" s="5">
        <v>5294</v>
      </c>
      <c r="B5355" s="138">
        <f>'Revenues 9-14'!D108</f>
        <v>138708</v>
      </c>
      <c r="C5355" s="2" t="s">
        <v>573</v>
      </c>
      <c r="D5355" s="2" t="str">
        <f t="shared" si="82"/>
        <v>Error?</v>
      </c>
    </row>
    <row r="5356" spans="1:4" x14ac:dyDescent="0.2">
      <c r="A5356" s="5">
        <v>5295</v>
      </c>
      <c r="B5356" s="138">
        <f>'Revenues 9-14'!D109</f>
        <v>367636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367636</v>
      </c>
      <c r="C5508" s="2" t="s">
        <v>573</v>
      </c>
      <c r="D5508" s="2" t="str">
        <f t="shared" si="85"/>
        <v>Error?</v>
      </c>
    </row>
    <row r="5509" spans="1:4" x14ac:dyDescent="0.2">
      <c r="A5509" s="5">
        <v>5448</v>
      </c>
      <c r="B5509" s="138">
        <f>'Revenues 9-14'!E5</f>
        <v>193984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193984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1606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1606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14451</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14451</v>
      </c>
      <c r="C5526" s="2" t="s">
        <v>573</v>
      </c>
      <c r="D5526" s="2" t="str">
        <f t="shared" si="85"/>
        <v>Error?</v>
      </c>
    </row>
    <row r="5527" spans="1:4" x14ac:dyDescent="0.2">
      <c r="A5527" s="5">
        <v>5466</v>
      </c>
      <c r="B5527" s="138">
        <f>'Revenues 9-14'!E109</f>
        <v>210041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210041</v>
      </c>
      <c r="C5552" s="2" t="s">
        <v>573</v>
      </c>
      <c r="D5552" s="2" t="str">
        <f t="shared" si="85"/>
        <v>Error?</v>
      </c>
    </row>
    <row r="5553" spans="1:4" x14ac:dyDescent="0.2">
      <c r="A5553" s="5">
        <v>5492</v>
      </c>
      <c r="B5553" s="138">
        <f>'Revenues 9-14'!F5</f>
        <v>45095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45095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2240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47335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v>
      </c>
      <c r="D5615" s="2" t="str">
        <f t="shared" si="86"/>
        <v>Error?</v>
      </c>
    </row>
    <row r="5616" spans="1:4" x14ac:dyDescent="0.2">
      <c r="A5616" s="10">
        <v>5555</v>
      </c>
      <c r="D5616" s="2" t="str">
        <f t="shared" si="86"/>
        <v>OK</v>
      </c>
    </row>
    <row r="5617" spans="1:5" x14ac:dyDescent="0.2">
      <c r="A5617" s="5">
        <v>5556</v>
      </c>
      <c r="B5617" s="138">
        <f>'Revenues 9-14'!F153</f>
        <v>6538</v>
      </c>
      <c r="D5617" s="2" t="str">
        <f t="shared" si="86"/>
        <v>Error?</v>
      </c>
    </row>
    <row r="5618" spans="1:5" x14ac:dyDescent="0.2">
      <c r="A5618" s="5">
        <v>5557</v>
      </c>
      <c r="B5618" s="138">
        <f>'Revenues 9-14'!F155</f>
        <v>6562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6562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6562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53897</v>
      </c>
      <c r="C5720" s="2" t="s">
        <v>573</v>
      </c>
      <c r="D5720" s="2" t="str">
        <f t="shared" si="88"/>
        <v>Error?</v>
      </c>
    </row>
    <row r="5721" spans="1:4" x14ac:dyDescent="0.2">
      <c r="A5721" s="5">
        <v>5660</v>
      </c>
      <c r="B5721" s="138">
        <f>'Revenues 9-14'!G5</f>
        <v>89645</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89645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905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905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90550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18680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18680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2241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20921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18680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18680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1336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1336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20016</v>
      </c>
      <c r="C6023" s="2" t="s">
        <v>573</v>
      </c>
      <c r="D6023" s="2" t="str">
        <f t="shared" si="93"/>
        <v>Error?</v>
      </c>
    </row>
    <row r="6024" spans="1:5" x14ac:dyDescent="0.2">
      <c r="A6024" s="5">
        <v>5963</v>
      </c>
      <c r="B6024" s="138">
        <f>'Revenues 9-14'!G109</f>
        <v>90550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20921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20016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25876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324.10000000000002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457232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457232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457232</v>
      </c>
      <c r="D6216" s="2" t="str">
        <f t="shared" si="96"/>
        <v>Error?</v>
      </c>
      <c r="E6216" s="2" t="s">
        <v>190</v>
      </c>
    </row>
    <row r="6217" spans="1:5" x14ac:dyDescent="0.2">
      <c r="A6217">
        <v>6156</v>
      </c>
      <c r="B6217" s="138">
        <f>'Assets-Liab 5-6'!J4</f>
        <v>457232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325787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325787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325787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364162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364162</v>
      </c>
      <c r="D6229" s="2" t="str">
        <f t="shared" si="96"/>
        <v>Error?</v>
      </c>
      <c r="E6229" s="2" t="s">
        <v>190</v>
      </c>
    </row>
    <row r="6230" spans="1:5" x14ac:dyDescent="0.2">
      <c r="A6230">
        <v>6169</v>
      </c>
      <c r="B6230" s="138">
        <f>'Acct Summary 7-8'!J20</f>
        <v>-38375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-38375</v>
      </c>
      <c r="D6263" s="2" t="str">
        <f t="shared" si="96"/>
        <v>Error?</v>
      </c>
      <c r="E6263" s="2" t="s">
        <v>190</v>
      </c>
    </row>
    <row r="6264" spans="1:5" x14ac:dyDescent="0.2">
      <c r="A6264">
        <v>6203</v>
      </c>
      <c r="B6264" s="138">
        <f>'Acct Summary 7-8'!J79</f>
        <v>495607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457232</v>
      </c>
      <c r="D6266" s="2" t="str">
        <f t="shared" si="96"/>
        <v>Error?</v>
      </c>
      <c r="E6266" s="2" t="s">
        <v>190</v>
      </c>
    </row>
    <row r="6267" spans="1:5" x14ac:dyDescent="0.2">
      <c r="A6267">
        <v>6206</v>
      </c>
      <c r="B6267" s="138">
        <f>'Acct Summary 7-8'!C82</f>
        <v>-232454</v>
      </c>
      <c r="D6267" s="2" t="str">
        <f t="shared" si="96"/>
        <v>Error?</v>
      </c>
      <c r="E6267" s="2" t="s">
        <v>190</v>
      </c>
    </row>
    <row r="6268" spans="1:5" x14ac:dyDescent="0.2">
      <c r="A6268">
        <v>6207</v>
      </c>
      <c r="B6268" s="138">
        <f>'Acct Summary 7-8'!D82</f>
        <v>-153402</v>
      </c>
      <c r="D6268" s="2" t="str">
        <f t="shared" si="96"/>
        <v>Error?</v>
      </c>
      <c r="E6268" s="2" t="s">
        <v>190</v>
      </c>
    </row>
    <row r="6269" spans="1:5" x14ac:dyDescent="0.2">
      <c r="A6269">
        <v>6208</v>
      </c>
      <c r="B6269" s="138">
        <f>'Acct Summary 7-8'!E82</f>
        <v>-4478</v>
      </c>
      <c r="D6269" s="2" t="str">
        <f t="shared" si="96"/>
        <v>Error?</v>
      </c>
      <c r="E6269" s="2" t="s">
        <v>190</v>
      </c>
    </row>
    <row r="6270" spans="1:5" x14ac:dyDescent="0.2">
      <c r="A6270">
        <v>6209</v>
      </c>
      <c r="B6270" s="138">
        <f>'Acct Summary 7-8'!F82</f>
        <v>2269</v>
      </c>
      <c r="D6270" s="2" t="str">
        <f t="shared" si="96"/>
        <v>Error?</v>
      </c>
      <c r="E6270" s="2" t="s">
        <v>190</v>
      </c>
    </row>
    <row r="6271" spans="1:5" x14ac:dyDescent="0.2">
      <c r="A6271">
        <v>6210</v>
      </c>
      <c r="B6271" s="138">
        <f>'Acct Summary 7-8'!G82</f>
        <v>3235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20921</v>
      </c>
      <c r="D6273" s="2" t="str">
        <f t="shared" si="97"/>
        <v>Error?</v>
      </c>
      <c r="E6273" s="2" t="s">
        <v>190</v>
      </c>
    </row>
    <row r="6274" spans="1:5" x14ac:dyDescent="0.2">
      <c r="A6274">
        <v>6213</v>
      </c>
      <c r="B6274" s="138">
        <f>'Acct Summary 7-8'!J82</f>
        <v>-38375</v>
      </c>
      <c r="D6274" s="2" t="str">
        <f t="shared" si="97"/>
        <v>Error?</v>
      </c>
      <c r="E6274" s="2" t="s">
        <v>190</v>
      </c>
    </row>
    <row r="6275" spans="1:5" x14ac:dyDescent="0.2">
      <c r="A6275">
        <v>6214</v>
      </c>
      <c r="B6275" s="138">
        <f>'Acct Summary 7-8'!K82</f>
        <v>-16356</v>
      </c>
      <c r="D6275" s="2" t="str">
        <f t="shared" si="97"/>
        <v>Error?</v>
      </c>
      <c r="E6275" s="2" t="s">
        <v>190</v>
      </c>
    </row>
    <row r="6276" spans="1:5" x14ac:dyDescent="0.2">
      <c r="A6276">
        <v>6215</v>
      </c>
      <c r="B6276" s="138">
        <f>'Acct Summary 7-8'!C83</f>
        <v>-0.12616303272366891</v>
      </c>
      <c r="D6276" s="2" t="str">
        <f t="shared" si="97"/>
        <v>Error?</v>
      </c>
      <c r="E6276" s="2" t="s">
        <v>190</v>
      </c>
    </row>
    <row r="6277" spans="1:5" x14ac:dyDescent="0.2">
      <c r="A6277">
        <v>6216</v>
      </c>
      <c r="B6277" s="138">
        <f>'Acct Summary 7-8'!D83</f>
        <v>-0.22624829467939972</v>
      </c>
      <c r="D6277" s="2" t="str">
        <f t="shared" si="97"/>
        <v>Error?</v>
      </c>
      <c r="E6277" s="2" t="s">
        <v>190</v>
      </c>
    </row>
    <row r="6278" spans="1:5" x14ac:dyDescent="0.2">
      <c r="A6278">
        <v>6217</v>
      </c>
      <c r="B6278" s="138">
        <f>'Acct Summary 7-8'!E83</f>
        <v>-1.2729438318508854E-2</v>
      </c>
      <c r="D6278" s="2" t="str">
        <f t="shared" si="97"/>
        <v>Error?</v>
      </c>
      <c r="E6278" s="2" t="s">
        <v>190</v>
      </c>
    </row>
    <row r="6279" spans="1:5" x14ac:dyDescent="0.2">
      <c r="A6279">
        <v>6218</v>
      </c>
      <c r="B6279" s="138">
        <f>'Acct Summary 7-8'!F83</f>
        <v>4.8952029599905076E-3</v>
      </c>
      <c r="D6279" s="2" t="str">
        <f t="shared" si="97"/>
        <v>Error?</v>
      </c>
      <c r="E6279" s="2" t="s">
        <v>190</v>
      </c>
    </row>
    <row r="6280" spans="1:5" x14ac:dyDescent="0.2">
      <c r="A6280">
        <v>6219</v>
      </c>
      <c r="B6280" s="138">
        <f>'Acct Summary 7-8'!G83</f>
        <v>1.7221370469741492E-2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4.3629955579654232E-2</v>
      </c>
      <c r="D6282" s="2" t="str">
        <f t="shared" si="97"/>
        <v>Error?</v>
      </c>
      <c r="E6282" s="2" t="s">
        <v>190</v>
      </c>
    </row>
    <row r="6283" spans="1:5" x14ac:dyDescent="0.2">
      <c r="A6283">
        <v>6222</v>
      </c>
      <c r="B6283" s="138">
        <f>'Acct Summary 7-8'!J83</f>
        <v>-8.3928946355460679E-2</v>
      </c>
      <c r="D6283" s="2" t="str">
        <f t="shared" si="97"/>
        <v>Error?</v>
      </c>
      <c r="E6283" s="2" t="s">
        <v>190</v>
      </c>
    </row>
    <row r="6284" spans="1:5" x14ac:dyDescent="0.2">
      <c r="A6284">
        <v>6223</v>
      </c>
      <c r="B6284" s="138">
        <f>'Acct Summary 7-8'!K83</f>
        <v>-5.0445048946131499E-2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323362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323362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2351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2351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74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74</v>
      </c>
      <c r="D6351" s="2" t="str">
        <f t="shared" si="98"/>
        <v>Error?</v>
      </c>
      <c r="E6351" s="2" t="s">
        <v>190</v>
      </c>
    </row>
    <row r="6352" spans="1:5" x14ac:dyDescent="0.2">
      <c r="A6352">
        <v>6291</v>
      </c>
      <c r="B6352" s="138">
        <f>'Revenues 9-14'!J109</f>
        <v>325787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75277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27117</v>
      </c>
      <c r="D6880" s="2" t="str">
        <f t="shared" si="106"/>
        <v>Error?</v>
      </c>
    </row>
    <row r="6881" spans="1:4" x14ac:dyDescent="0.2">
      <c r="A6881">
        <v>6820</v>
      </c>
      <c r="B6881" s="138">
        <f>'Expenditures 15-22'!K22</f>
        <v>27117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267246</v>
      </c>
      <c r="D6983" s="2" t="str">
        <f t="shared" si="108"/>
        <v>Error?</v>
      </c>
    </row>
    <row r="6984" spans="1:4" x14ac:dyDescent="0.2">
      <c r="A6984">
        <v>6923</v>
      </c>
      <c r="B6984" s="138">
        <f>'Expenditures 15-22'!K86</f>
        <v>267246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267246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364162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325787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396</v>
      </c>
      <c r="D7073" s="2" t="str">
        <f t="shared" si="109"/>
        <v>Error?</v>
      </c>
    </row>
    <row r="7074" spans="1:4" x14ac:dyDescent="0.2">
      <c r="A7074">
        <v>7013</v>
      </c>
      <c r="B7074" s="138">
        <f>'Expenditures 15-22'!K216</f>
        <v>396</v>
      </c>
      <c r="D7074" s="2" t="str">
        <f t="shared" si="109"/>
        <v>Error?</v>
      </c>
    </row>
    <row r="7075" spans="1:4" x14ac:dyDescent="0.2">
      <c r="A7075">
        <v>7014</v>
      </c>
      <c r="B7075" s="138">
        <f>'Expenditures 15-22'!D218</f>
        <v>5654</v>
      </c>
      <c r="D7075" s="2" t="str">
        <f t="shared" si="109"/>
        <v>Error?</v>
      </c>
    </row>
    <row r="7076" spans="1:4" x14ac:dyDescent="0.2">
      <c r="A7076">
        <v>7015</v>
      </c>
      <c r="B7076" s="138">
        <f>'Expenditures 15-22'!K218</f>
        <v>5654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10603</v>
      </c>
      <c r="D7093" s="2" t="str">
        <f t="shared" si="109"/>
        <v>Error?</v>
      </c>
    </row>
    <row r="7094" spans="1:4" x14ac:dyDescent="0.2">
      <c r="A7094">
        <v>7033</v>
      </c>
      <c r="B7094" s="138">
        <f>'Expenditures 15-22'!K254</f>
        <v>10603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8522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8522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175383</v>
      </c>
      <c r="D7172" s="2" t="str">
        <f t="shared" si="111"/>
        <v>Error?</v>
      </c>
    </row>
    <row r="7173" spans="1:4" x14ac:dyDescent="0.2">
      <c r="A7173">
        <v>7112</v>
      </c>
      <c r="B7173" s="138">
        <f>'Expenditures 15-22'!D325</f>
        <v>27216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202599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131680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131680</v>
      </c>
      <c r="D7198" s="2" t="str">
        <f t="shared" si="111"/>
        <v>Error?</v>
      </c>
    </row>
    <row r="7199" spans="1:4" x14ac:dyDescent="0.2">
      <c r="A7199">
        <v>7138</v>
      </c>
      <c r="B7199" s="138">
        <f>'Expenditures 15-22'!C330</f>
        <v>175383</v>
      </c>
      <c r="D7199" s="2" t="str">
        <f t="shared" si="111"/>
        <v>Error?</v>
      </c>
    </row>
    <row r="7200" spans="1:4" x14ac:dyDescent="0.2">
      <c r="A7200">
        <v>7139</v>
      </c>
      <c r="B7200" s="138">
        <f>'Expenditures 15-22'!D330</f>
        <v>27216</v>
      </c>
      <c r="D7200" s="2" t="str">
        <f t="shared" si="111"/>
        <v>Error?</v>
      </c>
    </row>
    <row r="7201" spans="1:4" x14ac:dyDescent="0.2">
      <c r="A7201">
        <v>7140</v>
      </c>
      <c r="B7201" s="138">
        <f>'Expenditures 15-22'!E330</f>
        <v>161563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364162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175383</v>
      </c>
      <c r="D7216" s="2" t="str">
        <f t="shared" si="111"/>
        <v>Error?</v>
      </c>
    </row>
    <row r="7217" spans="1:4" x14ac:dyDescent="0.2">
      <c r="A7217">
        <v>7156</v>
      </c>
      <c r="B7217" s="138">
        <f>'Expenditures 15-22'!D342</f>
        <v>27216</v>
      </c>
      <c r="D7217" s="2" t="str">
        <f t="shared" si="111"/>
        <v>Error?</v>
      </c>
    </row>
    <row r="7218" spans="1:4" x14ac:dyDescent="0.2">
      <c r="A7218">
        <v>7157</v>
      </c>
      <c r="B7218" s="138">
        <f>'Expenditures 15-22'!E342</f>
        <v>161563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364162</v>
      </c>
      <c r="D7224" s="2" t="str">
        <f t="shared" si="111"/>
        <v>Error?</v>
      </c>
    </row>
    <row r="7225" spans="1:4" x14ac:dyDescent="0.2">
      <c r="A7225">
        <v>7164</v>
      </c>
      <c r="B7225" s="138">
        <f>'Expenditures 15-22'!K343</f>
        <v>-38375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62317</v>
      </c>
      <c r="D7251" s="2" t="str">
        <f t="shared" si="112"/>
        <v>Error?</v>
      </c>
    </row>
    <row r="7252" spans="1:4" x14ac:dyDescent="0.2">
      <c r="A7252">
        <f t="shared" si="113"/>
        <v>7191</v>
      </c>
      <c r="B7252" s="138">
        <f>'Expenditures 15-22'!D9</f>
        <v>12918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243859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21041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21041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7516</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138113.13999999998</v>
      </c>
      <c r="D7797" s="2" t="str">
        <f t="shared" si="127"/>
        <v>Error?</v>
      </c>
      <c r="E7797" s="4" t="s">
        <v>1903</v>
      </c>
    </row>
    <row r="7798" spans="1:5" x14ac:dyDescent="0.2">
      <c r="A7798">
        <v>7737</v>
      </c>
      <c r="B7798" s="138">
        <f>'Contracts Paid in CY 29'!F142</f>
        <v>74340.160000000003</v>
      </c>
      <c r="D7798" s="2" t="str">
        <f t="shared" si="127"/>
        <v>Error?</v>
      </c>
      <c r="E7798" s="4" t="s">
        <v>1903</v>
      </c>
    </row>
    <row r="7799" spans="1:5" x14ac:dyDescent="0.2">
      <c r="A7799">
        <v>7738</v>
      </c>
      <c r="B7799" s="138">
        <f>'Contracts Paid in CY 29'!G142</f>
        <v>63772.98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Signal Hill SD 181</v>
      </c>
      <c r="B7" s="2406"/>
      <c r="C7" s="2406"/>
      <c r="D7" s="2407"/>
      <c r="E7" s="2408">
        <f>COVER!A13</f>
        <v>50082181002</v>
      </c>
      <c r="F7" s="2409"/>
      <c r="G7" s="2415">
        <f>COVER!T23</f>
        <v>60008105</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FICK, EGGEMEYER, AND WILLIAMSON CPAS PC</v>
      </c>
      <c r="H9" s="2421"/>
      <c r="I9" s="2421"/>
      <c r="J9" s="2421"/>
      <c r="K9" s="2421"/>
      <c r="L9" s="2422"/>
    </row>
    <row r="10" spans="1:29" ht="13.5" customHeight="1" x14ac:dyDescent="0.2">
      <c r="A10" s="2395" t="str">
        <f>COVER!A38</f>
        <v>Mr. Kelly Bohnenstiehl</v>
      </c>
      <c r="B10" s="2396"/>
      <c r="C10" s="2396"/>
      <c r="D10" s="2396"/>
      <c r="E10" s="2396"/>
      <c r="F10" s="2397"/>
      <c r="G10" s="2389" t="str">
        <f>COVER!T17</f>
        <v>205 S MAIN ST</v>
      </c>
      <c r="H10" s="2390"/>
      <c r="I10" s="2390"/>
      <c r="J10" s="2390"/>
      <c r="K10" s="2390"/>
      <c r="L10" s="2391"/>
    </row>
    <row r="11" spans="1:29" ht="13.5" customHeight="1" x14ac:dyDescent="0.2">
      <c r="A11" s="1184" t="s">
        <v>1519</v>
      </c>
      <c r="B11" s="1185"/>
      <c r="C11" s="1186"/>
      <c r="D11" s="1191"/>
      <c r="E11" s="1186"/>
      <c r="F11" s="1190"/>
      <c r="G11" s="2389" t="str">
        <f>COVER!T19</f>
        <v>COLUMBIA</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JAMES@AFEWCPAS.COM</v>
      </c>
      <c r="J13" s="2402"/>
      <c r="K13" s="2402"/>
      <c r="L13" s="2403"/>
    </row>
    <row r="14" spans="1:29" ht="13.5" customHeight="1" x14ac:dyDescent="0.2">
      <c r="A14" s="2389" t="str">
        <f>COVER!A19</f>
        <v>40 SIGNAL HILL PLACE</v>
      </c>
      <c r="B14" s="2390"/>
      <c r="C14" s="2390"/>
      <c r="D14" s="2390"/>
      <c r="E14" s="2390"/>
      <c r="F14" s="2391"/>
      <c r="G14" s="1195" t="s">
        <v>1185</v>
      </c>
      <c r="H14" s="1193"/>
      <c r="I14" s="1193"/>
      <c r="J14" s="1193"/>
      <c r="K14" s="1193"/>
      <c r="L14" s="1194"/>
    </row>
    <row r="15" spans="1:29" ht="13.5" customHeight="1" x14ac:dyDescent="0.2">
      <c r="A15" s="2389" t="str">
        <f>COVER!A21</f>
        <v>BELLEVILLE</v>
      </c>
      <c r="B15" s="2390"/>
      <c r="C15" s="2390"/>
      <c r="D15" s="2390"/>
      <c r="E15" s="2390"/>
      <c r="F15" s="2391"/>
      <c r="G15" s="2386" t="str">
        <f>COVER!T15</f>
        <v>KEITH SLUSSER</v>
      </c>
      <c r="H15" s="2387"/>
      <c r="I15" s="2387"/>
      <c r="J15" s="2387"/>
      <c r="K15" s="2387"/>
      <c r="L15" s="2388"/>
    </row>
    <row r="16" spans="1:29" ht="12.2" customHeight="1" x14ac:dyDescent="0.2">
      <c r="A16" s="2411">
        <f>COVER!A25</f>
        <v>62223</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618-281-4999</v>
      </c>
      <c r="H18" s="2406"/>
      <c r="I18" s="2406"/>
      <c r="J18" s="2406"/>
      <c r="K18" s="2405" t="str">
        <f>COVER!X21</f>
        <v>618-2819533</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3" zoomScale="125" zoomScaleNormal="125" workbookViewId="0">
      <selection activeCell="D124" sqref="D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Signal Hill SD 181</v>
      </c>
      <c r="B1" s="2404"/>
      <c r="C1" s="2404"/>
      <c r="D1" s="2404"/>
    </row>
    <row r="2" spans="1:11" s="1212" customFormat="1" ht="12.75" x14ac:dyDescent="0.2">
      <c r="A2" s="2428">
        <f>'Single Audit Cover'!E7</f>
        <v>50082181002</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Signal Hill SD 181</v>
      </c>
      <c r="B1" s="2431"/>
      <c r="C1" s="2431"/>
      <c r="D1" s="2431"/>
      <c r="E1" s="2431"/>
    </row>
    <row r="2" spans="1:5" x14ac:dyDescent="0.2">
      <c r="A2" s="2432">
        <f>'Single Audit Cover'!E7</f>
        <v>50082181002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356769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-15337</v>
      </c>
    </row>
    <row r="19" spans="1:4" ht="13.5" thickBot="1" x14ac:dyDescent="0.25">
      <c r="A19" s="1262" t="s">
        <v>1235</v>
      </c>
      <c r="D19" s="1263">
        <f>SUM(D10:D17)</f>
        <v>341432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341432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341432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Signal Hill SD 181</v>
      </c>
      <c r="C1" s="2435"/>
      <c r="D1" s="2435"/>
      <c r="E1" s="2435"/>
      <c r="F1" s="2435"/>
      <c r="G1" s="2435"/>
      <c r="H1" s="2435"/>
      <c r="I1" s="2435"/>
      <c r="J1" s="2435"/>
      <c r="K1" s="2435"/>
      <c r="L1" s="2435"/>
      <c r="M1" s="2435"/>
    </row>
    <row r="2" spans="2:14" ht="15" x14ac:dyDescent="0.2">
      <c r="B2" s="2436">
        <f>'Single Audit Cover'!E7</f>
        <v>50082181002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Signal Hill SD 181</v>
      </c>
      <c r="B1" s="2448"/>
      <c r="C1" s="2448"/>
      <c r="D1" s="2448"/>
      <c r="E1" s="2448"/>
      <c r="F1" s="2448"/>
    </row>
    <row r="2" spans="1:7" ht="13.5" customHeight="1" x14ac:dyDescent="0.2">
      <c r="A2" s="2436">
        <f>'Single Audit Cover'!E7</f>
        <v>50082181002</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Signal Hill SD 181</v>
      </c>
      <c r="C1" s="2463"/>
      <c r="D1" s="2463"/>
      <c r="E1" s="2463"/>
      <c r="F1" s="2463"/>
      <c r="G1" s="2463"/>
      <c r="H1" s="2463"/>
      <c r="I1" s="2463"/>
      <c r="J1" s="1406"/>
    </row>
    <row r="2" spans="2:10" s="317" customFormat="1" ht="12.75" customHeight="1" x14ac:dyDescent="0.2">
      <c r="B2" s="2464">
        <f>'Single Audit Cover'!E7</f>
        <v>50082181002</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Signal Hill SD 181</v>
      </c>
      <c r="C1" s="2462"/>
      <c r="D1" s="2462"/>
      <c r="E1" s="2462"/>
      <c r="F1" s="2462"/>
      <c r="G1" s="2462"/>
      <c r="H1" s="2462"/>
      <c r="I1" s="2462"/>
      <c r="J1" s="2462"/>
      <c r="K1" s="2462"/>
      <c r="L1" s="1371"/>
      <c r="M1" s="1371"/>
    </row>
    <row r="2" spans="1:13" ht="12" customHeight="1" x14ac:dyDescent="0.2">
      <c r="B2" s="2464">
        <f>'Single Audit Cover'!E7</f>
        <v>50082181002</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Signal Hill SD 181</v>
      </c>
      <c r="C1" s="2485"/>
      <c r="D1" s="2485"/>
      <c r="E1" s="2485"/>
      <c r="F1" s="2485"/>
      <c r="G1" s="2485"/>
      <c r="H1" s="2485"/>
      <c r="I1" s="2485"/>
      <c r="J1" s="2485"/>
      <c r="K1" s="2485"/>
      <c r="L1" s="1449"/>
    </row>
    <row r="2" spans="1:12" ht="12.75" customHeight="1" x14ac:dyDescent="0.2">
      <c r="B2" s="2486">
        <f>'Single Audit Cover'!E7</f>
        <v>50082181002</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Signal Hill SD 181</v>
      </c>
      <c r="C1" s="2462"/>
      <c r="D1" s="2462"/>
      <c r="E1" s="1469"/>
    </row>
    <row r="2" spans="2:5" s="1279" customFormat="1" ht="12.75" customHeight="1" x14ac:dyDescent="0.2">
      <c r="B2" s="2464">
        <f>'Single Audit Cover'!E7</f>
        <v>50082181002</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6ce3111e-7420-4802-b50a-75d4e9a0b980"/>
    <ds:schemaRef ds:uri="4d435f69-8686-490b-bd6d-b153bf22ab50"/>
    <ds:schemaRef ds:uri="http://purl.org/dc/elements/1.1/"/>
    <ds:schemaRef ds:uri="http://schemas.microsoft.com/sharepoint/v3"/>
    <ds:schemaRef ds:uri="http://purl.org/dc/dcmitype/"/>
    <ds:schemaRef ds:uri="d21dc803-237d-4c68-8692-8d731fd29118"/>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2019-10-01T14:38:58Z</cp:lastPrinted>
  <dcterms:created xsi:type="dcterms:W3CDTF">2003-10-29T19:06:34Z</dcterms:created>
  <dcterms:modified xsi:type="dcterms:W3CDTF">2019-11-27T19:31:48Z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