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8127DF37-662E-422D-9EB3-CBAC9D3166B5}" xr6:coauthVersionLast="36" xr6:coauthVersionMax="44"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8" i="34" l="1"/>
  <c r="H171" i="29" l="1"/>
  <c r="H6" i="12"/>
  <c r="J32" i="8"/>
  <c r="D268" i="29" l="1"/>
  <c r="D264" i="29"/>
  <c r="D246" i="29"/>
  <c r="D245" i="29"/>
  <c r="D234" i="29"/>
  <c r="D219" i="29"/>
  <c r="D223" i="29"/>
  <c r="D217" i="29"/>
  <c r="D216" i="29"/>
  <c r="H169" i="29"/>
  <c r="G124" i="29"/>
  <c r="E60" i="29"/>
  <c r="F50" i="29"/>
  <c r="E50" i="29"/>
  <c r="F46" i="29"/>
  <c r="F45" i="29"/>
  <c r="F44" i="29"/>
  <c r="F8" i="29"/>
  <c r="C8" i="29"/>
  <c r="E10" i="29"/>
  <c r="D10" i="29"/>
  <c r="D14" i="29"/>
  <c r="C10" i="29"/>
  <c r="F7" i="29"/>
  <c r="D8" i="29"/>
  <c r="C7" i="29"/>
  <c r="D107" i="5" l="1"/>
  <c r="C107" i="5"/>
  <c r="C77"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G28" i="108"/>
  <c r="D31" i="108"/>
  <c r="E31" i="108"/>
  <c r="G31" i="108"/>
  <c r="E33"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B5752" i="106"/>
  <c r="D5752" i="106" s="1"/>
  <c r="B1130" i="106" l="1"/>
  <c r="D1130" i="106" s="1"/>
  <c r="E10" i="108"/>
  <c r="B3730" i="106" s="1"/>
  <c r="D3730" i="106" s="1"/>
  <c r="F50" i="34"/>
  <c r="E38" i="108"/>
  <c r="L22" i="37"/>
  <c r="G14" i="4"/>
  <c r="B2609" i="106" s="1"/>
  <c r="D2609" i="106" s="1"/>
  <c r="L367" i="29"/>
  <c r="F19" i="7"/>
  <c r="B1807" i="106" s="1"/>
  <c r="D1807" i="106" s="1"/>
  <c r="F71" i="34"/>
  <c r="F42" i="34"/>
  <c r="F37" i="34"/>
  <c r="D36" i="108"/>
  <c r="F36" i="108"/>
  <c r="C352" i="29"/>
  <c r="H76" i="4"/>
  <c r="B3298" i="106" s="1"/>
  <c r="D3298" i="106" s="1"/>
  <c r="D24" i="37"/>
  <c r="B4270" i="106" s="1"/>
  <c r="D4270" i="106" s="1"/>
  <c r="F46" i="34"/>
  <c r="G35" i="108"/>
  <c r="D54" i="36"/>
  <c r="G210" i="29"/>
  <c r="F28" i="108"/>
  <c r="H28" i="118"/>
  <c r="F70" i="34"/>
  <c r="E35" i="108"/>
  <c r="G29" i="108"/>
  <c r="J41" i="3"/>
  <c r="D51" i="36" s="1"/>
  <c r="B3647" i="106"/>
  <c r="D3647" i="106" s="1"/>
  <c r="K76" i="4"/>
  <c r="B3586" i="106" s="1"/>
  <c r="D3586" i="106" s="1"/>
  <c r="L13" i="11"/>
  <c r="B2060" i="106" s="1"/>
  <c r="D2060" i="106" s="1"/>
  <c r="G15" i="145"/>
  <c r="C129" i="29"/>
  <c r="C151" i="29" s="1"/>
  <c r="B1226" i="106" s="1"/>
  <c r="D1226" i="106" s="1"/>
  <c r="I210" i="29"/>
  <c r="B7071" i="106" s="1"/>
  <c r="D7071" i="106" s="1"/>
  <c r="J77" i="4"/>
  <c r="B6262" i="106" s="1"/>
  <c r="D6262" i="106" s="1"/>
  <c r="L5" i="11"/>
  <c r="B2056" i="106" s="1"/>
  <c r="D2056" i="106" s="1"/>
  <c r="F36" i="34"/>
  <c r="J352" i="29"/>
  <c r="J367" i="29" s="1"/>
  <c r="B7245" i="106" s="1"/>
  <c r="D7245" i="106" s="1"/>
  <c r="D6103" i="106"/>
  <c r="H365" i="29"/>
  <c r="B7242" i="106" s="1"/>
  <c r="D7242"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B1328" i="106"/>
  <c r="D1328" i="106" s="1"/>
  <c r="H77" i="4"/>
  <c r="B3299" i="106" s="1"/>
  <c r="D3299" i="106" s="1"/>
  <c r="D7250" i="106"/>
  <c r="E30" i="108"/>
  <c r="D7254" i="106"/>
  <c r="G30" i="108"/>
  <c r="L16" i="11"/>
  <c r="B2061" i="106" s="1"/>
  <c r="D2061" i="106" s="1"/>
  <c r="N23" i="3"/>
  <c r="B284" i="106" s="1"/>
  <c r="D284" i="106" s="1"/>
  <c r="B1365" i="106"/>
  <c r="D1365" i="106" s="1"/>
  <c r="F65" i="34"/>
  <c r="L114" i="29"/>
  <c r="C114" i="29"/>
  <c r="B757" i="106" s="1"/>
  <c r="D757" i="106" s="1"/>
  <c r="B5527" i="106"/>
  <c r="D5527" i="106" s="1"/>
  <c r="B6216" i="106"/>
  <c r="D6216" i="106" s="1"/>
  <c r="B5778" i="106"/>
  <c r="D5778" i="106" s="1"/>
  <c r="G6" i="4"/>
  <c r="B2604" i="106" s="1"/>
  <c r="D2604" i="106" s="1"/>
  <c r="K342" i="29"/>
  <c r="F13" i="34" s="1"/>
  <c r="B5770" i="106"/>
  <c r="D5770"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19" i="4" l="1"/>
  <c r="B6229" i="106" s="1"/>
  <c r="D6229" i="106" s="1"/>
  <c r="K17" i="4"/>
  <c r="B3575" i="106" s="1"/>
  <c r="D3575"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K20"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<sst xmlns="http://schemas.openxmlformats.org/spreadsheetml/2006/main" count="5062" uniqueCount="2096">
  <si>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</si>
  <si>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</si>
  <si>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</si>
  <si>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</si>
  <si>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</si>
  <si>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</si>
  <si>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</si>
  <si>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</si>
  <si>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</si>
  <si>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</si>
  <si>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</si>
  <si>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</si>
  <si>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</si>
  <si>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</si>
  <si>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</si>
  <si>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</si>
  <si>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</si>
  <si>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</si>
  <si>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</si>
  <si>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</si>
  <si>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</si>
  <si>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</si>
  <si>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</si>
  <si>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</si>
  <si>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</si>
  <si>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</si>
  <si>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</si>
  <si>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</si>
  <si>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</si>
  <si>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</si>
  <si>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</si>
  <si>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</si>
  <si>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</si>
  <si>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</si>
  <si>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</si>
  <si>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</si>
  <si>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</si>
  <si>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</si>
  <si>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</si>
  <si>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</si>
  <si>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</si>
  <si>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</si>
  <si>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</si>
  <si>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</si>
  <si>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</si>
  <si>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</si>
  <si>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</si>
  <si>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</si>
  <si>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</si>
  <si>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</si>
  <si>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</si>
  <si>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</si>
  <si>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</si>
  <si>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</si>
  <si>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</si>
  <si>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</si>
  <si>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</si>
  <si>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</si>
  <si>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</si>
  <si>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</si>
  <si>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</si>
  <si>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</si>
  <si>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</si>
  <si>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</si>
  <si>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</si>
  <si>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</si>
  <si>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</si>
  <si>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</si>
  <si>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</si>
  <si>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</si>
  <si>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</si>
  <si>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</si>
  <si>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</si>
  <si>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</si>
  <si>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</si>
  <si>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</si>
  <si>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</si>
  <si>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</si>
  <si>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</si>
  <si>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</si>
  <si>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</si>
  <si>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</si>
  <si>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</si>
  <si>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</si>
  <si>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</si>
  <si>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</si>
  <si>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</si>
  <si>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</si>
  <si>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</si>
  <si>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</si>
  <si>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</si>
  <si>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</si>
  <si>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</si>
  <si>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</si>
  <si>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</si>
  <si>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</si>
  <si>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</si>
  <si>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</si>
  <si>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</si>
  <si>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</si>
  <si>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</si>
  <si>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</si>
  <si>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</si>
  <si>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</si>
  <si>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</si>
  <si>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</si>
  <si>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</si>
  <si>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</si>
  <si>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</si>
  <si>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</si>
  <si>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</si>
  <si>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</si>
  <si>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</si>
  <si>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</si>
  <si>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</si>
  <si>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</si>
  <si>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</si>
  <si>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</si>
  <si>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</si>
  <si>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</si>
  <si>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</si>
  <si>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</si>
  <si>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</si>
  <si>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</si>
  <si>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</si>
  <si>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</si>
  <si>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</si>
  <si>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</si>
  <si>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</si>
  <si>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</si>
  <si>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</si>
  <si>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</si>
  <si>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</si>
  <si>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</si>
  <si>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</si>
  <si>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</si>
  <si>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</si>
  <si>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</si>
  <si>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</si>
  <si>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</si>
  <si>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</si>
  <si>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</si>
  <si>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</si>
  <si>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</si>
  <si>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</si>
  <si>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</si>
  <si>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</si>
  <si>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</si>
  <si>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</si>
  <si>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</si>
  <si>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</si>
  <si>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</si>
  <si>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</si>
  <si>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</si>
  <si>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</si>
  <si>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</si>
  <si>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</si>
  <si>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</si>
  <si>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</si>
  <si>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</si>
  <si>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</si>
  <si>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</si>
  <si>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</si>
  <si>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</si>
  <si>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</si>
  <si>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</si>
  <si>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</si>
  <si>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</si>
  <si>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</si>
  <si>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</si>
  <si>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</si>
  <si>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</si>
  <si>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</si>
  <si>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</si>
  <si>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</si>
  <si>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</si>
  <si>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</si>
  <si>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</si>
  <si>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</si>
  <si>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</si>
  <si>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</si>
  <si>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</si>
  <si>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</si>
  <si>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</si>
  <si>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</si>
  <si>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</si>
  <si>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</si>
  <si>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</si>
  <si>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</si>
  <si>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</si>
  <si>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</si>
  <si>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</si>
  <si>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</si>
  <si>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</si>
  <si>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</si>
  <si>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</si>
  <si>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</si>
  <si>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</si>
  <si>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</si>
  <si>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</si>
  <si>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</si>
  <si>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</si>
  <si>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</si>
  <si>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</si>
  <si>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</si>
  <si>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</si>
  <si>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</si>
  <si>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</si>
  <si>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</si>
  <si>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</si>
  <si>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</si>
  <si>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</si>
  <si>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</si>
  <si>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</si>
  <si>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</si>
  <si>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</si>
  <si>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</si>
  <si>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</si>
  <si>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</si>
  <si>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</si>
  <si>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</si>
  <si>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</si>
  <si>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</si>
  <si>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</si>
  <si>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</si>
  <si>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</si>
  <si>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</si>
  <si>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</si>
  <si>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</si>
  <si>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</si>
  <si>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</si>
  <si>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</si>
  <si>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</si>
  <si>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</si>
  <si>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</si>
  <si>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</si>
  <si>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</si>
  <si>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</si>
  <si>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</si>
  <si>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</si>
  <si>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</si>
  <si>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</si>
  <si>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</si>
  <si>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</si>
  <si>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</si>
  <si>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</si>
  <si>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</si>
  <si>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</si>
  <si>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</si>
  <si>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</si>
  <si>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</si>
  <si>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</si>
  <si>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</si>
  <si>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</si>
  <si>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</si>
  <si>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</si>
  <si>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</si>
  <si>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</si>
  <si>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</si>
  <si>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</si>
  <si>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</si>
  <si>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</si>
  <si>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</si>
  <si>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</si>
  <si>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</si>
  <si>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</si>
  <si>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</si>
  <si>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</si>
  <si>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</si>
  <si>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</si>
  <si>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</si>
  <si>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</si>
  <si>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</si>
  <si>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</si>
  <si>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</si>
  <si>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</si>
  <si>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</si>
  <si>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</si>
  <si>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</si>
  <si>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</si>
  <si>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</si>
  <si>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</si>
  <si>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</si>
  <si>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</si>
  <si>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</si>
  <si>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</si>
  <si>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</si>
  <si>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</si>
  <si>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</si>
  <si>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</si>
  <si>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</si>
  <si>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</si>
  <si>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</si>
  <si>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</si>
  <si>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</si>
  <si>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</si>
  <si>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</si>
  <si>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</si>
  <si>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</si>
  <si>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</si>
  <si>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</si>
  <si>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</si>
  <si>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</si>
  <si>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</si>
  <si>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</si>
  <si>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</si>
  <si>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</si>
  <si>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</si>
  <si>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</si>
  <si>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</si>
  <si>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</si>
  <si>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</si>
  <si>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</si>
  <si>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</si>
  <si>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</si>
  <si>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</si>
  <si>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</si>
  <si>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</si>
  <si>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</si>
  <si>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</si>
  <si>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</si>
  <si>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</si>
  <si>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</si>
  <si>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</si>
  <si>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</si>
  <si>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</si>
  <si>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</si>
  <si>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</si>
  <si>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</si>
  <si>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</si>
  <si>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</si>
  <si>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</si>
  <si>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</si>
  <si>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</si>
  <si>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</si>
  <si>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</si>
  <si>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</si>
  <si>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</si>
  <si>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</si>
  <si>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</si>
  <si>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</si>
  <si>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</si>
  <si>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</si>
  <si>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</si>
  <si>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</si>
  <si>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</si>
  <si>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</si>
  <si>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</si>
  <si>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</si>
  <si>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</si>
  <si>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</si>
  <si>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</si>
  <si>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</si>
  <si>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</si>
  <si>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</si>
  <si>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</si>
  <si>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</si>
  <si>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</si>
  <si>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</si>
  <si>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</si>
  <si>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</si>
  <si>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</si>
  <si>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</si>
  <si>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</si>
  <si>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</si>
  <si>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</si>
  <si>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</si>
  <si>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</si>
  <si>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</si>
  <si>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</si>
  <si>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</si>
  <si>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</si>
  <si>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</si>
  <si>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</si>
  <si>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</si>
  <si>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</si>
  <si>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</si>
  <si>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</si>
  <si>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</si>
  <si>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</si>
  <si>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</si>
  <si>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</si>
  <si>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</si>
  <si>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</si>
  <si>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</si>
  <si>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</si>
  <si>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</si>
  <si>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</si>
  <si>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</si>
  <si>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</si>
  <si>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</si>
  <si>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</si>
  <si>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</si>
  <si>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</si>
  <si>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</si>
  <si>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</si>
  <si>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</si>
  <si>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</si>
  <si>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</si>
  <si>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</si>
  <si>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</si>
  <si>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</si>
  <si>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</si>
  <si>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</si>
  <si>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</si>
  <si>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</si>
  <si>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</si>
  <si>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</si>
  <si>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</si>
  <si>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</si>
  <si>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</si>
  <si>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</si>
  <si>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</si>
  <si>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</si>
  <si>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</si>
  <si>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</si>
  <si>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</si>
  <si>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</si>
  <si>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</si>
  <si>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</si>
  <si>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</si>
  <si>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</si>
  <si>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</si>
  <si>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</si>
  <si>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</si>
  <si>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</si>
  <si>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</si>
  <si>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</si>
  <si>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</si>
  <si>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</si>
  <si>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</si>
  <si>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</si>
  <si>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</si>
  <si>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</si>
  <si>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</si>
  <si>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</si>
  <si>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</si>
  <si>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</si>
  <si>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</si>
  <si>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</si>
  <si>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</si>
  <si>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</si>
  <si>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</si>
  <si>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</si>
  <si>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</si>
  <si>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</si>
  <si>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</si>
  <si>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</si>
  <si>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</si>
  <si>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</si>
  <si>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</si>
  <si>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</si>
  <si>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</si>
  <si>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</si>
  <si>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</si>
  <si>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</si>
  <si>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</si>
  <si>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</si>
  <si>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</si>
  <si>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</si>
  <si>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</si>
  <si>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</si>
  <si>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</si>
  <si>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</si>
  <si>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</si>
  <si>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</si>
  <si>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</si>
  <si>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</si>
  <si>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</si>
  <si>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</si>
  <si>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</si>
  <si>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</si>
  <si>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</si>
  <si>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</si>
  <si>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</si>
  <si>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</si>
  <si>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</si>
  <si>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</si>
  <si>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</si>
  <si>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</si>
  <si>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</si>
  <si>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</si>
  <si>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</si>
  <si>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</si>
  <si>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</si>
  <si>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</si>
  <si>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</si>
  <si>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</si>
  <si>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</si>
  <si>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</si>
  <si>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</si>
  <si>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</si>
  <si>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</si>
  <si>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</si>
  <si>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</si>
  <si>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</si>
  <si>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</si>
  <si>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</si>
  <si>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</si>
  <si>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</si>
  <si>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</si>
  <si>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</si>
  <si>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</si>
  <si>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</si>
  <si>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</si>
  <si>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</si>
  <si>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</si>
  <si>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</si>
  <si>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</si>
  <si>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</si>
  <si>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</si>
  <si>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</si>
  <si>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</si>
  <si>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</si>
  <si>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</si>
  <si>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</si>
  <si>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</si>
  <si>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</si>
  <si>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</si>
  <si>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</si>
  <si>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</si>
  <si>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</si>
  <si>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</si>
  <si>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</si>
  <si>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</si>
  <si>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</si>
  <si>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</si>
  <si>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</si>
  <si>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</si>
  <si>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</si>
  <si>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</si>
  <si>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</si>
  <si>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</si>
  <si>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</si>
  <si>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</si>
  <si>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</si>
  <si>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</si>
  <si>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</si>
  <si>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</si>
  <si>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</si>
  <si>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</si>
  <si>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</si>
  <si>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</si>
  <si>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</si>
  <si>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</si>
  <si>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</si>
  <si>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</si>
  <si>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</si>
  <si>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</si>
  <si>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</si>
  <si>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</si>
  <si>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</si>
  <si>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</si>
  <si>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</si>
  <si>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</si>
  <si>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</si>
  <si>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</si>
  <si>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</si>
  <si>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</si>
  <si>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</si>
  <si>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</si>
  <si>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</si>
  <si>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</si>
  <si>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</si>
  <si>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</si>
  <si>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</si>
  <si>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</si>
  <si>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</si>
  <si>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</si>
  <si>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</si>
  <si>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</si>
  <si>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</si>
  <si>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</si>
  <si>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</si>
  <si>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</si>
  <si>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</si>
  <si>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</si>
  <si>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</si>
  <si>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</si>
  <si>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</si>
  <si>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</si>
  <si>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</si>
  <si>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</si>
  <si>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</si>
  <si>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</si>
  <si>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</si>
  <si>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</si>
  <si>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</si>
  <si>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</si>
  <si>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</si>
  <si>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</si>
  <si>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</si>
  <si>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</si>
  <si>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</si>
  <si>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</si>
  <si>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</si>
  <si>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</si>
  <si>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</si>
  <si>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</si>
  <si>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</si>
  <si>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</si>
  <si>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</si>
  <si>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</si>
  <si>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</si>
  <si>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</si>
  <si>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</si>
  <si>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</si>
  <si>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</si>
  <si>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</si>
  <si>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</si>
  <si>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</si>
  <si>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</si>
  <si>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</si>
  <si>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</si>
  <si>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</si>
  <si>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</si>
  <si>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</si>
  <si>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</si>
  <si>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</si>
  <si>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</si>
  <si>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</si>
  <si>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</si>
  <si>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</si>
  <si>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</si>
  <si>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</si>
  <si>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</si>
  <si>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</si>
  <si>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</si>
  <si>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</si>
  <si>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</si>
  <si>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</si>
  <si>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</si>
  <si>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</si>
  <si>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</si>
  <si>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</si>
  <si>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</si>
  <si>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</si>
  <si>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</si>
  <si>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</si>
  <si>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</si>
  <si>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</si>
  <si>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</si>
  <si>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</si>
  <si>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</si>
  <si>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</si>
  <si>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</si>
  <si>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</si>
  <si>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</si>
  <si>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</si>
  <si>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</si>
  <si>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</si>
  <si>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</si>
  <si>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</si>
  <si>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</si>
  <si>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</si>
  <si>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</si>
  <si>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</si>
  <si>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</si>
  <si>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</si>
  <si>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</si>
  <si>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</si>
  <si>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</si>
  <si>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</si>
  <si>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</si>
  <si>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</si>
  <si>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</si>
  <si>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</si>
  <si>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</si>
  <si>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</si>
  <si>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</si>
  <si>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</si>
  <si>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</si>
  <si>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</si>
  <si>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</si>
  <si>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</si>
  <si>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</si>
  <si>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</si>
  <si>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</si>
  <si>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</si>
  <si>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</si>
  <si>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</si>
  <si>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</si>
  <si>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</si>
  <si>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</si>
  <si>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</si>
  <si>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</si>
  <si>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</si>
  <si>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</si>
  <si>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</si>
  <si>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</si>
  <si>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</si>
  <si>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</si>
  <si>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</si>
  <si>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</si>
  <si>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</si>
  <si>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</si>
  <si>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</si>
  <si>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</si>
  <si>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</si>
  <si>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</si>
  <si>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</si>
  <si>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</si>
  <si>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</si>
  <si>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</si>
  <si>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</si>
  <si>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</si>
  <si>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</si>
  <si>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</si>
  <si>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</si>
  <si>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</si>
  <si>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</si>
  <si>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</si>
  <si>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</si>
  <si>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</si>
  <si>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</si>
  <si>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</si>
  <si>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</si>
  <si>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</si>
  <si>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</si>
  <si>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</si>
  <si>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</si>
  <si>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</si>
  <si>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</si>
  <si>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</si>
  <si>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</si>
  <si>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</si>
  <si>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</si>
  <si>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</si>
  <si>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</si>
  <si>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</si>
  <si>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</si>
  <si>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</si>
  <si>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</si>
  <si>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</si>
  <si>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</si>
  <si>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</si>
  <si>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</si>
  <si>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</si>
  <si>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</si>
  <si>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</si>
  <si>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</si>
  <si>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</si>
  <si>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</si>
  <si>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</si>
  <si>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</si>
  <si>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</si>
  <si>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</si>
  <si>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</si>
  <si>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</si>
  <si>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</si>
  <si>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</si>
  <si>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</si>
  <si>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</si>
  <si>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</si>
  <si>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</si>
  <si>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</si>
  <si>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</si>
  <si>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</si>
  <si>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</si>
  <si>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</si>
  <si>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</si>
  <si>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</si>
  <si>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</si>
  <si>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</si>
  <si>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</si>
  <si>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</si>
  <si>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</si>
  <si>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</si>
  <si>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</si>
  <si>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</si>
  <si>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</si>
  <si>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</si>
  <si>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</si>
  <si>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</si>
  <si>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</si>
  <si>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</si>
  <si>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</si>
  <si>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</si>
  <si>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</si>
  <si>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</si>
  <si>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</si>
  <si>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</si>
  <si>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</si>
  <si>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</si>
  <si>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</si>
  <si>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</si>
  <si>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</si>
  <si>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</si>
  <si>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</si>
  <si>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</si>
  <si>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</si>
  <si>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</si>
  <si>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</si>
  <si>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</si>
  <si>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</si>
  <si>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</si>
  <si>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</si>
  <si>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</si>
  <si>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</si>
  <si>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</si>
  <si>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</si>
  <si>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</si>
  <si>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</si>
  <si>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</si>
  <si>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</si>
  <si>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</si>
  <si>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</si>
  <si>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</si>
  <si>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</si>
  <si>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</si>
  <si>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</si>
  <si>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</si>
  <si>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</si>
  <si>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</si>
  <si>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</si>
  <si>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</si>
  <si>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</si>
  <si>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</si>
  <si>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</si>
  <si>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</si>
  <si>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</si>
  <si>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</si>
  <si>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</si>
  <si>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</si>
  <si>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</si>
  <si>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</si>
  <si>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</si>
  <si>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</si>
  <si>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</si>
  <si>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</si>
  <si>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</si>
  <si>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</si>
  <si>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</si>
  <si>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</si>
  <si>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</si>
  <si>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</si>
  <si>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</si>
  <si>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</si>
  <si>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</si>
  <si>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</si>
  <si>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</si>
  <si>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</si>
  <si>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</si>
  <si>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</si>
  <si>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</si>
  <si>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</si>
  <si>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</si>
  <si>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</si>
  <si>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</si>
  <si>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</si>
  <si>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</si>
  <si>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</si>
  <si>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</si>
  <si>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</si>
  <si>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</si>
  <si>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</si>
  <si>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</si>
  <si>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</si>
  <si>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</si>
  <si>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</si>
  <si>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</si>
  <si>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</si>
  <si>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</si>
  <si>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</si>
  <si>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</si>
  <si>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</si>
  <si>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</si>
  <si>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</si>
  <si>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</si>
  <si>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</si>
  <si>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</si>
  <si>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</si>
  <si>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</si>
  <si>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</si>
  <si>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</si>
  <si>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</si>
  <si>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</si>
  <si>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</si>
  <si>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</si>
  <si>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</si>
  <si>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</si>
  <si>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</si>
  <si>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</si>
  <si>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</si>
  <si>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</si>
  <si>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</si>
  <si>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</si>
  <si>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</si>
  <si>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</si>
  <si>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</si>
  <si>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</si>
  <si>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</si>
  <si>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</si>
  <si>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</si>
  <si>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</si>
  <si>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</si>
  <si>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</si>
  <si>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</si>
  <si>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</si>
  <si>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</si>
  <si>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</si>
  <si>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</si>
  <si>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</si>
  <si>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</si>
  <si>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</si>
  <si>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</si>
  <si>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</si>
  <si>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</si>
  <si>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</si>
  <si>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</si>
  <si>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</si>
  <si>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</si>
  <si>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</si>
  <si>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</si>
  <si>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</si>
  <si>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</si>
  <si>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</si>
  <si>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</si>
  <si>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</si>
  <si>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</si>
  <si>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</si>
  <si>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</si>
  <si>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</si>
  <si>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</si>
  <si>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</si>
  <si>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</si>
  <si>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</si>
  <si>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</si>
  <si>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</si>
  <si>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</si>
  <si>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</si>
  <si>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</si>
  <si>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</si>
  <si>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</si>
  <si>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</si>
  <si>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</si>
  <si>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</si>
  <si>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</si>
  <si>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</si>
  <si>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</si>
  <si>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</si>
  <si>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</si>
  <si>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</si>
  <si>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</si>
  <si>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</si>
  <si>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</si>
  <si>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</si>
  <si>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</si>
  <si>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</si>
  <si>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</si>
  <si>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</si>
  <si>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</si>
  <si>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</si>
  <si>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</si>
  <si>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</si>
  <si>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</si>
  <si>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</si>
  <si>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</si>
  <si>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</si>
  <si>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</si>
  <si>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</si>
  <si>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</si>
  <si>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</si>
  <si>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</si>
  <si>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</si>
  <si>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</si>
  <si>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</si>
  <si>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</si>
  <si>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</si>
  <si>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</si>
  <si>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</si>
  <si>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</si>
  <si>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</si>
  <si>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</si>
  <si>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</si>
  <si>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</si>
  <si>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</si>
  <si>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</si>
  <si>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</si>
  <si>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</si>
  <si>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</si>
  <si>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</si>
  <si>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</si>
  <si>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</si>
  <si>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</si>
  <si>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</si>
  <si>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</si>
  <si>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</si>
  <si>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</si>
  <si>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</si>
  <si>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</si>
  <si>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</si>
  <si>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</si>
  <si>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</si>
  <si>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</si>
  <si>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</si>
  <si>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</si>
  <si>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</si>
  <si>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</si>
  <si>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</si>
  <si>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</si>
  <si>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</si>
  <si>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</si>
  <si>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</si>
  <si>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</si>
  <si>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</si>
  <si>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</si>
  <si>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</si>
  <si>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</si>
  <si>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</si>
  <si>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</si>
  <si>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</si>
  <si>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</si>
  <si>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</si>
  <si>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</si>
  <si>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</si>
  <si>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</si>
  <si>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</si>
  <si>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</si>
  <si>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</si>
  <si>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</si>
  <si>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</si>
  <si>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</si>
  <si>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</si>
  <si>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</si>
  <si>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</si>
  <si>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</si>
  <si>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</si>
  <si>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</si>
  <si>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</si>
  <si>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</si>
  <si>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</si>
  <si>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</si>
  <si>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</si>
  <si>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</si>
  <si>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</si>
  <si>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</si>
  <si>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</si>
  <si>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</si>
  <si>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</si>
  <si>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</si>
  <si>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</si>
  <si>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</si>
  <si>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</si>
  <si>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</si>
  <si>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</si>
  <si>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</si>
  <si>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</si>
  <si>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</si>
  <si>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</si>
  <si>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</si>
  <si>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</si>
  <si>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</si>
  <si>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</si>
  <si>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</si>
  <si>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</si>
  <si>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</si>
  <si>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</si>
  <si>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</si>
  <si>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</si>
  <si>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</si>
  <si>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</si>
  <si>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</si>
  <si>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</si>
  <si>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</si>
  <si>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</si>
  <si>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</si>
  <si>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</si>
  <si>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</si>
  <si>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</si>
  <si>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</si>
  <si>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</si>
  <si>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</si>
  <si>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</si>
  <si>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</si>
  <si>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</si>
  <si>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</si>
  <si>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</si>
  <si>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</si>
  <si>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</si>
  <si>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</si>
  <si>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</si>
  <si>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</si>
  <si>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</si>
  <si>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</si>
  <si>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</si>
  <si>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</si>
  <si>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</si>
  <si>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</si>
  <si>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</si>
  <si>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</si>
  <si>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</si>
  <si>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</si>
  <si>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</si>
  <si>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</si>
  <si>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</si>
  <si>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</si>
  <si>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</si>
  <si>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</si>
  <si>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</si>
  <si>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</si>
  <si>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</si>
  <si>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</si>
  <si>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</si>
  <si>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</si>
  <si>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</si>
  <si>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</si>
  <si>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</si>
  <si>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</si>
  <si>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</si>
  <si>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</si>
  <si>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</si>
  <si>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</si>
  <si>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</si>
  <si>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</si>
  <si>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</si>
  <si>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</si>
  <si>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</si>
  <si>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</si>
  <si>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</si>
  <si>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</si>
  <si>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</si>
  <si>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</si>
  <si>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</si>
  <si>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</si>
  <si>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</si>
  <si>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</si>
  <si>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</si>
  <si>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</si>
  <si>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</si>
  <si>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</si>
  <si>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</si>
  <si>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</si>
  <si>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</si>
  <si>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</si>
  <si>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</si>
  <si>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</si>
  <si>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</si>
  <si>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</si>
  <si>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</si>
  <si>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</si>
  <si>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</si>
  <si>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</si>
  <si>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</si>
  <si>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</si>
  <si>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</si>
  <si>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</si>
  <si>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</si>
  <si>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</si>
  <si>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</si>
  <si>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</si>
  <si>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</si>
  <si>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</si>
  <si>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</si>
  <si>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</si>
  <si>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</si>
  <si>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</si>
  <si>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</si>
  <si>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</si>
  <si>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</si>
  <si>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</si>
  <si>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</si>
  <si>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</si>
  <si>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</si>
  <si>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</si>
  <si>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</si>
  <si>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</si>
  <si>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</si>
  <si>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</si>
  <si>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</si>
  <si>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</si>
  <si>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</si>
  <si>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</si>
  <si>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</si>
  <si>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</si>
  <si>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</si>
  <si>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</si>
  <si>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</si>
  <si>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</si>
  <si>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</si>
  <si>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</si>
  <si>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</si>
  <si>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</si>
  <si>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</si>
  <si>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</si>
  <si>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</si>
  <si>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</si>
  <si>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</si>
  <si>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</si>
  <si>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</si>
  <si>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</si>
  <si>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</si>
  <si>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</si>
  <si>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</si>
  <si>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</si>
  <si>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</si>
  <si>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</si>
  <si>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</si>
  <si>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</si>
  <si>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</si>
  <si>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</si>
  <si>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</si>
  <si>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</si>
  <si>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</si>
  <si>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</si>
  <si>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</si>
  <si>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</si>
  <si>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</si>
  <si>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</si>
  <si>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</si>
  <si>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</si>
  <si>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</si>
  <si>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</si>
  <si>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</si>
  <si>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</si>
  <si>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</si>
  <si>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</si>
  <si>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</si>
  <si>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</si>
  <si>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</si>
  <si>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</si>
  <si>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</si>
  <si>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</si>
  <si>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</si>
  <si>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</si>
  <si>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</si>
  <si>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</si>
  <si>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</si>
  <si>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</si>
  <si>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</si>
  <si>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</si>
  <si>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</si>
  <si>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</si>
  <si>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</si>
  <si>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</si>
  <si>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</si>
  <si>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</si>
  <si>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</si>
  <si>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</si>
  <si>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</si>
  <si>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</si>
  <si>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</si>
  <si>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</si>
  <si>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</si>
  <si>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</si>
  <si>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</si>
  <si>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</si>
  <si>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</si>
  <si>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</si>
  <si>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</si>
  <si>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</si>
  <si>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</si>
  <si>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</si>
  <si>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</si>
  <si>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</si>
  <si>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</si>
  <si>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</si>
  <si>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</si>
  <si>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</si>
  <si>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</si>
  <si>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</si>
  <si>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</si>
  <si>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</si>
  <si>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</si>
  <si>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</si>
  <si>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</si>
  <si>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</si>
  <si>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</si>
  <si>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</si>
  <si>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</si>
  <si>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</si>
  <si>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</si>
  <si>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</si>
  <si>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</si>
  <si>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</si>
  <si>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</si>
  <si>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</si>
  <si>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</si>
  <si>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</si>
  <si>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</si>
  <si>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</si>
  <si>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</si>
  <si>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</si>
  <si>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</si>
  <si>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</si>
  <si>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</si>
  <si>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</si>
  <si>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</si>
  <si>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</si>
  <si>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</si>
  <si>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</si>
  <si>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</si>
  <si>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</si>
  <si>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</si>
  <si>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</si>
  <si>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</si>
  <si>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</si>
  <si>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</si>
  <si>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</si>
  <si>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</si>
  <si>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</si>
  <si>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</si>
  <si>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</si>
  <si>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</si>
  <si>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</si>
  <si>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</si>
  <si>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</si>
  <si>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</si>
  <si>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</si>
  <si>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</si>
  <si>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</si>
  <si>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</si>
  <si>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</si>
  <si>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</si>
  <si>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</si>
  <si>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</si>
  <si>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</si>
  <si>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</si>
  <si>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</si>
  <si>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</si>
  <si>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</si>
  <si>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</si>
  <si>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</si>
  <si>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</si>
  <si>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</si>
  <si>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</si>
  <si>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</si>
  <si>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</si>
  <si>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</si>
  <si>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</si>
  <si>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</si>
  <si>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</si>
  <si>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</si>
  <si>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</si>
  <si>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</si>
  <si>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</si>
  <si>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</si>
  <si>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</si>
  <si>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</si>
  <si>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</si>
  <si>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</si>
  <si>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</si>
  <si>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</si>
  <si>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</si>
  <si>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</si>
  <si>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</si>
  <si>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</si>
  <si>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</si>
  <si>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</si>
  <si>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</si>
  <si>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</si>
  <si>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</si>
  <si>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</si>
  <si>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</si>
  <si>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</si>
  <si>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</si>
  <si>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</si>
  <si>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</si>
  <si>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</si>
  <si>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</si>
  <si>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</si>
  <si>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</si>
  <si>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</si>
  <si>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</si>
  <si>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</si>
  <si>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</si>
  <si>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</si>
  <si>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</si>
  <si>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</si>
  <si>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</si>
  <si>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</si>
  <si>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</si>
  <si>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</si>
  <si>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</si>
  <si>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</si>
  <si>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</si>
  <si>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</si>
  <si>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</si>
  <si>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</si>
  <si>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</si>
  <si>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</si>
  <si>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</si>
  <si>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</si>
  <si>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</si>
  <si>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</si>
  <si>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</si>
  <si>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</si>
  <si>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</si>
  <si>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</si>
  <si>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</si>
  <si>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</si>
  <si>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</si>
  <si>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</si>
  <si>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</si>
  <si>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</si>
  <si>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</si>
  <si>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</si>
  <si>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</si>
  <si>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</si>
  <si>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</si>
  <si>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</si>
  <si>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</si>
  <si>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</si>
  <si>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</si>
  <si>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</si>
  <si>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</si>
  <si>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</si>
  <si>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</si>
  <si>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</si>
  <si>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</si>
  <si>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</si>
  <si>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</si>
  <si>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</si>
  <si>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</si>
  <si>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</si>
  <si>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</si>
  <si>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</si>
  <si>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</si>
  <si>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</si>
  <si>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</si>
  <si>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</si>
  <si>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</si>
  <si>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</si>
  <si>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</si>
  <si>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</si>
  <si>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</si>
  <si>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</si>
  <si>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</si>
  <si>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</si>
  <si>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</si>
  <si>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</si>
  <si>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</si>
  <si>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</si>
  <si>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</si>
  <si>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</si>
  <si>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</si>
  <si>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</si>
  <si>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</si>
  <si>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</si>
  <si>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</si>
  <si>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</si>
  <si>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</si>
  <si>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</si>
  <si>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</si>
  <si>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</si>
  <si>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</si>
  <si>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</si>
  <si>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</si>
  <si>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</si>
  <si>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</si>
  <si>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</si>
  <si>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</si>
  <si>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</si>
  <si>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</si>
  <si>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</si>
  <si>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</si>
  <si>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</si>
  <si>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</si>
  <si>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</si>
  <si>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</si>
  <si>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</si>
  <si>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</si>
  <si>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</si>
  <si>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</si>
  <si>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</si>
  <si>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</si>
  <si>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</si>
  <si>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</si>
  <si>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</si>
  <si>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</si>
  <si>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</si>
  <si>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</si>
  <si>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</si>
  <si>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</si>
  <si>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</si>
  <si>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</si>
  <si>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</si>
  <si>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</si>
  <si>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</si>
  <si>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</si>
  <si>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</si>
  <si>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</si>
  <si>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</si>
  <si>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</si>
  <si>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</si>
  <si>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</si>
  <si>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</si>
  <si>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</si>
  <si>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</si>
  <si>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</si>
  <si>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</si>
  <si>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</si>
  <si>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</si>
  <si>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</si>
  <si>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</si>
  <si>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</si>
  <si>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</si>
  <si>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</si>
  <si>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</si>
  <si>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</si>
  <si>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</si>
  <si>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</si>
  <si>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</si>
  <si>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</si>
  <si>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</si>
  <si>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</si>
  <si>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</si>
  <si>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</si>
  <si>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</si>
  <si>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</si>
  <si>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</si>
  <si>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</si>
  <si>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</si>
  <si>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</si>
  <si>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</si>
  <si>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</si>
  <si>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</si>
  <si>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</si>
  <si>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</si>
  <si>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</si>
  <si>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</si>
  <si>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</si>
  <si>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</si>
  <si>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</si>
  <si>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</si>
  <si>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</si>
  <si>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</si>
  <si>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</si>
  <si>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</si>
  <si>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</si>
  <si>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</si>
  <si>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</si>
  <si>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</si>
  <si>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</si>
  <si>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</si>
  <si>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</si>
  <si>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</si>
  <si>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</si>
  <si>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</si>
  <si>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</si>
  <si>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</si>
  <si>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</si>
  <si>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</si>
  <si>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</si>
  <si>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</si>
  <si>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</si>
  <si>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</si>
  <si>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</si>
  <si>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</si>
  <si>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</si>
  <si>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</si>
  <si>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</si>
  <si>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</si>
  <si>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</si>
  <si>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</si>
  <si>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</si>
  <si>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</si>
  <si>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</si>
  <si>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</si>
  <si>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</si>
  <si>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</si>
  <si>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</si>
  <si>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</si>
  <si>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</si>
  <si>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</si>
  <si>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</si>
  <si>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</si>
  <si>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</si>
  <si>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</si>
  <si>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</si>
  <si>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</si>
  <si>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</si>
  <si>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</si>
  <si>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</si>
  <si>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</si>
  <si>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</si>
  <si>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</si>
  <si>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</si>
  <si>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</si>
  <si>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</si>
  <si>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</si>
  <si>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</si>
  <si>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</si>
  <si>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</si>
  <si>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</si>
  <si>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</si>
  <si>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</si>
  <si>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</si>
  <si>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</si>
  <si>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</si>
  <si>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</si>
  <si>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</si>
  <si>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</si>
  <si>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</si>
  <si>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</si>
  <si>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</si>
  <si>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</si>
  <si>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</si>
  <si>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</si>
  <si>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</si>
  <si>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</si>
  <si>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</si>
  <si>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</si>
  <si>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</si>
  <si>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</si>
  <si>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</si>
  <si>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</si>
  <si>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</si>
  <si>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</si>
  <si>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</si>
  <si>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</si>
  <si>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</si>
  <si>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</si>
  <si>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</si>
  <si>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</si>
  <si>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</si>
  <si>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</si>
  <si>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</si>
  <si>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</si>
  <si>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</si>
  <si>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</si>
  <si>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</si>
  <si>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</si>
  <si>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</si>
  <si>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</si>
  <si>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</si>
  <si>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</si>
  <si>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</si>
  <si>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</si>
  <si>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</si>
  <si>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</si>
  <si>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</si>
  <si>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</si>
  <si>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</si>
  <si>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</si>
  <si>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</si>
  <si>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</si>
  <si>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</si>
  <si>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</si>
  <si>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</si>
  <si>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</si>
  <si>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</si>
  <si>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</si>
  <si>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</si>
  <si>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</si>
  <si>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</si>
  <si>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</si>
  <si>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</si>
  <si>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</si>
  <si>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</si>
  <si>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</si>
  <si>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</si>
  <si>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</si>
  <si>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</si>
  <si>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</si>
  <si>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</si>
  <si>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</si>
  <si>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</si>
  <si>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</si>
  <si>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</si>
  <si>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</si>
  <si>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</si>
  <si>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</si>
  <si>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</si>
  <si>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</si>
  <si>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</si>
  <si>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</si>
  <si>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</si>
  <si>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</si>
  <si>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</si>
  <si>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</si>
  <si>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</si>
  <si>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</si>
  <si>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</si>
  <si>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</si>
  <si>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</si>
  <si>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</si>
  <si>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</si>
  <si>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</si>
  <si>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</si>
  <si>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</si>
  <si>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</si>
  <si>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</si>
  <si>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</si>
  <si>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</si>
  <si>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</si>
  <si>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</si>
  <si>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</si>
  <si>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</si>
  <si>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</si>
  <si>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</si>
  <si>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</si>
  <si>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</si>
  <si>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</si>
  <si>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</si>
  <si>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</si>
  <si>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</si>
  <si>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</si>
  <si>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</si>
  <si>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</si>
  <si>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</si>
  <si>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</si>
  <si>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</si>
  <si>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</si>
  <si>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</si>
  <si>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</si>
  <si>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</si>
  <si>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</si>
  <si>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</si>
  <si>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</si>
  <si>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</si>
  <si>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</si>
  <si>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</si>
  <si>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</si>
  <si>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</si>
  <si>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</si>
  <si>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</si>
  <si>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</si>
  <si>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</si>
  <si>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</si>
  <si>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</si>
  <si>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</si>
  <si>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</si>
  <si>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</si>
  <si>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</si>
  <si>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</si>
  <si>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</si>
  <si>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</si>
  <si>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</si>
  <si>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</si>
  <si>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</si>
  <si>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</si>
  <si>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</si>
  <si>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</si>
  <si>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</si>
  <si>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</si>
  <si>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</si>
  <si>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</si>
  <si>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</si>
  <si>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</si>
  <si>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</si>
  <si>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</si>
  <si>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</si>
  <si>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</si>
  <si>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</si>
  <si>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</si>
  <si>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</si>
  <si>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</si>
  <si>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</si>
  <si>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</si>
  <si>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</si>
  <si>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</si>
  <si>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</si>
  <si>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</si>
  <si>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</si>
  <si>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</si>
  <si>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</si>
  <si>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</si>
  <si>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</si>
  <si>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</si>
  <si>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</si>
  <si>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</si>
  <si>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</si>
  <si>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</si>
  <si>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</si>
  <si>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</si>
  <si>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</si>
  <si>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</si>
  <si>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</si>
  <si>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</si>
  <si>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</si>
  <si>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</si>
  <si>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</si>
  <si>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</si>
  <si>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</si>
  <si>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</si>
  <si>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</si>
  <si>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</si>
  <si>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</si>
  <si>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</si>
  <si>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</si>
  <si>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</si>
  <si>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</si>
  <si>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</si>
  <si>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</si>
  <si>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</si>
  <si>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</si>
  <si>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</si>
  <si>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</si>
  <si>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</si>
  <si>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</si>
  <si>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</si>
  <si>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</si>
  <si>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</si>
  <si>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</si>
  <si>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</si>
  <si>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</si>
  <si>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</si>
  <si>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</si>
  <si>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</si>
  <si>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</si>
  <si>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</si>
  <si>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</si>
  <si>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</si>
  <si>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</si>
  <si>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</si>
  <si>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</si>
  <si>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</si>
  <si>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</si>
  <si>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</si>
  <si>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</si>
  <si>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</si>
  <si>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</si>
  <si>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</si>
  <si>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</si>
  <si>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</si>
  <si>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</si>
  <si>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</si>
  <si>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</si>
  <si>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</si>
  <si>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</si>
  <si>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</si>
  <si>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</si>
  <si>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</si>
  <si>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</si>
  <si>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</si>
  <si>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</si>
  <si>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</si>
  <si>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</si>
  <si>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</si>
  <si>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</si>
  <si>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</si>
  <si>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</si>
  <si>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</si>
  <si>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</si>
  <si>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</si>
  <si>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</si>
  <si>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</si>
  <si>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</si>
  <si>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</si>
  <si>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</si>
  <si>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</si>
  <si>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</si>
  <si>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</si>
  <si>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</si>
  <si>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</si>
  <si>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</si>
  <si>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</si>
  <si>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</si>
  <si>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</si>
  <si>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</si>
  <si>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</si>
  <si>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</si>
  <si>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</si>
  <si>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</si>
  <si>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</si>
  <si>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</si>
  <si>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</si>
  <si>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</si>
  <si>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</si>
  <si>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</si>
  <si>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</si>
  <si>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</si>
  <si>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</si>
  <si>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</si>
  <si>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</si>
  <si>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</si>
  <si>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</si>
  <si>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</si>
  <si>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</si>
  <si>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</si>
  <si>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</si>
  <si>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</si>
  <si>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</si>
  <si>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</si>
  <si>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</si>
  <si>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</si>
  <si>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</si>
  <si>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</si>
  <si>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</si>
  <si>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</si>
  <si>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</si>
  <si>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</si>
  <si>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</si>
  <si>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</si>
  <si>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</si>
  <si>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</si>
  <si>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</si>
  <si>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</si>
  <si>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</si>
  <si>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</si>
  <si>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</si>
  <si>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</si>
  <si>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</si>
  <si>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</si>
  <si>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</si>
  <si>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</si>
  <si>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</si>
  <si>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</si>
  <si>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</si>
  <si>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</si>
  <si>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</si>
  <si>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</si>
  <si>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</si>
  <si>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</si>
  <si>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</si>
  <si>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</si>
  <si>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</si>
  <si>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</si>
  <si>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</si>
  <si>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</si>
  <si>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</si>
  <si>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</si>
  <si>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</si>
  <si>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</si>
  <si>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</si>
  <si>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</si>
  <si>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</si>
  <si>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</si>
  <si>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</si>
  <si>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</si>
  <si>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</si>
  <si>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</si>
  <si>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</si>
  <si>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</si>
  <si>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</si>
  <si>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</si>
  <si>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</si>
  <si>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</si>
  <si>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</si>
  <si>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</si>
  <si>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</si>
  <si>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</si>
  <si>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</si>
  <si>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</si>
  <si>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</si>
  <si>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</si>
  <si>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</si>
  <si>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</si>
  <si>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</si>
  <si>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</si>
  <si>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</si>
  <si>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</si>
  <si>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</si>
  <si>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</si>
  <si>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</si>
  <si>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</si>
  <si>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</si>
  <si>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</si>
  <si>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</si>
  <si>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</si>
  <si>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</si>
  <si>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</si>
  <si>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</si>
  <si>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</si>
  <si>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</si>
  <si>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</si>
  <si>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</si>
  <si>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</si>
  <si>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</si>
  <si>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</si>
  <si>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</si>
  <si>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</si>
  <si>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</si>
  <si>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</si>
  <si>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</si>
  <si>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</si>
  <si>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</si>
  <si>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</si>
  <si>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</si>
  <si>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</si>
  <si>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</si>
  <si>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</si>
  <si>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</si>
  <si>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</si>
  <si>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</si>
  <si>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</si>
  <si>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</si>
  <si>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</si>
  <si>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</si>
  <si>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</si>
  <si>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</si>
  <si>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</si>
  <si>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</si>
  <si>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</si>
  <si>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</si>
  <si>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</si>
  <si>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</si>
  <si>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</si>
  <si>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</si>
  <si>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</si>
  <si>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</si>
  <si>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</si>
  <si>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</si>
  <si>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</si>
  <si>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</si>
  <si>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</si>
  <si>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</si>
  <si>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</si>
  <si>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</si>
  <si>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</si>
  <si>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</si>
  <si>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</si>
  <si>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</si>
  <si>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</si>
  <si>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</si>
  <si>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</si>
  <si>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</si>
  <si>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</si>
  <si>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</si>
  <si>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</si>
  <si>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</si>
  <si>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</si>
  <si>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</si>
  <si>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</si>
  <si>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</si>
  <si>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</si>
  <si>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</si>
  <si>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</si>
  <si>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</si>
  <si>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</si>
  <si>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</si>
  <si>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</si>
  <si>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</si>
  <si>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</si>
  <si>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</si>
  <si>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</si>
  <si>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</si>
  <si>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</si>
  <si>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</si>
  <si>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</si>
  <si>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</si>
  <si>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</si>
  <si>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</si>
  <si>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</si>
  <si>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</si>
  <si>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</si>
  <si>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</si>
  <si>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</si>
  <si>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</si>
  <si>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</si>
  <si>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</si>
  <si>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</si>
  <si>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</si>
  <si>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</si>
  <si>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</si>
  <si>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</si>
  <si>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</si>
  <si>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</si>
  <si>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</si>
  <si>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</si>
  <si>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</si>
  <si>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</si>
  <si>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</si>
  <si>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</si>
  <si>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</si>
  <si>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</si>
  <si>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</si>
  <si>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</si>
  <si>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</si>
  <si>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</si>
  <si>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</si>
  <si>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</si>
  <si>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</si>
  <si>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</si>
  <si>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St. Clair</t>
  </si>
  <si>
    <t>211 West Mill</t>
  </si>
  <si>
    <t>Millstadt</t>
  </si>
  <si>
    <t>blandgraf@stclair.k12.il.us</t>
  </si>
  <si>
    <t>060-008105</t>
  </si>
  <si>
    <t>keith@afewcpas.com</t>
  </si>
  <si>
    <t>314-845-7999</t>
  </si>
  <si>
    <t>314-84577770</t>
  </si>
  <si>
    <t>IL</t>
  </si>
  <si>
    <t>Columbia</t>
  </si>
  <si>
    <t>205 S. Main</t>
  </si>
  <si>
    <t>Keith Slusser</t>
  </si>
  <si>
    <t>Fick, Eggemeyer &amp; Williamson</t>
  </si>
  <si>
    <t>General Oglibagion Refunding School Bonds 2012</t>
  </si>
  <si>
    <t>General Oglibagion Refunding School Bonds 2016A</t>
  </si>
  <si>
    <t>Taxable General Obligation School Bonds 2016B</t>
  </si>
  <si>
    <t>Taxable General Obligation School Bonds 2017</t>
  </si>
  <si>
    <t>Taxable General Obligation School Bonds 2019</t>
  </si>
  <si>
    <t>Page 11 - Line 107 - Rental income and other miscellaneous</t>
  </si>
  <si>
    <t>Page 12 - Line 171 - Library grant and other state grant</t>
  </si>
  <si>
    <t>Page 18 - Line 164 - Principal and interest paid on capital lease and note payable and bond issuance costs</t>
  </si>
  <si>
    <t>Page 7 - Line 75 - Debt issuance costs</t>
  </si>
  <si>
    <t>80-2364-311</t>
  </si>
  <si>
    <t>90-2540-311</t>
  </si>
  <si>
    <t>10-2560-942</t>
  </si>
  <si>
    <t>10-2540-333</t>
  </si>
  <si>
    <t>Johnson Control Fire</t>
  </si>
  <si>
    <t>OPPA! Food Management</t>
  </si>
  <si>
    <t>Frontier</t>
  </si>
  <si>
    <t>Praire State</t>
  </si>
  <si>
    <t>Milstadt CCSD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</si>
</sst>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3" t="s">
        <v>405</v>
      </c>
      <c r="J1" s="2014"/>
      <c r="K1" s="2014"/>
      <c r="L1" s="2014"/>
      <c r="M1" s="2014"/>
      <c r="N1" s="2014"/>
      <c r="O1" s="2014"/>
      <c r="P1" s="2014"/>
      <c r="Q1" s="2014"/>
      <c r="R1" s="2014"/>
      <c r="S1" s="2014"/>
    </row>
    <row r="2" spans="1:28" ht="12" customHeight="1" x14ac:dyDescent="0.2">
      <c r="A2" s="47" t="s">
        <v>1991</v>
      </c>
      <c r="D2" s="48"/>
      <c r="I2" s="2015" t="s">
        <v>979</v>
      </c>
      <c r="J2" s="2014"/>
      <c r="K2" s="2014"/>
      <c r="L2" s="2014"/>
      <c r="M2" s="2014"/>
      <c r="N2" s="2014"/>
      <c r="O2" s="2014"/>
      <c r="P2" s="2014"/>
      <c r="Q2" s="2014"/>
      <c r="R2" s="2014"/>
      <c r="S2" s="2014"/>
    </row>
    <row r="3" spans="1:28" ht="12" customHeight="1" x14ac:dyDescent="0.2">
      <c r="A3" s="155" t="s">
        <v>1943</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2064</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2064</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50082160004</v>
      </c>
      <c r="B13" s="1984"/>
      <c r="C13" s="1984"/>
      <c r="D13" s="1984"/>
      <c r="E13" s="1984"/>
      <c r="F13" s="1984"/>
      <c r="G13" s="1984"/>
      <c r="H13" s="1985"/>
      <c r="I13" s="31"/>
      <c r="J13" s="30"/>
      <c r="K13" s="28"/>
      <c r="L13" s="30"/>
      <c r="M13" s="30"/>
      <c r="N13" s="30"/>
      <c r="O13" s="30"/>
      <c r="P13" s="30"/>
      <c r="Q13" s="30"/>
      <c r="R13" s="30"/>
      <c r="S13" s="30"/>
      <c r="T13" s="1988" t="s">
        <v>2077</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2065</v>
      </c>
      <c r="B15" s="1986"/>
      <c r="C15" s="1986"/>
      <c r="D15" s="1986"/>
      <c r="E15" s="1986"/>
      <c r="F15" s="1986"/>
      <c r="G15" s="1986"/>
      <c r="H15" s="1987"/>
      <c r="T15" s="1949" t="s">
        <v>2076</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2095</v>
      </c>
      <c r="B17" s="2011"/>
      <c r="C17" s="2011"/>
      <c r="D17" s="2011"/>
      <c r="E17" s="2011"/>
      <c r="F17" s="2011"/>
      <c r="G17" s="2011"/>
      <c r="H17" s="2012"/>
      <c r="T17" s="1998" t="s">
        <v>2075</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2066</v>
      </c>
      <c r="B19" s="1982"/>
      <c r="C19" s="1982"/>
      <c r="D19" s="1982"/>
      <c r="E19" s="1982"/>
      <c r="F19" s="1982"/>
      <c r="G19" s="1982"/>
      <c r="H19" s="1980"/>
      <c r="I19" s="30"/>
      <c r="J19" s="99"/>
      <c r="K19" s="40"/>
      <c r="L19" s="38"/>
      <c r="M19" s="112" t="s">
        <v>315</v>
      </c>
      <c r="P19" s="27"/>
      <c r="Q19" s="27"/>
      <c r="R19" s="27"/>
      <c r="S19" s="31"/>
      <c r="T19" s="1981" t="s">
        <v>2074</v>
      </c>
      <c r="U19" s="1979"/>
      <c r="V19" s="1979"/>
      <c r="W19" s="1980"/>
      <c r="X19" s="1996" t="s">
        <v>2073</v>
      </c>
      <c r="Y19" s="1997"/>
      <c r="Z19" s="1994">
        <v>62236</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2067</v>
      </c>
      <c r="B21" s="1979"/>
      <c r="C21" s="1979"/>
      <c r="D21" s="1979"/>
      <c r="E21" s="1979"/>
      <c r="F21" s="1979"/>
      <c r="G21" s="1979"/>
      <c r="H21" s="1980"/>
      <c r="I21" s="2004" t="s">
        <v>678</v>
      </c>
      <c r="J21" s="1967"/>
      <c r="K21" s="1967"/>
      <c r="L21" s="1967"/>
      <c r="M21" s="1967"/>
      <c r="N21" s="1967"/>
      <c r="O21" s="1967"/>
      <c r="P21" s="1967"/>
      <c r="Q21" s="1967"/>
      <c r="R21" s="1967"/>
      <c r="S21" s="1968"/>
      <c r="T21" s="1946" t="s">
        <v>2071</v>
      </c>
      <c r="U21" s="1947"/>
      <c r="V21" s="1947"/>
      <c r="W21" s="1947"/>
      <c r="X21" s="1960" t="s">
        <v>2072</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t="s">
        <v>2068</v>
      </c>
      <c r="B23" s="2002"/>
      <c r="C23" s="2002"/>
      <c r="D23" s="2002"/>
      <c r="E23" s="2002"/>
      <c r="F23" s="2002"/>
      <c r="G23" s="2002"/>
      <c r="H23" s="2003"/>
      <c r="T23" s="1941" t="s">
        <v>2069</v>
      </c>
      <c r="U23" s="1942"/>
      <c r="V23" s="1942"/>
      <c r="W23" s="1942"/>
      <c r="X23" s="1957"/>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62260</v>
      </c>
      <c r="B25" s="1979"/>
      <c r="C25" s="1979"/>
      <c r="D25" s="1979"/>
      <c r="E25" s="1979"/>
      <c r="F25" s="1979"/>
      <c r="G25" s="1979"/>
      <c r="H25" s="1980"/>
      <c r="I25" s="113"/>
      <c r="J25" s="2045"/>
      <c r="K25" s="2045"/>
      <c r="L25" s="2045"/>
      <c r="M25" s="2045"/>
      <c r="N25" s="2045"/>
      <c r="O25" s="2045"/>
      <c r="P25" s="2045"/>
      <c r="Q25" s="2045"/>
      <c r="R25" s="2045"/>
      <c r="S25" s="2046"/>
      <c r="T25" s="1938" t="s">
        <v>2070</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c r="B42" s="2028"/>
      <c r="C42" s="2029"/>
      <c r="D42" s="2042"/>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H33" sqref="H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195588807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1.7600000000000001E-2</v>
      </c>
      <c r="E10" s="356" t="s">
        <v>1005</v>
      </c>
      <c r="F10" s="355">
        <v>2.5000000000000001E-3</v>
      </c>
      <c r="G10" s="356" t="s">
        <v>1005</v>
      </c>
      <c r="H10" s="355">
        <v>1.1999999999999999E-3</v>
      </c>
      <c r="I10" s="356" t="s">
        <v>1006</v>
      </c>
      <c r="J10" s="1732">
        <f>ROUND(D10+F10+H10,5)</f>
        <v>2.1299999999999999E-2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6814697</v>
      </c>
      <c r="E16" s="356"/>
      <c r="F16" s="1733">
        <f>SUM('Acct Summary 7-8'!C17,'Acct Summary 7-8'!D17,'Acct Summary 7-8'!F17)</f>
        <v>7071831</v>
      </c>
      <c r="G16" s="356"/>
      <c r="H16" s="1733">
        <f>SUM(D16-F16)</f>
        <v>-257134</v>
      </c>
      <c r="I16" s="222"/>
      <c r="J16" s="1733">
        <f>SUM('Acct Summary 7-8'!C81,'Acct Summary 7-8'!D81,'Acct Summary 7-8'!F81,'Acct Summary 7-8'!I81)</f>
        <v>4199451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13495627.683000002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7558000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Milstadt CCSD 160</v>
      </c>
      <c r="E7" s="391"/>
      <c r="G7" s="252"/>
      <c r="H7" s="387"/>
      <c r="I7" s="387"/>
      <c r="J7" s="387"/>
      <c r="K7" s="387"/>
      <c r="L7" s="329"/>
      <c r="M7" s="329"/>
      <c r="N7" s="329"/>
      <c r="O7" s="329"/>
      <c r="P7" s="329"/>
    </row>
    <row r="8" spans="1:18" ht="12.75" x14ac:dyDescent="0.2">
      <c r="A8" s="329"/>
      <c r="B8" s="329"/>
      <c r="C8" s="389" t="s">
        <v>1125</v>
      </c>
      <c r="D8" s="392">
        <f>COVER!A13</f>
        <v>50082160004</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4199451</v>
      </c>
      <c r="I12" s="404"/>
      <c r="J12" s="404"/>
      <c r="K12" s="405">
        <f>TRUNC((H12/H13*100000),5)/100000</f>
        <v>0.61623444150000006</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6814697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7071831</v>
      </c>
      <c r="I17" s="404"/>
      <c r="J17" s="416"/>
      <c r="K17" s="405">
        <f>TRUNC((H17/H18*100000),5)/100000</f>
        <v>1.0377322717999999</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6814697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13.6815096</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4199451</v>
      </c>
      <c r="I24" s="422"/>
      <c r="J24" s="422"/>
      <c r="K24" s="423">
        <f>TRUNC(((H24/H25*100000)/100000),2)</f>
        <v>213.77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19643.974999999999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3541135.3507400001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7558000</v>
      </c>
      <c r="I32" s="420"/>
      <c r="J32" s="420"/>
      <c r="K32" s="423">
        <f>TRUNC(100-((((H32/H33*100))*100)/100),2)</f>
        <v>43.99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13495627.683000002</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F1" colorId="8" zoomScale="110" zoomScaleNormal="110" workbookViewId="0">
      <pane ySplit="2" topLeftCell="A21"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1231273</v>
      </c>
      <c r="D4" s="466">
        <v>229042</v>
      </c>
      <c r="E4" s="466">
        <v>738178</v>
      </c>
      <c r="F4" s="466">
        <v>1230959</v>
      </c>
      <c r="G4" s="466">
        <v>228368</v>
      </c>
      <c r="H4" s="466"/>
      <c r="I4" s="466">
        <v>1508177</v>
      </c>
      <c r="J4" s="467">
        <v>364678</v>
      </c>
      <c r="K4" s="466">
        <v>127262</v>
      </c>
      <c r="L4" s="466">
        <v>86824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1231273</v>
      </c>
      <c r="D13" s="1737">
        <f t="shared" ref="D13:L13" si="0">SUM(D4:D12)</f>
        <v>229042</v>
      </c>
      <c r="E13" s="1737">
        <f t="shared" si="0"/>
        <v>738178</v>
      </c>
      <c r="F13" s="1737">
        <f t="shared" si="0"/>
        <v>1230959</v>
      </c>
      <c r="G13" s="1737">
        <f t="shared" si="0"/>
        <v>228368</v>
      </c>
      <c r="H13" s="1737">
        <f t="shared" si="0"/>
        <v>0</v>
      </c>
      <c r="I13" s="1737">
        <f t="shared" si="0"/>
        <v>1508177</v>
      </c>
      <c r="J13" s="1737">
        <f t="shared" si="0"/>
        <v>364678</v>
      </c>
      <c r="K13" s="1737">
        <f t="shared" si="0"/>
        <v>127262</v>
      </c>
      <c r="L13" s="1737">
        <f t="shared" si="0"/>
        <v>86824</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738178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6819822</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7558000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86824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86824</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7558000</v>
      </c>
    </row>
    <row r="37" spans="1:14" ht="13.5" thickBot="1" x14ac:dyDescent="0.25">
      <c r="A37" s="1736" t="s">
        <v>653</v>
      </c>
      <c r="B37" s="1741"/>
      <c r="C37" s="477"/>
      <c r="D37" s="477"/>
      <c r="E37" s="477"/>
      <c r="F37" s="477"/>
      <c r="G37" s="477"/>
      <c r="H37" s="477"/>
      <c r="I37" s="477"/>
      <c r="J37" s="477"/>
      <c r="K37" s="477"/>
      <c r="L37" s="480"/>
      <c r="M37" s="468"/>
      <c r="N37" s="1688">
        <f>SUM(N36:N36)</f>
        <v>7558000</v>
      </c>
    </row>
    <row r="38" spans="1:14" s="329" customFormat="1" ht="13.5" customHeight="1" thickTop="1" x14ac:dyDescent="0.2">
      <c r="A38" s="496" t="s">
        <v>420</v>
      </c>
      <c r="B38" s="483">
        <v>714</v>
      </c>
      <c r="C38" s="466"/>
      <c r="D38" s="466"/>
      <c r="E38" s="466">
        <v>738178</v>
      </c>
      <c r="F38" s="466">
        <v>1230959</v>
      </c>
      <c r="G38" s="466">
        <v>228368</v>
      </c>
      <c r="H38" s="466"/>
      <c r="I38" s="466">
        <v>1508177</v>
      </c>
      <c r="J38" s="467">
        <v>364678</v>
      </c>
      <c r="K38" s="466">
        <v>127262</v>
      </c>
      <c r="L38" s="481"/>
      <c r="M38" s="497"/>
      <c r="N38" s="497"/>
    </row>
    <row r="39" spans="1:14" s="329" customFormat="1" ht="13.5" customHeight="1" x14ac:dyDescent="0.2">
      <c r="A39" s="496" t="s">
        <v>342</v>
      </c>
      <c r="B39" s="483">
        <v>730</v>
      </c>
      <c r="C39" s="466">
        <v>1231273</v>
      </c>
      <c r="D39" s="466">
        <v>229042</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1231273</v>
      </c>
      <c r="D41" s="1688">
        <f t="shared" ref="D41:L41" si="2">SUM(D34,D37,D38:D39)</f>
        <v>229042</v>
      </c>
      <c r="E41" s="1688">
        <f t="shared" si="2"/>
        <v>738178</v>
      </c>
      <c r="F41" s="1688">
        <f t="shared" si="2"/>
        <v>1230959</v>
      </c>
      <c r="G41" s="1688">
        <f t="shared" si="2"/>
        <v>228368</v>
      </c>
      <c r="H41" s="1688">
        <f t="shared" si="2"/>
        <v>0</v>
      </c>
      <c r="I41" s="1688">
        <f t="shared" si="2"/>
        <v>1508177</v>
      </c>
      <c r="J41" s="1688">
        <f t="shared" si="2"/>
        <v>364678</v>
      </c>
      <c r="K41" s="1688">
        <f t="shared" si="2"/>
        <v>127262</v>
      </c>
      <c r="L41" s="1688">
        <f t="shared" si="2"/>
        <v>86824</v>
      </c>
      <c r="M41" s="1688">
        <f>SUM(M40)</f>
        <v>0</v>
      </c>
      <c r="N41" s="1688">
        <f>SUM(N37)</f>
        <v>7558000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I76" sqref="I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4253893</v>
      </c>
      <c r="D4" s="1742">
        <f>'Revenues 9-14'!D109</f>
        <v>606474</v>
      </c>
      <c r="E4" s="1742">
        <f>'Revenues 9-14'!E109</f>
        <v>1033795</v>
      </c>
      <c r="F4" s="1742">
        <f>'Revenues 9-14'!F109</f>
        <v>240377</v>
      </c>
      <c r="G4" s="1742">
        <f>'Revenues 9-14'!G109</f>
        <v>334869</v>
      </c>
      <c r="H4" s="1742">
        <f>'Revenues 9-14'!H109</f>
        <v>0</v>
      </c>
      <c r="I4" s="1742">
        <f>'Revenues 9-14'!I109</f>
        <v>96985</v>
      </c>
      <c r="J4" s="1742">
        <f>'Revenues 9-14'!J109</f>
        <v>582665</v>
      </c>
      <c r="K4" s="1742">
        <f>'Revenues 9-14'!K109</f>
        <v>96985</v>
      </c>
      <c r="L4" s="347"/>
    </row>
    <row r="5" spans="1:13" ht="15.75" customHeight="1" x14ac:dyDescent="0.2">
      <c r="A5" s="1576" t="s">
        <v>1500</v>
      </c>
      <c r="B5" s="1577">
        <v>2000</v>
      </c>
      <c r="C5" s="1743">
        <f>'Revenues 9-14'!C114</f>
        <v>193062</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1068983</v>
      </c>
      <c r="D6" s="1743">
        <f>'Revenues 9-14'!D170</f>
        <v>0</v>
      </c>
      <c r="E6" s="1743">
        <f>'Revenues 9-14'!E170</f>
        <v>0</v>
      </c>
      <c r="F6" s="1743">
        <f>'Revenues 9-14'!F170</f>
        <v>111580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243343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5759281</v>
      </c>
      <c r="D8" s="1688">
        <f t="shared" ref="D8:K8" si="0">SUM(D4:D7)</f>
        <v>606474</v>
      </c>
      <c r="E8" s="1688">
        <f t="shared" si="0"/>
        <v>1033795</v>
      </c>
      <c r="F8" s="1688">
        <f t="shared" si="0"/>
        <v>351957</v>
      </c>
      <c r="G8" s="1688">
        <f t="shared" si="0"/>
        <v>334869</v>
      </c>
      <c r="H8" s="1688">
        <f t="shared" si="0"/>
        <v>0</v>
      </c>
      <c r="I8" s="1688">
        <f t="shared" si="0"/>
        <v>96985</v>
      </c>
      <c r="J8" s="1688">
        <f t="shared" si="0"/>
        <v>582665</v>
      </c>
      <c r="K8" s="1688">
        <f t="shared" si="0"/>
        <v>96985</v>
      </c>
      <c r="L8" s="347"/>
    </row>
    <row r="9" spans="1:13" ht="15.75" thickTop="1" x14ac:dyDescent="0.2">
      <c r="A9" s="514" t="s">
        <v>1653</v>
      </c>
      <c r="B9" s="515">
        <v>3998</v>
      </c>
      <c r="C9" s="481">
        <v>2867129</v>
      </c>
      <c r="D9" s="516"/>
      <c r="E9" s="481"/>
      <c r="F9" s="481"/>
      <c r="G9" s="517"/>
      <c r="H9" s="481"/>
      <c r="I9" s="509" t="s">
        <v>1169</v>
      </c>
      <c r="J9" s="478"/>
      <c r="K9" s="481"/>
      <c r="L9" s="347"/>
    </row>
    <row r="10" spans="1:13" s="519" customFormat="1" ht="13.5" thickBot="1" x14ac:dyDescent="0.25">
      <c r="A10" s="1736" t="s">
        <v>1173</v>
      </c>
      <c r="B10" s="1709"/>
      <c r="C10" s="1688">
        <f>SUM(C8:C9)</f>
        <v>8626410</v>
      </c>
      <c r="D10" s="1688">
        <f t="shared" ref="D10:K10" si="1">SUM(D8:D9)</f>
        <v>606474</v>
      </c>
      <c r="E10" s="1688">
        <f t="shared" si="1"/>
        <v>1033795</v>
      </c>
      <c r="F10" s="1688">
        <f t="shared" si="1"/>
        <v>351957</v>
      </c>
      <c r="G10" s="1688">
        <f t="shared" si="1"/>
        <v>334869</v>
      </c>
      <c r="H10" s="1688">
        <f t="shared" si="1"/>
        <v>0</v>
      </c>
      <c r="I10" s="1688">
        <f t="shared" si="1"/>
        <v>96985</v>
      </c>
      <c r="J10" s="1688">
        <f t="shared" si="1"/>
        <v>582665</v>
      </c>
      <c r="K10" s="1688">
        <f t="shared" si="1"/>
        <v>96985</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4881153</v>
      </c>
      <c r="D12" s="520" t="s">
        <v>1169</v>
      </c>
      <c r="E12" s="468" t="s">
        <v>1169</v>
      </c>
      <c r="F12" s="468" t="s">
        <v>1169</v>
      </c>
      <c r="G12" s="1742">
        <f>'Expenditures 15-22'!K229</f>
        <v>119132</v>
      </c>
      <c r="H12" s="521"/>
      <c r="I12" s="468" t="s">
        <v>1169</v>
      </c>
      <c r="J12" s="468" t="s">
        <v>1169</v>
      </c>
      <c r="K12" s="521" t="s">
        <v>1169</v>
      </c>
      <c r="L12" s="347"/>
    </row>
    <row r="13" spans="1:13" ht="15.75" customHeight="1" x14ac:dyDescent="0.2">
      <c r="A13" s="1576" t="s">
        <v>457</v>
      </c>
      <c r="B13" s="1578">
        <v>2000</v>
      </c>
      <c r="C13" s="1743">
        <f>'Expenditures 15-22'!K74</f>
        <v>935429</v>
      </c>
      <c r="D13" s="1743">
        <f>'Expenditures 15-22'!K129</f>
        <v>653166</v>
      </c>
      <c r="E13" s="469" t="s">
        <v>1169</v>
      </c>
      <c r="F13" s="1743">
        <f>'Expenditures 15-22'!K184</f>
        <v>377882</v>
      </c>
      <c r="G13" s="1743">
        <f>'Expenditures 15-22'!K279</f>
        <v>119421</v>
      </c>
      <c r="H13" s="1743">
        <f>'Expenditures 15-22'!K303</f>
        <v>0</v>
      </c>
      <c r="I13" s="468" t="s">
        <v>1169</v>
      </c>
      <c r="J13" s="1743">
        <f>'Expenditures 15-22'!K330</f>
        <v>460960</v>
      </c>
      <c r="K13" s="1747">
        <f>'Expenditures 15-22'!K352</f>
        <v>67520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185325</v>
      </c>
      <c r="D15" s="1743">
        <f>'Expenditures 15-22'!K139</f>
        <v>0</v>
      </c>
      <c r="E15" s="1743">
        <f>'Expenditures 15-22'!K160</f>
        <v>0</v>
      </c>
      <c r="F15" s="1743">
        <f>'Expenditures 15-22'!K196</f>
        <v>38876</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1093024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6001907</v>
      </c>
      <c r="D17" s="1688">
        <f t="shared" si="2"/>
        <v>653166</v>
      </c>
      <c r="E17" s="1688">
        <f t="shared" si="2"/>
        <v>1093024</v>
      </c>
      <c r="F17" s="1688">
        <f t="shared" si="2"/>
        <v>416758</v>
      </c>
      <c r="G17" s="1688">
        <f t="shared" si="2"/>
        <v>238553</v>
      </c>
      <c r="H17" s="1688">
        <f t="shared" si="2"/>
        <v>0</v>
      </c>
      <c r="I17" s="468"/>
      <c r="J17" s="1688">
        <f>SUM(J12:J16)</f>
        <v>460960</v>
      </c>
      <c r="K17" s="1688">
        <f>SUM(K12:K16)</f>
        <v>67520</v>
      </c>
      <c r="L17" s="347"/>
    </row>
    <row r="18" spans="1:12" ht="15" customHeight="1" thickTop="1" x14ac:dyDescent="0.2">
      <c r="A18" s="1744" t="s">
        <v>1654</v>
      </c>
      <c r="B18" s="1745">
        <v>4180</v>
      </c>
      <c r="C18" s="1742">
        <f t="shared" ref="C18:H18" si="3">C9</f>
        <v>2867129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8869036</v>
      </c>
      <c r="D19" s="1688">
        <f t="shared" si="4"/>
        <v>653166</v>
      </c>
      <c r="E19" s="1688">
        <f t="shared" si="4"/>
        <v>1093024</v>
      </c>
      <c r="F19" s="1688">
        <f t="shared" si="4"/>
        <v>416758</v>
      </c>
      <c r="G19" s="1688">
        <f t="shared" si="4"/>
        <v>238553</v>
      </c>
      <c r="H19" s="1688">
        <f t="shared" si="4"/>
        <v>0</v>
      </c>
      <c r="I19" s="468"/>
      <c r="J19" s="1688">
        <f>SUM(J17:J18)</f>
        <v>460960</v>
      </c>
      <c r="K19" s="1688">
        <f>SUM(K17:K18)</f>
        <v>67520</v>
      </c>
      <c r="L19" s="347"/>
    </row>
    <row r="20" spans="1:12" ht="16.5" thickTop="1" thickBot="1" x14ac:dyDescent="0.25">
      <c r="A20" s="2123" t="s">
        <v>1655</v>
      </c>
      <c r="B20" s="2124"/>
      <c r="C20" s="1746">
        <f>C8-C17</f>
        <v>-242626</v>
      </c>
      <c r="D20" s="1746">
        <f t="shared" ref="D20:K20" si="5">D8-D17</f>
        <v>-46692</v>
      </c>
      <c r="E20" s="1746">
        <f t="shared" si="5"/>
        <v>-59229</v>
      </c>
      <c r="F20" s="1746">
        <f t="shared" si="5"/>
        <v>-64801</v>
      </c>
      <c r="G20" s="1746">
        <f t="shared" si="5"/>
        <v>96316</v>
      </c>
      <c r="H20" s="1746">
        <f t="shared" si="5"/>
        <v>0</v>
      </c>
      <c r="I20" s="1746">
        <f t="shared" si="5"/>
        <v>96985</v>
      </c>
      <c r="J20" s="1746">
        <f t="shared" si="5"/>
        <v>121705</v>
      </c>
      <c r="K20" s="1746">
        <f t="shared" si="5"/>
        <v>29465</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1356324</v>
      </c>
      <c r="D25" s="467">
        <v>200000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100000</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1600000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66402</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1356324</v>
      </c>
      <c r="D44" s="1703">
        <f t="shared" ref="D44:K44" si="6">SUM(D24:D43)</f>
        <v>300000</v>
      </c>
      <c r="E44" s="1703">
        <f t="shared" si="6"/>
        <v>66402</v>
      </c>
      <c r="F44" s="1703">
        <f t="shared" si="6"/>
        <v>0</v>
      </c>
      <c r="G44" s="1703">
        <f t="shared" si="6"/>
        <v>0</v>
      </c>
      <c r="H44" s="1703">
        <f t="shared" si="6"/>
        <v>0</v>
      </c>
      <c r="I44" s="1703">
        <f t="shared" si="6"/>
        <v>1600000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1556324</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100000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v>9708</v>
      </c>
      <c r="D57" s="531">
        <v>56694</v>
      </c>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22300</v>
      </c>
      <c r="J75" s="530"/>
      <c r="K75" s="532"/>
      <c r="L75" s="524"/>
    </row>
    <row r="76" spans="1:12" s="485" customFormat="1" ht="14.25" thickTop="1" thickBot="1" x14ac:dyDescent="0.25">
      <c r="A76" s="2113" t="s">
        <v>440</v>
      </c>
      <c r="B76" s="2114"/>
      <c r="C76" s="1703">
        <f t="shared" ref="C76:K76" si="7">SUM(C47:C75)</f>
        <v>9708</v>
      </c>
      <c r="D76" s="1703">
        <f t="shared" si="7"/>
        <v>56694</v>
      </c>
      <c r="E76" s="1703">
        <f t="shared" si="7"/>
        <v>0</v>
      </c>
      <c r="F76" s="1703">
        <f t="shared" si="7"/>
        <v>100000</v>
      </c>
      <c r="G76" s="1703">
        <f t="shared" si="7"/>
        <v>0</v>
      </c>
      <c r="H76" s="1703">
        <f t="shared" si="7"/>
        <v>0</v>
      </c>
      <c r="I76" s="1703">
        <f t="shared" si="7"/>
        <v>1578624</v>
      </c>
      <c r="J76" s="1703">
        <f t="shared" si="7"/>
        <v>0</v>
      </c>
      <c r="K76" s="1703">
        <f t="shared" si="7"/>
        <v>0</v>
      </c>
      <c r="L76" s="524"/>
    </row>
    <row r="77" spans="1:12" ht="14.25" thickTop="1" thickBot="1" x14ac:dyDescent="0.25">
      <c r="A77" s="2115" t="s">
        <v>1177</v>
      </c>
      <c r="B77" s="2116"/>
      <c r="C77" s="1703">
        <f t="shared" ref="C77:K77" si="8">C44-C76</f>
        <v>1346616</v>
      </c>
      <c r="D77" s="1703">
        <f t="shared" si="8"/>
        <v>243306</v>
      </c>
      <c r="E77" s="1703">
        <f t="shared" si="8"/>
        <v>66402</v>
      </c>
      <c r="F77" s="1703">
        <f t="shared" si="8"/>
        <v>-100000</v>
      </c>
      <c r="G77" s="1703">
        <f t="shared" si="8"/>
        <v>0</v>
      </c>
      <c r="H77" s="1703">
        <f t="shared" si="8"/>
        <v>0</v>
      </c>
      <c r="I77" s="1703">
        <f t="shared" si="8"/>
        <v>21376</v>
      </c>
      <c r="J77" s="1703">
        <f t="shared" si="8"/>
        <v>0</v>
      </c>
      <c r="K77" s="1703">
        <f t="shared" si="8"/>
        <v>0</v>
      </c>
      <c r="L77" s="347"/>
    </row>
    <row r="78" spans="1:12" ht="21.75" customHeight="1" thickTop="1" thickBot="1" x14ac:dyDescent="0.25">
      <c r="A78" s="2119" t="s">
        <v>597</v>
      </c>
      <c r="B78" s="2120"/>
      <c r="C78" s="1702">
        <f t="shared" ref="C78:K78" si="9">C20+C77</f>
        <v>1103990</v>
      </c>
      <c r="D78" s="1702">
        <f t="shared" si="9"/>
        <v>196614</v>
      </c>
      <c r="E78" s="1702">
        <f t="shared" si="9"/>
        <v>7173</v>
      </c>
      <c r="F78" s="1702">
        <f t="shared" si="9"/>
        <v>-164801</v>
      </c>
      <c r="G78" s="1702">
        <f t="shared" si="9"/>
        <v>96316</v>
      </c>
      <c r="H78" s="1702">
        <f t="shared" si="9"/>
        <v>0</v>
      </c>
      <c r="I78" s="1702">
        <f t="shared" si="9"/>
        <v>118361</v>
      </c>
      <c r="J78" s="1702">
        <f t="shared" si="9"/>
        <v>121705</v>
      </c>
      <c r="K78" s="1702">
        <f t="shared" si="9"/>
        <v>29465</v>
      </c>
      <c r="L78" s="533"/>
    </row>
    <row r="79" spans="1:12" ht="13.5" thickTop="1" x14ac:dyDescent="0.2">
      <c r="A79" s="1494" t="s">
        <v>1947</v>
      </c>
      <c r="B79" s="534"/>
      <c r="C79" s="478">
        <v>127283</v>
      </c>
      <c r="D79" s="535">
        <v>32428</v>
      </c>
      <c r="E79" s="535">
        <v>731005</v>
      </c>
      <c r="F79" s="535">
        <v>1395760</v>
      </c>
      <c r="G79" s="535">
        <v>132052</v>
      </c>
      <c r="H79" s="535"/>
      <c r="I79" s="535">
        <v>1389816</v>
      </c>
      <c r="J79" s="535">
        <v>242973</v>
      </c>
      <c r="K79" s="535">
        <v>97797</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1948</v>
      </c>
      <c r="B81" s="2118"/>
      <c r="C81" s="1688">
        <f>(SUM(C78:C80))</f>
        <v>1231273</v>
      </c>
      <c r="D81" s="1688">
        <f>SUM(D78:D80)</f>
        <v>229042</v>
      </c>
      <c r="E81" s="1688">
        <f t="shared" ref="E81:K81" si="10">SUM(E78:E80)</f>
        <v>738178</v>
      </c>
      <c r="F81" s="1688">
        <f t="shared" si="10"/>
        <v>1230959</v>
      </c>
      <c r="G81" s="1688">
        <f t="shared" si="10"/>
        <v>228368</v>
      </c>
      <c r="H81" s="1688">
        <f t="shared" si="10"/>
        <v>0</v>
      </c>
      <c r="I81" s="1688">
        <f t="shared" si="10"/>
        <v>1508177</v>
      </c>
      <c r="J81" s="1688">
        <f t="shared" si="10"/>
        <v>364678</v>
      </c>
      <c r="K81" s="1688">
        <f t="shared" si="10"/>
        <v>127262</v>
      </c>
      <c r="L81" s="347"/>
    </row>
    <row r="82" spans="1:12" ht="0.75" customHeight="1" thickTop="1" thickBot="1" x14ac:dyDescent="0.25">
      <c r="A82" s="536" t="s">
        <v>343</v>
      </c>
      <c r="B82" s="537"/>
      <c r="C82" s="538">
        <f>(C81-C79)</f>
        <v>1103990</v>
      </c>
      <c r="D82" s="538">
        <f t="shared" ref="D82:K82" si="11">(D81-D79)</f>
        <v>196614</v>
      </c>
      <c r="E82" s="538">
        <f t="shared" si="11"/>
        <v>7173</v>
      </c>
      <c r="F82" s="538">
        <f t="shared" si="11"/>
        <v>-164801</v>
      </c>
      <c r="G82" s="538">
        <f t="shared" si="11"/>
        <v>96316</v>
      </c>
      <c r="H82" s="538">
        <f t="shared" si="11"/>
        <v>0</v>
      </c>
      <c r="I82" s="538">
        <f t="shared" si="11"/>
        <v>118361</v>
      </c>
      <c r="J82" s="538">
        <f t="shared" si="11"/>
        <v>121705</v>
      </c>
      <c r="K82" s="538">
        <f t="shared" si="11"/>
        <v>29465</v>
      </c>
    </row>
    <row r="83" spans="1:12" ht="14.25" hidden="1" thickTop="1" thickBot="1" x14ac:dyDescent="0.25">
      <c r="A83" s="539" t="s">
        <v>344</v>
      </c>
      <c r="B83" s="464"/>
      <c r="C83" s="540">
        <f>C82/C81</f>
        <v>0.89662487523075707</v>
      </c>
      <c r="D83" s="540">
        <f t="shared" ref="D83:K83" si="12">D82/D81</f>
        <v>0.85841897992507921</v>
      </c>
      <c r="E83" s="540">
        <f t="shared" si="12"/>
        <v>9.7171684878173022E-3</v>
      </c>
      <c r="F83" s="540">
        <f t="shared" si="12"/>
        <v>-0.13388016985131104</v>
      </c>
      <c r="G83" s="540">
        <f t="shared" si="12"/>
        <v>0.42175786449940444</v>
      </c>
      <c r="H83" s="540" t="e">
        <f t="shared" si="12"/>
        <v>#DIV/0!</v>
      </c>
      <c r="I83" s="540">
        <f t="shared" si="12"/>
        <v>7.8479515335401609E-2</v>
      </c>
      <c r="J83" s="540">
        <f t="shared" si="12"/>
        <v>0.33373277247325039</v>
      </c>
      <c r="K83" s="540">
        <f t="shared" si="12"/>
        <v>0.23153022897644229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K5" sqref="K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3416410</v>
      </c>
      <c r="D5" s="481">
        <v>484923</v>
      </c>
      <c r="E5" s="466">
        <v>1033795</v>
      </c>
      <c r="F5" s="548">
        <v>232764</v>
      </c>
      <c r="G5" s="466">
        <v>167308</v>
      </c>
      <c r="H5" s="466"/>
      <c r="I5" s="466">
        <v>96985</v>
      </c>
      <c r="J5" s="467">
        <v>582665</v>
      </c>
      <c r="K5" s="466">
        <v>96985</v>
      </c>
    </row>
    <row r="6" spans="1:12" ht="15" x14ac:dyDescent="0.2">
      <c r="A6" s="463" t="s">
        <v>1662</v>
      </c>
      <c r="B6" s="470">
        <v>1130</v>
      </c>
      <c r="C6" s="466"/>
      <c r="D6" s="466">
        <v>96985</v>
      </c>
      <c r="E6" s="475"/>
      <c r="F6" s="475"/>
      <c r="G6" s="468"/>
      <c r="H6" s="468"/>
      <c r="I6" s="468"/>
      <c r="J6" s="468"/>
      <c r="K6" s="468"/>
    </row>
    <row r="7" spans="1:12" x14ac:dyDescent="0.2">
      <c r="A7" s="463" t="s">
        <v>110</v>
      </c>
      <c r="B7" s="549">
        <v>1140</v>
      </c>
      <c r="C7" s="466">
        <v>38796</v>
      </c>
      <c r="D7" s="466"/>
      <c r="E7" s="468"/>
      <c r="F7" s="467"/>
      <c r="G7" s="467"/>
      <c r="H7" s="467"/>
      <c r="I7" s="468"/>
      <c r="J7" s="468"/>
      <c r="K7" s="468"/>
    </row>
    <row r="8" spans="1:12" x14ac:dyDescent="0.2">
      <c r="A8" s="463" t="s">
        <v>413</v>
      </c>
      <c r="B8" s="470">
        <v>1150</v>
      </c>
      <c r="C8" s="475"/>
      <c r="D8" s="475"/>
      <c r="E8" s="477"/>
      <c r="F8" s="477"/>
      <c r="G8" s="481">
        <v>167561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3455206</v>
      </c>
      <c r="D12" s="1707">
        <f t="shared" si="0"/>
        <v>581908</v>
      </c>
      <c r="E12" s="1707">
        <f t="shared" si="0"/>
        <v>1033795</v>
      </c>
      <c r="F12" s="1707">
        <f t="shared" si="0"/>
        <v>232764</v>
      </c>
      <c r="G12" s="1707">
        <f t="shared" si="0"/>
        <v>334869</v>
      </c>
      <c r="H12" s="1707">
        <f t="shared" si="0"/>
        <v>0</v>
      </c>
      <c r="I12" s="1707">
        <f t="shared" si="0"/>
        <v>96985</v>
      </c>
      <c r="J12" s="1707">
        <f t="shared" si="0"/>
        <v>582665</v>
      </c>
      <c r="K12" s="1688">
        <f t="shared" si="0"/>
        <v>96985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65430</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65430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213146</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v>146712</v>
      </c>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359858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7613</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7613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93062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93062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146468</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146468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f>4389+4180</f>
        <v>8569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3359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11928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51300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51300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19975</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878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69554+211-2</f>
        <v>69763</v>
      </c>
      <c r="D107" s="466">
        <f>2592+2000-1</f>
        <v>4591</v>
      </c>
      <c r="E107" s="466"/>
      <c r="F107" s="466"/>
      <c r="G107" s="466"/>
      <c r="H107" s="466"/>
      <c r="I107" s="466"/>
      <c r="J107" s="467"/>
      <c r="K107" s="466"/>
    </row>
    <row r="108" spans="1:12" ht="12.75" customHeight="1" thickBot="1" x14ac:dyDescent="0.25">
      <c r="A108" s="1708" t="s">
        <v>487</v>
      </c>
      <c r="B108" s="1712"/>
      <c r="C108" s="1707">
        <f>SUM(C95:C107)</f>
        <v>70641</v>
      </c>
      <c r="D108" s="1707">
        <f t="shared" ref="D108:K108" si="3">SUM(D95:D107)</f>
        <v>24566</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4253893</v>
      </c>
      <c r="D109" s="1715">
        <f t="shared" si="4"/>
        <v>606474</v>
      </c>
      <c r="E109" s="1715">
        <f t="shared" si="4"/>
        <v>1033795</v>
      </c>
      <c r="F109" s="1715">
        <f t="shared" si="4"/>
        <v>240377</v>
      </c>
      <c r="G109" s="1715">
        <f t="shared" si="4"/>
        <v>334869</v>
      </c>
      <c r="H109" s="1715">
        <f t="shared" si="4"/>
        <v>0</v>
      </c>
      <c r="I109" s="1715">
        <f t="shared" si="4"/>
        <v>96985</v>
      </c>
      <c r="J109" s="1715">
        <f t="shared" si="4"/>
        <v>582665</v>
      </c>
      <c r="K109" s="1702">
        <f t="shared" si="4"/>
        <v>96985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193062</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193062</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1036052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1036052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389</v>
      </c>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389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1230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80990</v>
      </c>
      <c r="G152" s="467"/>
      <c r="H152" s="468"/>
      <c r="I152" s="468"/>
      <c r="J152" s="468"/>
      <c r="K152" s="468"/>
    </row>
    <row r="153" spans="1:11" ht="12.75" customHeight="1" x14ac:dyDescent="0.2">
      <c r="A153" s="463" t="s">
        <v>1057</v>
      </c>
      <c r="B153" s="562">
        <v>3510</v>
      </c>
      <c r="C153" s="551"/>
      <c r="D153" s="466"/>
      <c r="E153" s="561"/>
      <c r="F153" s="466">
        <v>30590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111580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31312</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32931</v>
      </c>
      <c r="D169" s="1722">
        <f t="shared" si="6"/>
        <v>0</v>
      </c>
      <c r="E169" s="1722">
        <f t="shared" si="6"/>
        <v>0</v>
      </c>
      <c r="F169" s="1722">
        <f t="shared" si="6"/>
        <v>111580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1068983</v>
      </c>
      <c r="D170" s="1715">
        <f t="shared" si="7"/>
        <v>0</v>
      </c>
      <c r="E170" s="1715">
        <f t="shared" si="7"/>
        <v>0</v>
      </c>
      <c r="F170" s="1715">
        <f t="shared" si="7"/>
        <v>111580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67923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17918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85841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88634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88634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10169</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10169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331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331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20608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37760</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243343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243343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5759281</v>
      </c>
      <c r="D268" s="1715">
        <f t="shared" si="12"/>
        <v>606474</v>
      </c>
      <c r="E268" s="1715">
        <f t="shared" si="12"/>
        <v>1033795</v>
      </c>
      <c r="F268" s="1715">
        <f t="shared" si="12"/>
        <v>351957</v>
      </c>
      <c r="G268" s="1715">
        <f t="shared" si="12"/>
        <v>334869</v>
      </c>
      <c r="H268" s="1715">
        <f t="shared" si="12"/>
        <v>0</v>
      </c>
      <c r="I268" s="1715">
        <f t="shared" si="12"/>
        <v>96985</v>
      </c>
      <c r="J268" s="1715">
        <f t="shared" si="12"/>
        <v>582665</v>
      </c>
      <c r="K268" s="1702">
        <f t="shared" si="12"/>
        <v>96985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150" activePane="bottomLeft" state="frozen"/>
      <selection pane="bottomLeft" activeCell="H172" sqref="H17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2549935</v>
      </c>
      <c r="D5" s="466">
        <v>693259</v>
      </c>
      <c r="E5" s="466">
        <v>5837</v>
      </c>
      <c r="F5" s="466">
        <v>94786</v>
      </c>
      <c r="G5" s="466"/>
      <c r="H5" s="466"/>
      <c r="I5" s="467"/>
      <c r="J5" s="467"/>
      <c r="K5" s="1671">
        <f>SUM(C5:J5)</f>
        <v>3343817</v>
      </c>
      <c r="L5" s="466">
        <v>3427198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f>32927+54981</f>
        <v>87908</v>
      </c>
      <c r="D7" s="467">
        <v>18262</v>
      </c>
      <c r="E7" s="467"/>
      <c r="F7" s="467">
        <f>1175+1582</f>
        <v>2757</v>
      </c>
      <c r="G7" s="467"/>
      <c r="H7" s="467"/>
      <c r="I7" s="467"/>
      <c r="J7" s="467"/>
      <c r="K7" s="1671">
        <f t="shared" ref="K7:K32" si="0">SUM(C7:J7)</f>
        <v>108927</v>
      </c>
      <c r="L7" s="466">
        <v>110754</v>
      </c>
    </row>
    <row r="8" spans="1:14" x14ac:dyDescent="0.2">
      <c r="A8" s="1504" t="s">
        <v>164</v>
      </c>
      <c r="B8" s="614">
        <v>1200</v>
      </c>
      <c r="C8" s="466">
        <f>769565+87561+24401-1</f>
        <v>881526</v>
      </c>
      <c r="D8" s="466">
        <f>198575-18262</f>
        <v>180313</v>
      </c>
      <c r="E8" s="466">
        <v>371</v>
      </c>
      <c r="F8" s="466">
        <f>3830-2757</f>
        <v>1073</v>
      </c>
      <c r="G8" s="466"/>
      <c r="H8" s="466"/>
      <c r="I8" s="467"/>
      <c r="J8" s="467"/>
      <c r="K8" s="1671">
        <f t="shared" si="0"/>
        <v>1063283</v>
      </c>
      <c r="L8" s="466">
        <v>1086401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f>302148-41275</f>
        <v>260873</v>
      </c>
      <c r="D10" s="466">
        <f>-3503+41036</f>
        <v>37533</v>
      </c>
      <c r="E10" s="466">
        <f>8403+2076+1128</f>
        <v>11607</v>
      </c>
      <c r="F10" s="466">
        <v>-280</v>
      </c>
      <c r="G10" s="466"/>
      <c r="H10" s="466"/>
      <c r="I10" s="467"/>
      <c r="J10" s="467"/>
      <c r="K10" s="1671">
        <f t="shared" si="0"/>
        <v>309733</v>
      </c>
      <c r="L10" s="466">
        <v>313721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41275</v>
      </c>
      <c r="D14" s="466">
        <f>699+230+2574</f>
        <v>3503</v>
      </c>
      <c r="E14" s="466">
        <v>8431</v>
      </c>
      <c r="F14" s="466">
        <v>1500</v>
      </c>
      <c r="G14" s="466">
        <v>684</v>
      </c>
      <c r="H14" s="466"/>
      <c r="I14" s="467"/>
      <c r="J14" s="467"/>
      <c r="K14" s="1671">
        <f t="shared" si="0"/>
        <v>55393</v>
      </c>
      <c r="L14" s="466">
        <v>56850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3821517</v>
      </c>
      <c r="D33" s="1670">
        <f t="shared" ref="D33:L33" si="1">SUM(D5:D32)</f>
        <v>932870</v>
      </c>
      <c r="E33" s="1670">
        <f t="shared" si="1"/>
        <v>26246</v>
      </c>
      <c r="F33" s="1670">
        <f t="shared" si="1"/>
        <v>99836</v>
      </c>
      <c r="G33" s="1670">
        <f t="shared" si="1"/>
        <v>684</v>
      </c>
      <c r="H33" s="1670">
        <f t="shared" si="1"/>
        <v>0</v>
      </c>
      <c r="I33" s="1670">
        <f t="shared" si="1"/>
        <v>0</v>
      </c>
      <c r="J33" s="1670">
        <f t="shared" si="1"/>
        <v>0</v>
      </c>
      <c r="K33" s="1670">
        <f t="shared" si="1"/>
        <v>4881153</v>
      </c>
      <c r="L33" s="1670">
        <f t="shared" si="1"/>
        <v>4994924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68452</v>
      </c>
      <c r="D36" s="481">
        <v>17247</v>
      </c>
      <c r="E36" s="481"/>
      <c r="F36" s="481"/>
      <c r="G36" s="481"/>
      <c r="H36" s="481"/>
      <c r="I36" s="467"/>
      <c r="J36" s="467"/>
      <c r="K36" s="1671">
        <f t="shared" ref="K36:K41" si="2">SUM(C36:J36)</f>
        <v>85699</v>
      </c>
      <c r="L36" s="466">
        <v>87816</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-28552</v>
      </c>
      <c r="D38" s="466">
        <v>2710</v>
      </c>
      <c r="E38" s="466">
        <v>552</v>
      </c>
      <c r="F38" s="466">
        <v>1355</v>
      </c>
      <c r="G38" s="466"/>
      <c r="H38" s="466"/>
      <c r="I38" s="467"/>
      <c r="J38" s="467"/>
      <c r="K38" s="1671">
        <f t="shared" si="2"/>
        <v>-23935</v>
      </c>
      <c r="L38" s="466">
        <v>5550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39900</v>
      </c>
      <c r="D42" s="1670">
        <f t="shared" ref="D42:L42" si="3">SUM(D36:D41)</f>
        <v>19957</v>
      </c>
      <c r="E42" s="1670">
        <f t="shared" si="3"/>
        <v>552</v>
      </c>
      <c r="F42" s="1670">
        <f t="shared" si="3"/>
        <v>1355</v>
      </c>
      <c r="G42" s="1670">
        <f t="shared" si="3"/>
        <v>0</v>
      </c>
      <c r="H42" s="1670">
        <f t="shared" si="3"/>
        <v>0</v>
      </c>
      <c r="I42" s="1670">
        <f t="shared" si="3"/>
        <v>0</v>
      </c>
      <c r="J42" s="1670">
        <f t="shared" si="3"/>
        <v>0</v>
      </c>
      <c r="K42" s="1670">
        <f t="shared" si="3"/>
        <v>61764</v>
      </c>
      <c r="L42" s="1670">
        <f t="shared" si="3"/>
        <v>93366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40551</v>
      </c>
      <c r="D44" s="481">
        <v>5532</v>
      </c>
      <c r="E44" s="481">
        <v>13809</v>
      </c>
      <c r="F44" s="481">
        <f>8164+725</f>
        <v>8889</v>
      </c>
      <c r="G44" s="481"/>
      <c r="H44" s="481"/>
      <c r="I44" s="467"/>
      <c r="J44" s="467"/>
      <c r="K44" s="1672">
        <f>SUM(C44:J44)</f>
        <v>68781</v>
      </c>
      <c r="L44" s="481">
        <v>65150</v>
      </c>
    </row>
    <row r="45" spans="1:14" x14ac:dyDescent="0.2">
      <c r="A45" s="1504" t="s">
        <v>815</v>
      </c>
      <c r="B45" s="614">
        <v>2220</v>
      </c>
      <c r="C45" s="466"/>
      <c r="D45" s="466"/>
      <c r="E45" s="466"/>
      <c r="F45" s="466">
        <f>1090+595+408</f>
        <v>2093</v>
      </c>
      <c r="G45" s="466"/>
      <c r="H45" s="466"/>
      <c r="I45" s="467"/>
      <c r="J45" s="467"/>
      <c r="K45" s="1672">
        <f>SUM(C45:J45)</f>
        <v>2093</v>
      </c>
      <c r="L45" s="466">
        <v>1050</v>
      </c>
    </row>
    <row r="46" spans="1:14" x14ac:dyDescent="0.2">
      <c r="A46" s="1504" t="s">
        <v>816</v>
      </c>
      <c r="B46" s="614">
        <v>2230</v>
      </c>
      <c r="C46" s="466"/>
      <c r="D46" s="466"/>
      <c r="E46" s="466"/>
      <c r="F46" s="466">
        <f>174+3561</f>
        <v>3735</v>
      </c>
      <c r="G46" s="466"/>
      <c r="H46" s="466"/>
      <c r="I46" s="467"/>
      <c r="J46" s="467"/>
      <c r="K46" s="1672">
        <f>SUM(C46:J46)</f>
        <v>3735</v>
      </c>
      <c r="L46" s="466">
        <v>3550</v>
      </c>
    </row>
    <row r="47" spans="1:14" ht="12.75" customHeight="1" thickBot="1" x14ac:dyDescent="0.25">
      <c r="A47" s="1668" t="s">
        <v>561</v>
      </c>
      <c r="B47" s="1669" t="s">
        <v>32</v>
      </c>
      <c r="C47" s="1670">
        <f>SUM(C44:C46)</f>
        <v>40551</v>
      </c>
      <c r="D47" s="1670">
        <f t="shared" ref="D47:K47" si="4">SUM(D44:D46)</f>
        <v>5532</v>
      </c>
      <c r="E47" s="1670">
        <f t="shared" si="4"/>
        <v>13809</v>
      </c>
      <c r="F47" s="1670">
        <f t="shared" si="4"/>
        <v>14717</v>
      </c>
      <c r="G47" s="1670">
        <f t="shared" si="4"/>
        <v>0</v>
      </c>
      <c r="H47" s="1670">
        <f t="shared" si="4"/>
        <v>0</v>
      </c>
      <c r="I47" s="1670">
        <f t="shared" si="4"/>
        <v>0</v>
      </c>
      <c r="J47" s="1670">
        <f t="shared" si="4"/>
        <v>0</v>
      </c>
      <c r="K47" s="1670">
        <f t="shared" si="4"/>
        <v>74609</v>
      </c>
      <c r="L47" s="1670">
        <f>SUM(L44:L46)</f>
        <v>69750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26914</v>
      </c>
      <c r="F49" s="481">
        <v>57</v>
      </c>
      <c r="G49" s="481"/>
      <c r="H49" s="481"/>
      <c r="I49" s="467"/>
      <c r="J49" s="467"/>
      <c r="K49" s="1672">
        <f>SUM(C49:J49)</f>
        <v>26971</v>
      </c>
      <c r="L49" s="481">
        <v>26283</v>
      </c>
    </row>
    <row r="50" spans="1:14" x14ac:dyDescent="0.2">
      <c r="A50" s="1504" t="s">
        <v>818</v>
      </c>
      <c r="B50" s="614">
        <v>2320</v>
      </c>
      <c r="C50" s="466">
        <v>114507</v>
      </c>
      <c r="D50" s="466">
        <v>34962</v>
      </c>
      <c r="E50" s="466">
        <f>-26914+36243</f>
        <v>9329</v>
      </c>
      <c r="F50" s="466">
        <f>970-57</f>
        <v>913</v>
      </c>
      <c r="G50" s="466"/>
      <c r="H50" s="466"/>
      <c r="I50" s="467"/>
      <c r="J50" s="467"/>
      <c r="K50" s="1672">
        <f>SUM(C50:J50)</f>
        <v>159711</v>
      </c>
      <c r="L50" s="466">
        <v>159000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114507</v>
      </c>
      <c r="D53" s="1670">
        <f t="shared" ref="D53:L53" si="5">SUM(D49:D52)</f>
        <v>34962</v>
      </c>
      <c r="E53" s="1670">
        <f t="shared" si="5"/>
        <v>36243</v>
      </c>
      <c r="F53" s="1670">
        <f t="shared" si="5"/>
        <v>970</v>
      </c>
      <c r="G53" s="1670">
        <f t="shared" si="5"/>
        <v>0</v>
      </c>
      <c r="H53" s="1670">
        <f t="shared" si="5"/>
        <v>0</v>
      </c>
      <c r="I53" s="1670">
        <f t="shared" si="5"/>
        <v>0</v>
      </c>
      <c r="J53" s="1670">
        <f t="shared" si="5"/>
        <v>0</v>
      </c>
      <c r="K53" s="1670">
        <f t="shared" si="5"/>
        <v>186682</v>
      </c>
      <c r="L53" s="1670">
        <f t="shared" si="5"/>
        <v>185283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187489</v>
      </c>
      <c r="D55" s="481">
        <v>55586</v>
      </c>
      <c r="E55" s="481">
        <v>13121</v>
      </c>
      <c r="F55" s="481">
        <v>1282</v>
      </c>
      <c r="G55" s="481"/>
      <c r="H55" s="481"/>
      <c r="I55" s="467"/>
      <c r="J55" s="467"/>
      <c r="K55" s="1672">
        <f>SUM(C55:J55)</f>
        <v>257478</v>
      </c>
      <c r="L55" s="481">
        <v>257204</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187489</v>
      </c>
      <c r="D57" s="1674">
        <f t="shared" ref="D57:K57" si="6">SUM(D55:D56)</f>
        <v>55586</v>
      </c>
      <c r="E57" s="1674">
        <f t="shared" si="6"/>
        <v>13121</v>
      </c>
      <c r="F57" s="1674">
        <f t="shared" si="6"/>
        <v>1282</v>
      </c>
      <c r="G57" s="1674">
        <f t="shared" si="6"/>
        <v>0</v>
      </c>
      <c r="H57" s="1674">
        <f t="shared" si="6"/>
        <v>0</v>
      </c>
      <c r="I57" s="1674">
        <f t="shared" si="6"/>
        <v>0</v>
      </c>
      <c r="J57" s="1674">
        <f t="shared" si="6"/>
        <v>0</v>
      </c>
      <c r="K57" s="1674">
        <f t="shared" si="6"/>
        <v>257478</v>
      </c>
      <c r="L57" s="1670">
        <f>SUM(L55:L56)</f>
        <v>257204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43618</v>
      </c>
      <c r="D60" s="466">
        <v>13672</v>
      </c>
      <c r="E60" s="466">
        <f>974+21390+12800</f>
        <v>35164</v>
      </c>
      <c r="F60" s="466">
        <v>1482</v>
      </c>
      <c r="G60" s="466"/>
      <c r="H60" s="466"/>
      <c r="I60" s="467"/>
      <c r="J60" s="467"/>
      <c r="K60" s="1672">
        <f t="shared" si="7"/>
        <v>93936</v>
      </c>
      <c r="L60" s="466">
        <v>59858</v>
      </c>
      <c r="M60" s="609"/>
      <c r="N60" s="609"/>
    </row>
    <row r="61" spans="1:14" s="343" customFormat="1" x14ac:dyDescent="0.2">
      <c r="A61" s="1504" t="s">
        <v>197</v>
      </c>
      <c r="B61" s="614">
        <v>2540</v>
      </c>
      <c r="C61" s="466"/>
      <c r="D61" s="466"/>
      <c r="E61" s="466"/>
      <c r="F61" s="466">
        <v>15662</v>
      </c>
      <c r="G61" s="466"/>
      <c r="H61" s="466"/>
      <c r="I61" s="467"/>
      <c r="J61" s="467"/>
      <c r="K61" s="1672">
        <f t="shared" si="7"/>
        <v>15662</v>
      </c>
      <c r="L61" s="466">
        <v>53000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32239</v>
      </c>
      <c r="D63" s="466">
        <v>11</v>
      </c>
      <c r="E63" s="466">
        <v>208447</v>
      </c>
      <c r="F63" s="466">
        <v>183</v>
      </c>
      <c r="G63" s="466">
        <v>4418</v>
      </c>
      <c r="H63" s="466"/>
      <c r="I63" s="467"/>
      <c r="J63" s="467"/>
      <c r="K63" s="1672">
        <f t="shared" si="7"/>
        <v>245298</v>
      </c>
      <c r="L63" s="466">
        <v>201162</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75857</v>
      </c>
      <c r="D65" s="1670">
        <f t="shared" ref="D65:L65" si="8">SUM(D59:D64)</f>
        <v>13683</v>
      </c>
      <c r="E65" s="1670">
        <f t="shared" si="8"/>
        <v>243611</v>
      </c>
      <c r="F65" s="1670">
        <f t="shared" si="8"/>
        <v>17327</v>
      </c>
      <c r="G65" s="1670">
        <f t="shared" si="8"/>
        <v>4418</v>
      </c>
      <c r="H65" s="1670">
        <f t="shared" si="8"/>
        <v>0</v>
      </c>
      <c r="I65" s="1670">
        <f t="shared" si="8"/>
        <v>0</v>
      </c>
      <c r="J65" s="1670">
        <f t="shared" si="8"/>
        <v>0</v>
      </c>
      <c r="K65" s="1670">
        <f t="shared" si="8"/>
        <v>354896</v>
      </c>
      <c r="L65" s="1670">
        <f t="shared" si="8"/>
        <v>314020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458304</v>
      </c>
      <c r="D74" s="1677">
        <f t="shared" ref="D74:K74" si="10">SUM(D42,D47,D53,D57,D65,D72,D73)</f>
        <v>129720</v>
      </c>
      <c r="E74" s="1677">
        <f t="shared" si="10"/>
        <v>307336</v>
      </c>
      <c r="F74" s="1677">
        <f t="shared" si="10"/>
        <v>35651</v>
      </c>
      <c r="G74" s="1677">
        <f t="shared" si="10"/>
        <v>4418</v>
      </c>
      <c r="H74" s="1677">
        <f t="shared" si="10"/>
        <v>0</v>
      </c>
      <c r="I74" s="1677">
        <f t="shared" si="10"/>
        <v>0</v>
      </c>
      <c r="J74" s="1677">
        <f t="shared" si="10"/>
        <v>0</v>
      </c>
      <c r="K74" s="1677">
        <f t="shared" si="10"/>
        <v>935429</v>
      </c>
      <c r="L74" s="1677">
        <f>SUM(L42,L47,L53,L57,L65,L72,L73)</f>
        <v>919623</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185325</v>
      </c>
      <c r="I79" s="477"/>
      <c r="J79" s="477"/>
      <c r="K79" s="1671">
        <f t="shared" si="11"/>
        <v>185325</v>
      </c>
      <c r="L79" s="466">
        <v>195000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185325</v>
      </c>
      <c r="I84" s="477"/>
      <c r="J84" s="477"/>
      <c r="K84" s="1670">
        <f>SUM(K78:K83)</f>
        <v>185325</v>
      </c>
      <c r="L84" s="1670">
        <f>SUM(L78:L83)</f>
        <v>195000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185325</v>
      </c>
      <c r="I102" s="477"/>
      <c r="J102" s="477"/>
      <c r="K102" s="1677">
        <f>SUM(K84,K92,K100,K101)</f>
        <v>185325</v>
      </c>
      <c r="L102" s="1677">
        <f>SUM(L84,L92,L100,L101)</f>
        <v>195000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4279821</v>
      </c>
      <c r="D114" s="1670">
        <f t="shared" ref="D114:K114" si="13">SUM(D33,D74,D75,D102,D112,D113)</f>
        <v>1062590</v>
      </c>
      <c r="E114" s="1670">
        <f t="shared" si="13"/>
        <v>333582</v>
      </c>
      <c r="F114" s="1670">
        <f t="shared" si="13"/>
        <v>135487</v>
      </c>
      <c r="G114" s="1670">
        <f t="shared" si="13"/>
        <v>5102</v>
      </c>
      <c r="H114" s="1670">
        <f>SUM(H33,H74,H75,H102,H112,H113)</f>
        <v>185325</v>
      </c>
      <c r="I114" s="1670">
        <f t="shared" si="13"/>
        <v>0</v>
      </c>
      <c r="J114" s="1670">
        <f t="shared" si="13"/>
        <v>0</v>
      </c>
      <c r="K114" s="1670">
        <f t="shared" si="13"/>
        <v>6001907</v>
      </c>
      <c r="L114" s="1670">
        <f>SUM(L33,L74,L75,L102,L112,L113)</f>
        <v>6109547</v>
      </c>
    </row>
    <row r="115" spans="1:14" ht="13.5" thickTop="1" x14ac:dyDescent="0.2">
      <c r="A115" s="2178" t="s">
        <v>996</v>
      </c>
      <c r="B115" s="2179"/>
      <c r="C115" s="618"/>
      <c r="D115" s="618"/>
      <c r="E115" s="618"/>
      <c r="F115" s="618"/>
      <c r="G115" s="618"/>
      <c r="H115" s="618"/>
      <c r="I115" s="618"/>
      <c r="J115" s="618"/>
      <c r="K115" s="1684">
        <f>'Revenues 9-14'!C268-'Expenditures 15-22'!K114</f>
        <v>-242626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220496</v>
      </c>
      <c r="D124" s="466">
        <v>46397</v>
      </c>
      <c r="E124" s="466">
        <v>53713</v>
      </c>
      <c r="F124" s="466">
        <v>177591</v>
      </c>
      <c r="G124" s="466">
        <f>147696+7273</f>
        <v>154969</v>
      </c>
      <c r="H124" s="466"/>
      <c r="I124" s="467"/>
      <c r="J124" s="467"/>
      <c r="K124" s="1670">
        <f>SUM(C124:J124)</f>
        <v>653166</v>
      </c>
      <c r="L124" s="466">
        <v>714140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220496</v>
      </c>
      <c r="D127" s="1670">
        <f t="shared" ref="D127:L127" si="14">SUM(D122:D126)</f>
        <v>46397</v>
      </c>
      <c r="E127" s="1670">
        <f t="shared" si="14"/>
        <v>53713</v>
      </c>
      <c r="F127" s="1670">
        <f t="shared" si="14"/>
        <v>177591</v>
      </c>
      <c r="G127" s="1670">
        <f t="shared" si="14"/>
        <v>154969</v>
      </c>
      <c r="H127" s="1670">
        <f t="shared" si="14"/>
        <v>0</v>
      </c>
      <c r="I127" s="1670">
        <f t="shared" si="14"/>
        <v>0</v>
      </c>
      <c r="J127" s="1670">
        <f t="shared" si="14"/>
        <v>0</v>
      </c>
      <c r="K127" s="1670">
        <f t="shared" si="14"/>
        <v>653166</v>
      </c>
      <c r="L127" s="1670">
        <f t="shared" si="14"/>
        <v>714140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220496</v>
      </c>
      <c r="D129" s="1677">
        <f t="shared" ref="D129:L129" si="15">SUM(D120,D127,D128)</f>
        <v>46397</v>
      </c>
      <c r="E129" s="1677">
        <f t="shared" si="15"/>
        <v>53713</v>
      </c>
      <c r="F129" s="1677">
        <f t="shared" si="15"/>
        <v>177591</v>
      </c>
      <c r="G129" s="1677">
        <f t="shared" si="15"/>
        <v>154969</v>
      </c>
      <c r="H129" s="1677">
        <f t="shared" si="15"/>
        <v>0</v>
      </c>
      <c r="I129" s="1677">
        <f t="shared" si="15"/>
        <v>0</v>
      </c>
      <c r="J129" s="1677">
        <f t="shared" si="15"/>
        <v>0</v>
      </c>
      <c r="K129" s="1677">
        <f t="shared" si="15"/>
        <v>653166</v>
      </c>
      <c r="L129" s="1677">
        <f t="shared" si="15"/>
        <v>714140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8" t="s">
        <v>620</v>
      </c>
      <c r="B151" s="2150"/>
      <c r="C151" s="1670">
        <f>SUM(C129,C130,C139,C149,C150)</f>
        <v>220496</v>
      </c>
      <c r="D151" s="1670">
        <f t="shared" ref="D151:K151" si="16">SUM(D129,D130,D139,D149,D150)</f>
        <v>46397</v>
      </c>
      <c r="E151" s="1670">
        <f t="shared" si="16"/>
        <v>53713</v>
      </c>
      <c r="F151" s="1670">
        <f t="shared" si="16"/>
        <v>177591</v>
      </c>
      <c r="G151" s="1670">
        <f t="shared" si="16"/>
        <v>154969</v>
      </c>
      <c r="H151" s="1670">
        <f t="shared" si="16"/>
        <v>0</v>
      </c>
      <c r="I151" s="1670">
        <f t="shared" si="16"/>
        <v>0</v>
      </c>
      <c r="J151" s="1670">
        <f t="shared" si="16"/>
        <v>0</v>
      </c>
      <c r="K151" s="1670">
        <f t="shared" si="16"/>
        <v>653166</v>
      </c>
      <c r="L151" s="1670">
        <f>SUM(L129,L130,L139,L149,L150)</f>
        <v>714140</v>
      </c>
    </row>
    <row r="152" spans="1:14" ht="12.75" customHeight="1" thickTop="1" x14ac:dyDescent="0.2">
      <c r="A152" s="2171" t="s">
        <v>1178</v>
      </c>
      <c r="B152" s="2172"/>
      <c r="C152" s="618"/>
      <c r="D152" s="618"/>
      <c r="E152" s="618"/>
      <c r="F152" s="618"/>
      <c r="G152" s="618"/>
      <c r="H152" s="618"/>
      <c r="I152" s="618"/>
      <c r="J152" s="616"/>
      <c r="K152" s="1684">
        <f>'Revenues 9-14'!D268-'Expenditures 15-22'!K151</f>
        <v>-46692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214748-901</f>
        <v>213847</v>
      </c>
      <c r="I169" s="616"/>
      <c r="J169" s="616"/>
      <c r="K169" s="1671">
        <f>SUM(C169:H169)</f>
        <v>213847</v>
      </c>
      <c r="L169" s="656">
        <v>205000</v>
      </c>
    </row>
    <row r="170" spans="1:14" ht="33.75" customHeight="1" x14ac:dyDescent="0.2">
      <c r="A170" s="669" t="s">
        <v>1670</v>
      </c>
      <c r="B170" s="671" t="s">
        <v>31</v>
      </c>
      <c r="C170" s="616"/>
      <c r="D170" s="616"/>
      <c r="E170" s="616"/>
      <c r="F170" s="616"/>
      <c r="G170" s="616"/>
      <c r="H170" s="569">
        <v>821000</v>
      </c>
      <c r="I170" s="616"/>
      <c r="J170" s="616"/>
      <c r="K170" s="1671">
        <f>SUM(C170:J170)</f>
        <v>821000</v>
      </c>
      <c r="L170" s="569">
        <v>821000</v>
      </c>
    </row>
    <row r="171" spans="1:14" ht="15.75" customHeight="1" x14ac:dyDescent="0.2">
      <c r="A171" s="621" t="s">
        <v>766</v>
      </c>
      <c r="B171" s="672" t="s">
        <v>84</v>
      </c>
      <c r="C171" s="616"/>
      <c r="D171" s="616"/>
      <c r="E171" s="466"/>
      <c r="F171" s="616"/>
      <c r="G171" s="616"/>
      <c r="H171" s="569">
        <f>878276-821000+901</f>
        <v>58177</v>
      </c>
      <c r="I171" s="477"/>
      <c r="J171" s="616"/>
      <c r="K171" s="1671">
        <f>SUM(C171:J171)</f>
        <v>58177</v>
      </c>
      <c r="L171" s="569">
        <v>1000</v>
      </c>
    </row>
    <row r="172" spans="1:14" ht="12.75" customHeight="1" thickBot="1" x14ac:dyDescent="0.25">
      <c r="A172" s="1668" t="s">
        <v>638</v>
      </c>
      <c r="B172" s="1669" t="s">
        <v>492</v>
      </c>
      <c r="C172" s="616"/>
      <c r="D172" s="616"/>
      <c r="E172" s="1677">
        <f>SUM(E168,E169,E170,E171)</f>
        <v>0</v>
      </c>
      <c r="F172" s="616"/>
      <c r="G172" s="616"/>
      <c r="H172" s="1677">
        <f>SUM(H168,H169,H170,H171)</f>
        <v>1093024</v>
      </c>
      <c r="I172" s="638"/>
      <c r="J172" s="616"/>
      <c r="K172" s="1677">
        <f>SUM(K168,K169,K170,K171)</f>
        <v>1093024</v>
      </c>
      <c r="L172" s="1677">
        <f>SUM(L168,L169,L170,L171)</f>
        <v>1027000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1093024</v>
      </c>
      <c r="I174" s="638"/>
      <c r="J174" s="616"/>
      <c r="K174" s="1677">
        <f>SUM(K160,K172,K173)</f>
        <v>1093024</v>
      </c>
      <c r="L174" s="1677">
        <f>SUM(L160,L172,L173)</f>
        <v>1027000</v>
      </c>
    </row>
    <row r="175" spans="1:14" ht="13.5" thickTop="1" x14ac:dyDescent="0.2">
      <c r="A175" s="2178" t="s">
        <v>996</v>
      </c>
      <c r="B175" s="2179"/>
      <c r="C175" s="616"/>
      <c r="D175" s="616"/>
      <c r="E175" s="616"/>
      <c r="F175" s="616"/>
      <c r="G175" s="616"/>
      <c r="H175" s="618"/>
      <c r="I175" s="616"/>
      <c r="J175" s="616"/>
      <c r="K175" s="1684">
        <f>'Revenues 9-14'!E268-'Expenditures 15-22'!K174</f>
        <v>-59229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150192</v>
      </c>
      <c r="D182" s="466">
        <v>2</v>
      </c>
      <c r="E182" s="466">
        <v>35324</v>
      </c>
      <c r="F182" s="466">
        <v>65652</v>
      </c>
      <c r="G182" s="466">
        <v>126712</v>
      </c>
      <c r="H182" s="466"/>
      <c r="I182" s="467"/>
      <c r="J182" s="467"/>
      <c r="K182" s="1671">
        <f>SUM(C182:J182)</f>
        <v>377882</v>
      </c>
      <c r="L182" s="466">
        <v>360150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150192</v>
      </c>
      <c r="D184" s="1677">
        <f t="shared" ref="D184:J184" si="17">SUM(D180,D182,D183)</f>
        <v>2</v>
      </c>
      <c r="E184" s="1677">
        <f t="shared" si="17"/>
        <v>35324</v>
      </c>
      <c r="F184" s="1677">
        <f t="shared" si="17"/>
        <v>65652</v>
      </c>
      <c r="G184" s="1677">
        <f t="shared" si="17"/>
        <v>126712</v>
      </c>
      <c r="H184" s="1677">
        <f t="shared" si="17"/>
        <v>0</v>
      </c>
      <c r="I184" s="1677">
        <f t="shared" si="17"/>
        <v>0</v>
      </c>
      <c r="J184" s="1677">
        <f t="shared" si="17"/>
        <v>0</v>
      </c>
      <c r="K184" s="1677">
        <f>SUM(K180,K182,K183)</f>
        <v>377882</v>
      </c>
      <c r="L184" s="1677">
        <f>SUM(L180, L182:L183)</f>
        <v>360150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v>38876</v>
      </c>
      <c r="I193" s="477"/>
      <c r="J193" s="616"/>
      <c r="K193" s="1671">
        <f t="shared" si="18"/>
        <v>38876</v>
      </c>
      <c r="L193" s="466">
        <v>38877</v>
      </c>
    </row>
    <row r="194" spans="1:14" ht="12.75" customHeight="1" thickBot="1" x14ac:dyDescent="0.25">
      <c r="A194" s="1668" t="s">
        <v>1140</v>
      </c>
      <c r="B194" s="1669" t="s">
        <v>559</v>
      </c>
      <c r="C194" s="616"/>
      <c r="D194" s="616"/>
      <c r="E194" s="1670">
        <f>SUM(E188:E193)</f>
        <v>0</v>
      </c>
      <c r="F194" s="616"/>
      <c r="G194" s="616"/>
      <c r="H194" s="1670">
        <f>SUM(H188:H193)</f>
        <v>38876</v>
      </c>
      <c r="I194" s="477"/>
      <c r="J194" s="616"/>
      <c r="K194" s="1670">
        <f>SUM(K188:K193)</f>
        <v>38876</v>
      </c>
      <c r="L194" s="1670">
        <f>SUM(L188:L193)</f>
        <v>38877</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38876</v>
      </c>
      <c r="I196" s="477"/>
      <c r="J196" s="616"/>
      <c r="K196" s="1677">
        <f>SUM(K194,K195)</f>
        <v>38876</v>
      </c>
      <c r="L196" s="1677">
        <f>SUM(L194,L195)</f>
        <v>38877</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150192</v>
      </c>
      <c r="D210" s="1670">
        <f>SUM(D184,D185)</f>
        <v>2</v>
      </c>
      <c r="E210" s="1670">
        <f>SUM(E184,E185,E196)</f>
        <v>35324</v>
      </c>
      <c r="F210" s="1670">
        <f>SUM(F184,F185)</f>
        <v>65652</v>
      </c>
      <c r="G210" s="1670">
        <f>SUM(G184,G185)</f>
        <v>126712</v>
      </c>
      <c r="H210" s="1670">
        <f>SUM(H184,H185,H196,H208,H209)</f>
        <v>38876</v>
      </c>
      <c r="I210" s="1670">
        <f>SUM(I184,I185)</f>
        <v>0</v>
      </c>
      <c r="J210" s="1670">
        <f>SUM(J184,J185)</f>
        <v>0</v>
      </c>
      <c r="K210" s="1671">
        <f>SUM(K184,K185,K196,K208,K209)</f>
        <v>416758</v>
      </c>
      <c r="L210" s="1670">
        <f>SUM(L184,L185,L196,L208,L209)</f>
        <v>399027</v>
      </c>
    </row>
    <row r="211" spans="1:14" ht="13.5" thickTop="1" x14ac:dyDescent="0.2">
      <c r="A211" s="2178" t="s">
        <v>996</v>
      </c>
      <c r="B211" s="2179"/>
      <c r="C211" s="618"/>
      <c r="D211" s="618"/>
      <c r="E211" s="618"/>
      <c r="F211" s="618"/>
      <c r="G211" s="618"/>
      <c r="H211" s="618"/>
      <c r="I211" s="616"/>
      <c r="J211" s="616"/>
      <c r="K211" s="1684">
        <f>'Revenues 9-14'!F268-'Expenditures 15-22'!K210</f>
        <v>-64801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60705</v>
      </c>
      <c r="E215" s="616"/>
      <c r="F215" s="616"/>
      <c r="G215" s="616"/>
      <c r="H215" s="616"/>
      <c r="I215" s="616"/>
      <c r="J215" s="616"/>
      <c r="K215" s="1671">
        <f>D215</f>
        <v>60705</v>
      </c>
      <c r="L215" s="466">
        <v>60000</v>
      </c>
    </row>
    <row r="216" spans="1:14" x14ac:dyDescent="0.2">
      <c r="A216" s="1504" t="s">
        <v>163</v>
      </c>
      <c r="B216" s="614" t="s">
        <v>967</v>
      </c>
      <c r="C216" s="616"/>
      <c r="D216" s="467">
        <f>8074+5451+1275</f>
        <v>14800</v>
      </c>
      <c r="E216" s="616"/>
      <c r="F216" s="616"/>
      <c r="G216" s="616"/>
      <c r="H216" s="616"/>
      <c r="I216" s="616"/>
      <c r="J216" s="616"/>
      <c r="K216" s="1671">
        <f t="shared" ref="K216:K228" si="19">D216</f>
        <v>14800</v>
      </c>
      <c r="L216" s="466">
        <v>16500</v>
      </c>
    </row>
    <row r="217" spans="1:14" x14ac:dyDescent="0.2">
      <c r="A217" s="1504" t="s">
        <v>164</v>
      </c>
      <c r="B217" s="614">
        <v>1200</v>
      </c>
      <c r="C217" s="616"/>
      <c r="D217" s="466">
        <f>43259-14800</f>
        <v>28459</v>
      </c>
      <c r="E217" s="616"/>
      <c r="F217" s="616"/>
      <c r="G217" s="616"/>
      <c r="H217" s="616"/>
      <c r="I217" s="616"/>
      <c r="J217" s="616"/>
      <c r="K217" s="1671">
        <f t="shared" si="19"/>
        <v>28459</v>
      </c>
      <c r="L217" s="466">
        <v>30000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f>15168-1309</f>
        <v>13859</v>
      </c>
      <c r="E219" s="616"/>
      <c r="F219" s="616"/>
      <c r="G219" s="616"/>
      <c r="H219" s="616"/>
      <c r="I219" s="616"/>
      <c r="J219" s="616"/>
      <c r="K219" s="1671">
        <f t="shared" si="19"/>
        <v>13859</v>
      </c>
      <c r="L219" s="466">
        <v>15000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f>88+572+649</f>
        <v>1309</v>
      </c>
      <c r="E223" s="616"/>
      <c r="F223" s="616"/>
      <c r="G223" s="616"/>
      <c r="H223" s="616"/>
      <c r="I223" s="616"/>
      <c r="J223" s="616"/>
      <c r="K223" s="1671">
        <f t="shared" si="19"/>
        <v>1309</v>
      </c>
      <c r="L223" s="466">
        <v>1500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119132</v>
      </c>
      <c r="E229" s="616"/>
      <c r="F229" s="616"/>
      <c r="G229" s="616"/>
      <c r="H229" s="616"/>
      <c r="I229" s="616"/>
      <c r="J229" s="616"/>
      <c r="K229" s="1670">
        <f>SUM(K215:K228)</f>
        <v>119132</v>
      </c>
      <c r="L229" s="1670">
        <f>SUM(L215:L228)</f>
        <v>123000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993</v>
      </c>
      <c r="E232" s="616"/>
      <c r="F232" s="616"/>
      <c r="G232" s="616"/>
      <c r="H232" s="616"/>
      <c r="I232" s="616"/>
      <c r="J232" s="616"/>
      <c r="K232" s="1671">
        <f t="shared" ref="K232:K237" si="20">D232</f>
        <v>993</v>
      </c>
      <c r="L232" s="466">
        <v>1000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f>4838-993</f>
        <v>3845</v>
      </c>
      <c r="E234" s="616"/>
      <c r="F234" s="616"/>
      <c r="G234" s="616"/>
      <c r="H234" s="616"/>
      <c r="I234" s="616"/>
      <c r="J234" s="616"/>
      <c r="K234" s="1671">
        <f t="shared" si="20"/>
        <v>3845</v>
      </c>
      <c r="L234" s="466">
        <v>4000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4838</v>
      </c>
      <c r="E238" s="616"/>
      <c r="F238" s="616"/>
      <c r="G238" s="616"/>
      <c r="H238" s="616"/>
      <c r="I238" s="616"/>
      <c r="J238" s="616"/>
      <c r="K238" s="1670">
        <f>SUM(K232:K237)</f>
        <v>4838</v>
      </c>
      <c r="L238" s="1670">
        <f>SUM(L232:L237)</f>
        <v>5000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588</v>
      </c>
      <c r="E240" s="616"/>
      <c r="F240" s="616"/>
      <c r="G240" s="616"/>
      <c r="H240" s="616"/>
      <c r="I240" s="616"/>
      <c r="J240" s="616"/>
      <c r="K240" s="1672">
        <f>D240</f>
        <v>588</v>
      </c>
      <c r="L240" s="481">
        <v>1000</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588</v>
      </c>
      <c r="E243" s="616"/>
      <c r="F243" s="616"/>
      <c r="G243" s="616"/>
      <c r="H243" s="616"/>
      <c r="I243" s="616"/>
      <c r="J243" s="616"/>
      <c r="K243" s="1670">
        <f>SUM(K240:K242)</f>
        <v>588</v>
      </c>
      <c r="L243" s="1670">
        <f>SUM(L240:L242)</f>
        <v>1000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187+126+29</f>
        <v>342</v>
      </c>
      <c r="E245" s="616"/>
      <c r="F245" s="616"/>
      <c r="G245" s="616"/>
      <c r="H245" s="616"/>
      <c r="I245" s="616"/>
      <c r="J245" s="616"/>
      <c r="K245" s="1672">
        <f>D245</f>
        <v>342</v>
      </c>
      <c r="L245" s="481">
        <v>500</v>
      </c>
    </row>
    <row r="246" spans="1:12" x14ac:dyDescent="0.2">
      <c r="A246" s="1504" t="s">
        <v>818</v>
      </c>
      <c r="B246" s="614">
        <v>2320</v>
      </c>
      <c r="C246" s="616"/>
      <c r="D246" s="466">
        <f>-342+8938</f>
        <v>8596</v>
      </c>
      <c r="E246" s="616"/>
      <c r="F246" s="616"/>
      <c r="G246" s="616"/>
      <c r="H246" s="616"/>
      <c r="I246" s="616"/>
      <c r="J246" s="616"/>
      <c r="K246" s="1672">
        <f t="shared" ref="K246:K256" si="21">D246</f>
        <v>8596</v>
      </c>
      <c r="L246" s="466">
        <v>10000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8938</v>
      </c>
      <c r="E257" s="616"/>
      <c r="F257" s="616"/>
      <c r="G257" s="616"/>
      <c r="H257" s="616"/>
      <c r="I257" s="616"/>
      <c r="J257" s="616"/>
      <c r="K257" s="1670">
        <f>SUM(K245:K256)</f>
        <v>8938</v>
      </c>
      <c r="L257" s="1670">
        <f>SUM(L245:L256)</f>
        <v>10500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19331</v>
      </c>
      <c r="E259" s="616"/>
      <c r="F259" s="616"/>
      <c r="G259" s="616"/>
      <c r="H259" s="616"/>
      <c r="I259" s="616"/>
      <c r="J259" s="616"/>
      <c r="K259" s="1672">
        <f>D259</f>
        <v>19331</v>
      </c>
      <c r="L259" s="481">
        <v>19500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19331</v>
      </c>
      <c r="E261" s="616"/>
      <c r="F261" s="616"/>
      <c r="G261" s="616"/>
      <c r="H261" s="616"/>
      <c r="I261" s="616"/>
      <c r="J261" s="616"/>
      <c r="K261" s="1670">
        <f>SUM(K259:K260)</f>
        <v>19331</v>
      </c>
      <c r="L261" s="1670">
        <f>SUM(L259:L260)</f>
        <v>19500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5487+3699+865</f>
        <v>10051</v>
      </c>
      <c r="E264" s="616"/>
      <c r="F264" s="616"/>
      <c r="G264" s="616"/>
      <c r="H264" s="616"/>
      <c r="I264" s="616"/>
      <c r="J264" s="616"/>
      <c r="K264" s="1672">
        <f t="shared" ref="K264:K269" si="22">D264</f>
        <v>10051</v>
      </c>
      <c r="L264" s="466">
        <v>10500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53983</v>
      </c>
      <c r="E266" s="616"/>
      <c r="F266" s="616"/>
      <c r="G266" s="616"/>
      <c r="H266" s="616"/>
      <c r="I266" s="616"/>
      <c r="J266" s="616"/>
      <c r="K266" s="1672">
        <f t="shared" si="22"/>
        <v>53983</v>
      </c>
      <c r="L266" s="466">
        <v>55000</v>
      </c>
    </row>
    <row r="267" spans="1:14" x14ac:dyDescent="0.2">
      <c r="A267" s="1504" t="s">
        <v>953</v>
      </c>
      <c r="B267" s="614">
        <v>2550</v>
      </c>
      <c r="C267" s="616"/>
      <c r="D267" s="466">
        <v>14575</v>
      </c>
      <c r="E267" s="616"/>
      <c r="F267" s="616"/>
      <c r="G267" s="616"/>
      <c r="H267" s="616"/>
      <c r="I267" s="616"/>
      <c r="J267" s="616"/>
      <c r="K267" s="1672">
        <f t="shared" si="22"/>
        <v>14575</v>
      </c>
      <c r="L267" s="466">
        <v>16000</v>
      </c>
    </row>
    <row r="268" spans="1:14" x14ac:dyDescent="0.2">
      <c r="A268" s="1504" t="s">
        <v>100</v>
      </c>
      <c r="B268" s="614">
        <v>2560</v>
      </c>
      <c r="C268" s="616"/>
      <c r="D268" s="466">
        <f>3869+2632+616</f>
        <v>7117</v>
      </c>
      <c r="E268" s="616"/>
      <c r="F268" s="616"/>
      <c r="G268" s="616"/>
      <c r="H268" s="616"/>
      <c r="I268" s="616"/>
      <c r="J268" s="616"/>
      <c r="K268" s="1672">
        <f t="shared" si="22"/>
        <v>7117</v>
      </c>
      <c r="L268" s="466">
        <v>7000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85726</v>
      </c>
      <c r="E270" s="616"/>
      <c r="F270" s="616"/>
      <c r="G270" s="616"/>
      <c r="H270" s="616"/>
      <c r="I270" s="616"/>
      <c r="J270" s="616"/>
      <c r="K270" s="1670">
        <f>SUM(K263:K269)</f>
        <v>85726</v>
      </c>
      <c r="L270" s="1670">
        <f>SUM(L263:L269)</f>
        <v>88500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119421</v>
      </c>
      <c r="E279" s="616"/>
      <c r="F279" s="616"/>
      <c r="G279" s="616"/>
      <c r="H279" s="616"/>
      <c r="I279" s="616"/>
      <c r="J279" s="616"/>
      <c r="K279" s="1677">
        <f>SUM(K238,K243,K257,K261,K270,K277,K278)</f>
        <v>119421</v>
      </c>
      <c r="L279" s="1677">
        <f>SUM(L238,L243,L257,L261,L270,L277,L278)</f>
        <v>124500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9" t="s">
        <v>505</v>
      </c>
      <c r="B295" s="2170"/>
      <c r="C295" s="616"/>
      <c r="D295" s="1670">
        <f>SUM(D229,D279,D280,D285)</f>
        <v>238553</v>
      </c>
      <c r="E295" s="616"/>
      <c r="F295" s="616"/>
      <c r="G295" s="616"/>
      <c r="H295" s="1670">
        <f>H293</f>
        <v>0</v>
      </c>
      <c r="I295" s="616"/>
      <c r="J295" s="616"/>
      <c r="K295" s="1670">
        <f>SUM(K229,K279,K280,K285,K293,K294)</f>
        <v>238553</v>
      </c>
      <c r="L295" s="1670">
        <f>SUM(L229,L279,L280,L285,L293,L294)</f>
        <v>247500</v>
      </c>
    </row>
    <row r="296" spans="1:14" ht="13.5" thickTop="1" x14ac:dyDescent="0.2">
      <c r="A296" s="2178" t="s">
        <v>996</v>
      </c>
      <c r="B296" s="2179"/>
      <c r="C296" s="616"/>
      <c r="D296" s="618"/>
      <c r="E296" s="616"/>
      <c r="F296" s="616"/>
      <c r="G296" s="616"/>
      <c r="H296" s="687"/>
      <c r="I296" s="616"/>
      <c r="J296" s="616"/>
      <c r="K296" s="1684">
        <f>'Revenues 9-14'!G268-'Expenditures 15-22'!K295</f>
        <v>96316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6" t="s">
        <v>277</v>
      </c>
      <c r="B312" s="216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10048</v>
      </c>
      <c r="F320" s="467"/>
      <c r="G320" s="467"/>
      <c r="H320" s="467"/>
      <c r="I320" s="467"/>
      <c r="J320" s="467"/>
      <c r="K320" s="1671">
        <f t="shared" ref="K320:K327" si="24">SUM(C320:J320)</f>
        <v>10048</v>
      </c>
      <c r="L320" s="467">
        <v>10000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1578</v>
      </c>
      <c r="F322" s="467"/>
      <c r="G322" s="467"/>
      <c r="H322" s="467"/>
      <c r="I322" s="467"/>
      <c r="J322" s="467"/>
      <c r="K322" s="1671">
        <f t="shared" si="24"/>
        <v>1578</v>
      </c>
      <c r="L322" s="467">
        <v>2500</v>
      </c>
      <c r="M322" s="665"/>
      <c r="N322" s="665"/>
    </row>
    <row r="323" spans="1:14" s="674" customFormat="1" x14ac:dyDescent="0.2">
      <c r="A323" s="1519" t="s">
        <v>702</v>
      </c>
      <c r="B323" s="697" t="s">
        <v>285</v>
      </c>
      <c r="C323" s="467"/>
      <c r="D323" s="467"/>
      <c r="E323" s="467">
        <v>442357</v>
      </c>
      <c r="F323" s="467"/>
      <c r="G323" s="467"/>
      <c r="H323" s="467"/>
      <c r="I323" s="467"/>
      <c r="J323" s="467"/>
      <c r="K323" s="1671">
        <f t="shared" si="24"/>
        <v>442357</v>
      </c>
      <c r="L323" s="467">
        <v>445000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6977</v>
      </c>
      <c r="F327" s="467"/>
      <c r="G327" s="467"/>
      <c r="H327" s="467"/>
      <c r="I327" s="467"/>
      <c r="J327" s="467"/>
      <c r="K327" s="1671">
        <f t="shared" si="24"/>
        <v>6977</v>
      </c>
      <c r="L327" s="467">
        <v>8500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460960</v>
      </c>
      <c r="F330" s="1670">
        <f t="shared" si="25"/>
        <v>0</v>
      </c>
      <c r="G330" s="1670">
        <f t="shared" si="25"/>
        <v>0</v>
      </c>
      <c r="H330" s="1670">
        <f t="shared" si="25"/>
        <v>0</v>
      </c>
      <c r="I330" s="1670">
        <f t="shared" si="25"/>
        <v>0</v>
      </c>
      <c r="J330" s="1670">
        <f t="shared" si="25"/>
        <v>0</v>
      </c>
      <c r="K330" s="1670">
        <f>SUM(K319:K329)</f>
        <v>460960</v>
      </c>
      <c r="L330" s="1670">
        <f>SUM(L319:L329)</f>
        <v>466000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460960</v>
      </c>
      <c r="F342" s="1670">
        <f>SUM(F330)</f>
        <v>0</v>
      </c>
      <c r="G342" s="1670">
        <f>SUM(G330)</f>
        <v>0</v>
      </c>
      <c r="H342" s="1670">
        <f>SUM(H330,H334,H340)</f>
        <v>0</v>
      </c>
      <c r="I342" s="1670">
        <f>SUM(I330)</f>
        <v>0</v>
      </c>
      <c r="J342" s="1670">
        <f>SUM(J330)</f>
        <v>0</v>
      </c>
      <c r="K342" s="1670">
        <f>SUM(K330,K334,K340)</f>
        <v>460960</v>
      </c>
      <c r="L342" s="1677">
        <f>SUM(L330,L340,L341)</f>
        <v>466000</v>
      </c>
    </row>
    <row r="343" spans="1:14" ht="12.75" customHeight="1" thickTop="1" x14ac:dyDescent="0.2">
      <c r="A343" s="2164" t="s">
        <v>996</v>
      </c>
      <c r="B343" s="2165"/>
      <c r="C343" s="616"/>
      <c r="D343" s="616"/>
      <c r="E343" s="616"/>
      <c r="F343" s="616"/>
      <c r="G343" s="616"/>
      <c r="H343" s="616"/>
      <c r="I343" s="616"/>
      <c r="J343" s="616"/>
      <c r="K343" s="1684">
        <f>'Revenues 9-14'!J268-'Expenditures 15-22'!K342</f>
        <v>121705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17194</v>
      </c>
      <c r="F349" s="466"/>
      <c r="G349" s="466">
        <v>50326</v>
      </c>
      <c r="H349" s="466"/>
      <c r="I349" s="467"/>
      <c r="J349" s="467"/>
      <c r="K349" s="1671">
        <f>SUM(C349:J349)</f>
        <v>67520</v>
      </c>
      <c r="L349" s="466">
        <v>62500</v>
      </c>
    </row>
    <row r="350" spans="1:14" ht="12.75" customHeight="1" thickBot="1" x14ac:dyDescent="0.25">
      <c r="A350" s="1668" t="s">
        <v>719</v>
      </c>
      <c r="B350" s="1669" t="s">
        <v>35</v>
      </c>
      <c r="C350" s="1670">
        <f>SUM(C348:C349)</f>
        <v>0</v>
      </c>
      <c r="D350" s="1670">
        <f t="shared" ref="D350:L350" si="26">SUM(D348:D349)</f>
        <v>0</v>
      </c>
      <c r="E350" s="1670">
        <f t="shared" si="26"/>
        <v>17194</v>
      </c>
      <c r="F350" s="1670">
        <f t="shared" si="26"/>
        <v>0</v>
      </c>
      <c r="G350" s="1670">
        <f t="shared" si="26"/>
        <v>50326</v>
      </c>
      <c r="H350" s="1670">
        <f t="shared" si="26"/>
        <v>0</v>
      </c>
      <c r="I350" s="1670">
        <f t="shared" si="26"/>
        <v>0</v>
      </c>
      <c r="J350" s="1670">
        <f t="shared" si="26"/>
        <v>0</v>
      </c>
      <c r="K350" s="1670">
        <f t="shared" si="26"/>
        <v>67520</v>
      </c>
      <c r="L350" s="1670">
        <f t="shared" si="26"/>
        <v>62500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17194</v>
      </c>
      <c r="F352" s="1670">
        <f t="shared" si="27"/>
        <v>0</v>
      </c>
      <c r="G352" s="1670">
        <f t="shared" si="27"/>
        <v>50326</v>
      </c>
      <c r="H352" s="1670">
        <f t="shared" si="27"/>
        <v>0</v>
      </c>
      <c r="I352" s="1670">
        <f t="shared" si="27"/>
        <v>0</v>
      </c>
      <c r="J352" s="1670">
        <f t="shared" si="27"/>
        <v>0</v>
      </c>
      <c r="K352" s="1670">
        <f t="shared" si="27"/>
        <v>67520</v>
      </c>
      <c r="L352" s="1670">
        <f t="shared" si="27"/>
        <v>62500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17194</v>
      </c>
      <c r="F367" s="1670">
        <f t="shared" si="28"/>
        <v>0</v>
      </c>
      <c r="G367" s="1670">
        <f t="shared" si="28"/>
        <v>50326</v>
      </c>
      <c r="H367" s="1670">
        <f t="shared" si="28"/>
        <v>0</v>
      </c>
      <c r="I367" s="1670">
        <f t="shared" si="28"/>
        <v>0</v>
      </c>
      <c r="J367" s="1670">
        <f t="shared" si="28"/>
        <v>0</v>
      </c>
      <c r="K367" s="1670">
        <f t="shared" si="28"/>
        <v>67520</v>
      </c>
      <c r="L367" s="1670">
        <f t="shared" si="28"/>
        <v>62500</v>
      </c>
    </row>
    <row r="368" spans="1:14" ht="13.5" thickTop="1" x14ac:dyDescent="0.2">
      <c r="A368" s="2178" t="s">
        <v>996</v>
      </c>
      <c r="B368" s="2179"/>
      <c r="C368" s="654"/>
      <c r="D368" s="654"/>
      <c r="E368" s="626"/>
      <c r="F368" s="626"/>
      <c r="G368" s="626"/>
      <c r="H368" s="626"/>
      <c r="I368" s="626"/>
      <c r="J368" s="623"/>
      <c r="K368" s="1671">
        <f>'Revenues 9-14'!K268-'Expenditures 15-22'!K367</f>
        <v>29465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1949</v>
      </c>
      <c r="C2" s="714" t="s">
        <v>1950</v>
      </c>
      <c r="D2" s="714" t="s">
        <v>1951</v>
      </c>
      <c r="E2" s="714" t="s">
        <v>1952</v>
      </c>
      <c r="F2" s="714" t="s">
        <v>1953</v>
      </c>
    </row>
    <row r="3" spans="1:6" ht="12" customHeight="1" x14ac:dyDescent="0.2">
      <c r="A3" s="2181"/>
      <c r="B3" s="1525"/>
      <c r="C3" s="1526"/>
      <c r="D3" s="1527" t="s">
        <v>256</v>
      </c>
      <c r="E3" s="1526"/>
      <c r="F3" s="1527" t="s">
        <v>257</v>
      </c>
    </row>
    <row r="4" spans="1:6" ht="13.7" customHeight="1" x14ac:dyDescent="0.2">
      <c r="A4" s="715" t="s">
        <v>1155</v>
      </c>
      <c r="B4" s="1749">
        <f>'Revenues 9-14'!C5</f>
        <v>3416410</v>
      </c>
      <c r="C4" s="1524">
        <v>885069</v>
      </c>
      <c r="D4" s="1752">
        <f>B4-C4</f>
        <v>2531341</v>
      </c>
      <c r="E4" s="1524">
        <v>3442363</v>
      </c>
      <c r="F4" s="1752">
        <f>E4-C4</f>
        <v>2557294</v>
      </c>
    </row>
    <row r="5" spans="1:6" ht="13.7" customHeight="1" x14ac:dyDescent="0.2">
      <c r="A5" s="715" t="s">
        <v>870</v>
      </c>
      <c r="B5" s="1750">
        <f>'Revenues 9-14'!D5</f>
        <v>484923</v>
      </c>
      <c r="C5" s="585">
        <v>125719</v>
      </c>
      <c r="D5" s="1753">
        <f t="shared" ref="D5:D18" si="0">B5-C5</f>
        <v>359204</v>
      </c>
      <c r="E5" s="585">
        <v>488972</v>
      </c>
      <c r="F5" s="1753">
        <f>E5-C5</f>
        <v>363253</v>
      </c>
    </row>
    <row r="6" spans="1:6" ht="13.7" customHeight="1" x14ac:dyDescent="0.2">
      <c r="A6" s="715" t="s">
        <v>411</v>
      </c>
      <c r="B6" s="1750">
        <f>'Revenues 9-14'!E5</f>
        <v>1033795</v>
      </c>
      <c r="C6" s="585">
        <v>271857</v>
      </c>
      <c r="D6" s="1753">
        <f t="shared" si="0"/>
        <v>761938</v>
      </c>
      <c r="E6" s="585">
        <v>1057353</v>
      </c>
      <c r="F6" s="1753">
        <f t="shared" ref="F6:F18" si="1">E6-C6</f>
        <v>785496</v>
      </c>
    </row>
    <row r="7" spans="1:6" ht="13.7" customHeight="1" x14ac:dyDescent="0.2">
      <c r="A7" s="715" t="s">
        <v>155</v>
      </c>
      <c r="B7" s="1750">
        <f>'Revenues 9-14'!F5</f>
        <v>232764</v>
      </c>
      <c r="C7" s="585">
        <v>60345</v>
      </c>
      <c r="D7" s="1753">
        <f t="shared" si="0"/>
        <v>172419</v>
      </c>
      <c r="E7" s="585">
        <v>234707</v>
      </c>
      <c r="F7" s="1753">
        <f t="shared" si="1"/>
        <v>174362</v>
      </c>
    </row>
    <row r="8" spans="1:6" ht="13.7" customHeight="1" x14ac:dyDescent="0.2">
      <c r="A8" s="715" t="s">
        <v>1179</v>
      </c>
      <c r="B8" s="1750">
        <f>'Revenues 9-14'!G5</f>
        <v>167308</v>
      </c>
      <c r="C8" s="585">
        <v>44605</v>
      </c>
      <c r="D8" s="1753">
        <f t="shared" si="0"/>
        <v>122703</v>
      </c>
      <c r="E8" s="585">
        <v>173487</v>
      </c>
      <c r="F8" s="1753">
        <f t="shared" si="1"/>
        <v>128882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96985</v>
      </c>
      <c r="C10" s="585">
        <v>25144</v>
      </c>
      <c r="D10" s="1753">
        <f t="shared" si="0"/>
        <v>71841</v>
      </c>
      <c r="E10" s="585">
        <v>97794</v>
      </c>
      <c r="F10" s="1753">
        <f t="shared" si="1"/>
        <v>72650</v>
      </c>
    </row>
    <row r="11" spans="1:6" x14ac:dyDescent="0.2">
      <c r="A11" s="715" t="s">
        <v>409</v>
      </c>
      <c r="B11" s="1750">
        <f>'Revenues 9-14'!J5</f>
        <v>582665</v>
      </c>
      <c r="C11" s="585">
        <v>151768</v>
      </c>
      <c r="D11" s="1753">
        <f t="shared" si="0"/>
        <v>430897</v>
      </c>
      <c r="E11" s="585">
        <v>590287</v>
      </c>
      <c r="F11" s="1753">
        <f t="shared" si="1"/>
        <v>438519</v>
      </c>
    </row>
    <row r="12" spans="1:6" ht="13.7" customHeight="1" x14ac:dyDescent="0.2">
      <c r="A12" s="715" t="s">
        <v>157</v>
      </c>
      <c r="B12" s="1750">
        <f>'Revenues 9-14'!K5</f>
        <v>96985</v>
      </c>
      <c r="C12" s="585">
        <v>25144</v>
      </c>
      <c r="D12" s="1753">
        <f t="shared" si="0"/>
        <v>71841</v>
      </c>
      <c r="E12" s="585">
        <v>97794</v>
      </c>
      <c r="F12" s="1753">
        <f t="shared" si="1"/>
        <v>72650</v>
      </c>
    </row>
    <row r="13" spans="1:6" ht="13.7" customHeight="1" x14ac:dyDescent="0.2">
      <c r="A13" s="715" t="s">
        <v>936</v>
      </c>
      <c r="B13" s="1750">
        <f>SUM('Revenues 9-14'!C6:D6)</f>
        <v>96985</v>
      </c>
      <c r="C13" s="585">
        <v>25144</v>
      </c>
      <c r="D13" s="1753">
        <f t="shared" si="0"/>
        <v>71841</v>
      </c>
      <c r="E13" s="585">
        <v>97794</v>
      </c>
      <c r="F13" s="1753">
        <f t="shared" si="1"/>
        <v>72650</v>
      </c>
    </row>
    <row r="14" spans="1:6" ht="13.7" customHeight="1" x14ac:dyDescent="0.2">
      <c r="A14" s="715" t="s">
        <v>410</v>
      </c>
      <c r="B14" s="1750">
        <f>SUM('Revenues 9-14'!C7:D7,'Revenues 9-14'!F7:H7)</f>
        <v>38796</v>
      </c>
      <c r="C14" s="585">
        <v>10058</v>
      </c>
      <c r="D14" s="1753">
        <f t="shared" si="0"/>
        <v>28738</v>
      </c>
      <c r="E14" s="585">
        <v>39118</v>
      </c>
      <c r="F14" s="1753">
        <f t="shared" si="1"/>
        <v>29060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167561</v>
      </c>
      <c r="C16" s="585">
        <v>44857</v>
      </c>
      <c r="D16" s="1753">
        <f t="shared" si="0"/>
        <v>122704</v>
      </c>
      <c r="E16" s="585">
        <v>174465</v>
      </c>
      <c r="F16" s="1753">
        <f t="shared" si="1"/>
        <v>129608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6415177</v>
      </c>
      <c r="C19" s="1751">
        <f>SUM(C4:C18)</f>
        <v>1669710</v>
      </c>
      <c r="D19" s="1751">
        <f>SUM(D4:D18)</f>
        <v>4745467</v>
      </c>
      <c r="E19" s="1751">
        <f>SUM(E4:E18)</f>
        <v>6494134</v>
      </c>
      <c r="F19" s="1751">
        <f>SUM(F4:F18)</f>
        <v>4824424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7" sqref="J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1954</v>
      </c>
      <c r="D2" s="723" t="s">
        <v>1955</v>
      </c>
      <c r="E2" s="723" t="s">
        <v>1956</v>
      </c>
      <c r="F2" s="1884" t="s">
        <v>1957</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t="s">
        <v>2078</v>
      </c>
      <c r="B32" s="733">
        <v>41145</v>
      </c>
      <c r="C32" s="734">
        <v>2673000</v>
      </c>
      <c r="D32" s="735">
        <v>3</v>
      </c>
      <c r="E32" s="734">
        <v>1989000</v>
      </c>
      <c r="F32" s="734"/>
      <c r="G32" s="734"/>
      <c r="H32" s="734">
        <v>341000</v>
      </c>
      <c r="I32" s="1756">
        <f>((E32+F32)-H32)+G32</f>
        <v>1648000</v>
      </c>
      <c r="J32" s="734">
        <f>1648000-738178</f>
        <v>909822</v>
      </c>
      <c r="K32" s="736"/>
    </row>
    <row r="33" spans="1:11" ht="12" customHeight="1" x14ac:dyDescent="0.2">
      <c r="A33" s="732" t="s">
        <v>2079</v>
      </c>
      <c r="B33" s="733">
        <v>42383</v>
      </c>
      <c r="C33" s="734">
        <v>3330000</v>
      </c>
      <c r="D33" s="735">
        <v>3</v>
      </c>
      <c r="E33" s="734">
        <v>3330000</v>
      </c>
      <c r="F33" s="734"/>
      <c r="G33" s="734"/>
      <c r="H33" s="734"/>
      <c r="I33" s="1756">
        <f t="shared" ref="I33:I48" si="1">((E33+F33)-H33)+G33</f>
        <v>3330000</v>
      </c>
      <c r="J33" s="734">
        <v>3330000</v>
      </c>
      <c r="K33" s="736"/>
    </row>
    <row r="34" spans="1:11" ht="12" customHeight="1" x14ac:dyDescent="0.2">
      <c r="A34" s="732" t="s">
        <v>2080</v>
      </c>
      <c r="B34" s="733">
        <v>42383</v>
      </c>
      <c r="C34" s="734">
        <v>1000000</v>
      </c>
      <c r="D34" s="735">
        <v>1</v>
      </c>
      <c r="E34" s="734">
        <v>260000</v>
      </c>
      <c r="F34" s="734"/>
      <c r="G34" s="734"/>
      <c r="H34" s="734">
        <v>260000</v>
      </c>
      <c r="I34" s="1756">
        <f t="shared" si="1"/>
        <v>0</v>
      </c>
      <c r="J34" s="734"/>
      <c r="K34" s="737"/>
    </row>
    <row r="35" spans="1:11" ht="12" customHeight="1" x14ac:dyDescent="0.2">
      <c r="A35" s="732" t="s">
        <v>2081</v>
      </c>
      <c r="B35" s="733">
        <v>43011</v>
      </c>
      <c r="C35" s="738">
        <v>1200000</v>
      </c>
      <c r="D35" s="735">
        <v>1</v>
      </c>
      <c r="E35" s="738">
        <v>1200000</v>
      </c>
      <c r="F35" s="738"/>
      <c r="G35" s="738"/>
      <c r="H35" s="738">
        <v>220000</v>
      </c>
      <c r="I35" s="1756">
        <f t="shared" si="1"/>
        <v>980000</v>
      </c>
      <c r="J35" s="738">
        <v>980000</v>
      </c>
      <c r="K35" s="737"/>
    </row>
    <row r="36" spans="1:11" ht="12" customHeight="1" x14ac:dyDescent="0.2">
      <c r="A36" s="732" t="s">
        <v>2082</v>
      </c>
      <c r="B36" s="733">
        <v>43558</v>
      </c>
      <c r="C36" s="734">
        <v>1600000</v>
      </c>
      <c r="D36" s="735">
        <v>1</v>
      </c>
      <c r="E36" s="734"/>
      <c r="F36" s="734">
        <v>1600000</v>
      </c>
      <c r="G36" s="734"/>
      <c r="H36" s="734"/>
      <c r="I36" s="1756">
        <f t="shared" si="1"/>
        <v>1600000</v>
      </c>
      <c r="J36" s="734">
        <v>1600000</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9803000</v>
      </c>
      <c r="D49" s="745"/>
      <c r="E49" s="1756">
        <f t="shared" ref="E49:J49" si="2">SUM(E31:E48)</f>
        <v>6779000</v>
      </c>
      <c r="F49" s="1756">
        <f t="shared" si="2"/>
        <v>1600000</v>
      </c>
      <c r="G49" s="1756">
        <f t="shared" si="2"/>
        <v>0</v>
      </c>
      <c r="H49" s="1756">
        <f t="shared" si="2"/>
        <v>821000</v>
      </c>
      <c r="I49" s="1756">
        <f t="shared" si="2"/>
        <v>7558000</v>
      </c>
      <c r="J49" s="1756">
        <f t="shared" si="2"/>
        <v>6819822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1962</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c r="I5" s="772"/>
      <c r="J5" s="773"/>
      <c r="K5" s="773"/>
    </row>
    <row r="6" spans="1:11" x14ac:dyDescent="0.2">
      <c r="A6" s="774" t="s">
        <v>720</v>
      </c>
      <c r="B6" s="775"/>
      <c r="C6" s="775"/>
      <c r="D6" s="775"/>
      <c r="E6" s="776"/>
      <c r="F6" s="777" t="s">
        <v>849</v>
      </c>
      <c r="G6" s="764"/>
      <c r="H6" s="764">
        <f>'Revenues 9-14'!C7</f>
        <v>38796</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38796</v>
      </c>
      <c r="I12" s="1758">
        <f>SUM(I5:I11)</f>
        <v>0</v>
      </c>
      <c r="J12" s="1758">
        <f>SUM(J5:J11)</f>
        <v>0</v>
      </c>
      <c r="K12" s="1758">
        <f>SUM(K5:K11)</f>
        <v>0</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38796</v>
      </c>
      <c r="I14" s="771"/>
      <c r="J14" s="773"/>
      <c r="K14" s="765"/>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38796</v>
      </c>
      <c r="I23" s="1758">
        <f>SUM(I14:I16,I21,I22)</f>
        <v>0</v>
      </c>
      <c r="J23" s="1758">
        <f>SUM(J14:J16,J21,J22)</f>
        <v>0</v>
      </c>
      <c r="K23" s="1758">
        <f>SUM(K14:K16,K21,K22)</f>
        <v>0</v>
      </c>
    </row>
    <row r="24" spans="1:11" ht="14.25" thickTop="1" thickBot="1" x14ac:dyDescent="0.25">
      <c r="A24" s="2232" t="s">
        <v>1963</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4" sqref="H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474102</v>
      </c>
      <c r="D5" s="841"/>
      <c r="E5" s="841"/>
      <c r="F5" s="1760">
        <f>(C5+D5)-E5</f>
        <v>474102</v>
      </c>
      <c r="G5" s="837"/>
      <c r="H5" s="842"/>
      <c r="I5" s="842"/>
      <c r="J5" s="842"/>
      <c r="K5" s="793"/>
      <c r="L5" s="1769">
        <f>F5-K5</f>
        <v>474102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9070063</v>
      </c>
      <c r="D8" s="844"/>
      <c r="E8" s="844"/>
      <c r="F8" s="1760">
        <f>(C8+D8)-E8</f>
        <v>9070063</v>
      </c>
      <c r="G8" s="843">
        <v>50</v>
      </c>
      <c r="H8" s="765">
        <v>4389054</v>
      </c>
      <c r="I8" s="765"/>
      <c r="J8" s="765"/>
      <c r="K8" s="1769">
        <f>(H8+I8)-J8</f>
        <v>4389054</v>
      </c>
      <c r="L8" s="1769">
        <f>F8-K8</f>
        <v>4681009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8093514</v>
      </c>
      <c r="D10" s="846"/>
      <c r="E10" s="846"/>
      <c r="F10" s="1764">
        <f>(C10+D10)-E10</f>
        <v>8093514</v>
      </c>
      <c r="G10" s="843">
        <v>20</v>
      </c>
      <c r="H10" s="847">
        <v>1682110</v>
      </c>
      <c r="I10" s="847"/>
      <c r="J10" s="847"/>
      <c r="K10" s="1769">
        <f>(H10+I10)-J10</f>
        <v>1682110</v>
      </c>
      <c r="L10" s="1769">
        <f>F10-K10</f>
        <v>6411404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809074</v>
      </c>
      <c r="D12" s="844"/>
      <c r="E12" s="844"/>
      <c r="F12" s="1760">
        <f>(C12+D12)-E12</f>
        <v>809074</v>
      </c>
      <c r="G12" s="843">
        <v>10</v>
      </c>
      <c r="H12" s="765">
        <v>809074</v>
      </c>
      <c r="I12" s="765"/>
      <c r="J12" s="765"/>
      <c r="K12" s="1769">
        <f>(H12+I12)-J12</f>
        <v>809074</v>
      </c>
      <c r="L12" s="1769">
        <f>F12-K12</f>
        <v>0</v>
      </c>
    </row>
    <row r="13" spans="1:14" ht="14.25" thickTop="1" thickBot="1" x14ac:dyDescent="0.25">
      <c r="A13" s="848" t="s">
        <v>1122</v>
      </c>
      <c r="B13" s="840">
        <v>252</v>
      </c>
      <c r="C13" s="844">
        <v>1384526</v>
      </c>
      <c r="D13" s="844"/>
      <c r="E13" s="844"/>
      <c r="F13" s="1760">
        <f>(C13+D13)-E13</f>
        <v>1384526</v>
      </c>
      <c r="G13" s="843">
        <v>5</v>
      </c>
      <c r="H13" s="765">
        <v>1312142</v>
      </c>
      <c r="I13" s="765"/>
      <c r="J13" s="765"/>
      <c r="K13" s="1769">
        <f>(H13+I13)-J13</f>
        <v>1312142</v>
      </c>
      <c r="L13" s="1769">
        <f>F13-K13</f>
        <v>72384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19831279</v>
      </c>
      <c r="D16" s="1760">
        <f>SUM(D3,D5:D6,D8:D10,D12:D15)</f>
        <v>0</v>
      </c>
      <c r="E16" s="1760">
        <f>SUM(E3,E5:E6,E8:E10,E12:E15)</f>
        <v>0</v>
      </c>
      <c r="F16" s="1760">
        <f>SUM(F3,F5:F6,F8:F10,F12:F15)</f>
        <v>19831279</v>
      </c>
      <c r="G16" s="843"/>
      <c r="H16" s="1760">
        <f>SUM(H3,H6,H8:H10,H12:H14,)</f>
        <v>8192380</v>
      </c>
      <c r="I16" s="1760">
        <f>SUM(I3,I6,I8:I10,I12:I14,)</f>
        <v>0</v>
      </c>
      <c r="J16" s="1760">
        <f>SUM(J3,J6,J8:J10,J12:J14,)</f>
        <v>0</v>
      </c>
      <c r="K16" s="1760">
        <f>(H16+I16)-J16</f>
        <v>8192380</v>
      </c>
      <c r="L16" s="1760">
        <f>F16-K16</f>
        <v>11638899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2"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6001907</v>
      </c>
      <c r="G8" s="865"/>
    </row>
    <row r="9" spans="1:7" x14ac:dyDescent="0.2">
      <c r="A9" s="869" t="s">
        <v>460</v>
      </c>
      <c r="B9" s="870" t="s">
        <v>1876</v>
      </c>
      <c r="C9" s="871"/>
      <c r="D9" s="869" t="s">
        <v>501</v>
      </c>
      <c r="E9" s="868"/>
      <c r="F9" s="1909">
        <f>'Expenditures 15-22'!K151</f>
        <v>653166</v>
      </c>
      <c r="G9" s="872"/>
    </row>
    <row r="10" spans="1:7" x14ac:dyDescent="0.2">
      <c r="A10" s="869" t="s">
        <v>499</v>
      </c>
      <c r="B10" s="870" t="s">
        <v>1877</v>
      </c>
      <c r="C10" s="871"/>
      <c r="D10" s="869" t="s">
        <v>501</v>
      </c>
      <c r="E10" s="868"/>
      <c r="F10" s="1909">
        <f>'Expenditures 15-22'!K174</f>
        <v>1093024</v>
      </c>
      <c r="G10" s="872"/>
    </row>
    <row r="11" spans="1:7" x14ac:dyDescent="0.2">
      <c r="A11" s="869" t="s">
        <v>461</v>
      </c>
      <c r="B11" s="870" t="s">
        <v>1878</v>
      </c>
      <c r="C11" s="871"/>
      <c r="D11" s="869" t="s">
        <v>501</v>
      </c>
      <c r="E11" s="868"/>
      <c r="F11" s="1909">
        <f>'Expenditures 15-22'!K210</f>
        <v>416758</v>
      </c>
      <c r="G11" s="872"/>
    </row>
    <row r="12" spans="1:7" x14ac:dyDescent="0.2">
      <c r="A12" s="869" t="s">
        <v>462</v>
      </c>
      <c r="B12" s="870" t="s">
        <v>1879</v>
      </c>
      <c r="C12" s="871"/>
      <c r="D12" s="869" t="s">
        <v>501</v>
      </c>
      <c r="E12" s="868"/>
      <c r="F12" s="1909">
        <f>'Expenditures 15-22'!K295</f>
        <v>238553</v>
      </c>
      <c r="G12" s="872"/>
    </row>
    <row r="13" spans="1:7" x14ac:dyDescent="0.2">
      <c r="A13" s="869" t="s">
        <v>106</v>
      </c>
      <c r="B13" s="870" t="s">
        <v>1880</v>
      </c>
      <c r="C13" s="871"/>
      <c r="D13" s="869" t="s">
        <v>501</v>
      </c>
      <c r="E13" s="868"/>
      <c r="F13" s="1909">
        <f>'Expenditures 15-22'!K342</f>
        <v>460960</v>
      </c>
      <c r="G13" s="873"/>
    </row>
    <row r="14" spans="1:7" ht="12" customHeight="1" thickBot="1" x14ac:dyDescent="0.25">
      <c r="A14" s="1770"/>
      <c r="B14" s="1771"/>
      <c r="C14" s="1772"/>
      <c r="D14" s="1773" t="s">
        <v>501</v>
      </c>
      <c r="E14" s="1774" t="s">
        <v>958</v>
      </c>
      <c r="F14" s="1775">
        <f>SUM(F8:F13)</f>
        <v>8864368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108927</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185325</v>
      </c>
      <c r="G53" s="865"/>
    </row>
    <row r="54" spans="1:7" x14ac:dyDescent="0.2">
      <c r="A54" s="869" t="s">
        <v>459</v>
      </c>
      <c r="B54" s="869" t="s">
        <v>1476</v>
      </c>
      <c r="C54" s="889" t="s">
        <v>982</v>
      </c>
      <c r="D54" s="885" t="s">
        <v>1095</v>
      </c>
      <c r="E54" s="868"/>
      <c r="F54" s="1913">
        <f>'Expenditures 15-22'!G114</f>
        <v>5102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154969</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821000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38876</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126712</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14800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1455711</v>
      </c>
      <c r="G76" s="865"/>
    </row>
    <row r="77" spans="1:8" s="893" customFormat="1" ht="12" customHeight="1" thickTop="1" thickBot="1" x14ac:dyDescent="0.25">
      <c r="A77" s="1779"/>
      <c r="B77" s="1776"/>
      <c r="C77" s="1772"/>
      <c r="D77" s="1777" t="s">
        <v>1899</v>
      </c>
      <c r="E77" s="1774"/>
      <c r="F77" s="1780">
        <f>(F14-F76)</f>
        <v>7408657</v>
      </c>
      <c r="G77" s="869"/>
    </row>
    <row r="78" spans="1:8" s="893" customFormat="1" ht="12" customHeight="1" thickTop="1" x14ac:dyDescent="0.2">
      <c r="A78" s="1781"/>
      <c r="B78" s="1776"/>
      <c r="C78" s="1772"/>
      <c r="D78" s="1777" t="s">
        <v>2060</v>
      </c>
      <c r="E78" s="1774"/>
      <c r="F78" s="898">
        <f>460.813+243.008</f>
        <v>703.82100000000003</v>
      </c>
      <c r="G78" s="899"/>
      <c r="H78" s="869"/>
    </row>
    <row r="79" spans="1:8" s="893" customFormat="1" ht="12" customHeight="1" thickBot="1" x14ac:dyDescent="0.25">
      <c r="A79" s="1782"/>
      <c r="B79" s="1776"/>
      <c r="C79" s="1772"/>
      <c r="D79" s="1777" t="s">
        <v>1900</v>
      </c>
      <c r="E79" s="1774" t="s">
        <v>958</v>
      </c>
      <c r="F79" s="1783">
        <f>IF(F78&gt;0,F77/F78," Complete Line 78")</f>
        <v>10526.336952151185</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7613</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146468</v>
      </c>
      <c r="G94" s="912"/>
    </row>
    <row r="95" spans="1:7" x14ac:dyDescent="0.2">
      <c r="A95" s="908" t="s">
        <v>140</v>
      </c>
      <c r="B95" s="908" t="s">
        <v>175</v>
      </c>
      <c r="C95" s="910">
        <v>1700</v>
      </c>
      <c r="D95" s="918" t="str">
        <f>'Revenues 9-14'!A82</f>
        <v>Total District/School Activity Income</v>
      </c>
      <c r="E95" s="906"/>
      <c r="F95" s="1789">
        <f>SUM('Revenues 9-14'!C82,'Revenues 9-14'!D82)</f>
        <v>11928</v>
      </c>
      <c r="G95" s="912"/>
    </row>
    <row r="96" spans="1:7" x14ac:dyDescent="0.2">
      <c r="A96" s="908" t="s">
        <v>459</v>
      </c>
      <c r="B96" s="908" t="s">
        <v>176</v>
      </c>
      <c r="C96" s="910">
        <f>'Revenues 9-14'!B84</f>
        <v>1811</v>
      </c>
      <c r="D96" s="911" t="str">
        <f>'Revenues 9-14'!A84</f>
        <v>Rentals - Regular Textbooks</v>
      </c>
      <c r="E96" s="906"/>
      <c r="F96" s="1789">
        <f>'Revenues 9-14'!C84</f>
        <v>51300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19975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389</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1230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111580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31312</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85841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88634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10169</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331</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20608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37760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625138</v>
      </c>
    </row>
    <row r="175" spans="1:7" ht="12" customHeight="1" x14ac:dyDescent="0.2">
      <c r="A175" s="1770"/>
      <c r="B175" s="1784"/>
      <c r="C175" s="1785"/>
      <c r="D175" s="1786" t="s">
        <v>2055</v>
      </c>
      <c r="E175" s="1787"/>
      <c r="F175" s="1789">
        <f>'PCTC-OEPP 27-28'!F77-F174</f>
        <v>6783519</v>
      </c>
    </row>
    <row r="176" spans="1:7" ht="12" customHeight="1" x14ac:dyDescent="0.2">
      <c r="A176" s="1770"/>
      <c r="B176" s="1784"/>
      <c r="C176" s="1785"/>
      <c r="D176" s="1786" t="s">
        <v>1817</v>
      </c>
      <c r="E176" s="1787"/>
      <c r="F176" s="1789">
        <f>'Cap Outlay Deprec 26'!I18</f>
        <v>0</v>
      </c>
    </row>
    <row r="177" spans="1:7" ht="12" customHeight="1" x14ac:dyDescent="0.2">
      <c r="A177" s="1770"/>
      <c r="B177" s="1784"/>
      <c r="C177" s="1785"/>
      <c r="D177" s="1786" t="s">
        <v>2056</v>
      </c>
      <c r="E177" s="1787"/>
      <c r="F177" s="1789">
        <f>F175+F176</f>
        <v>6783519</v>
      </c>
    </row>
    <row r="178" spans="1:7" ht="12" customHeight="1" x14ac:dyDescent="0.2">
      <c r="A178" s="1770"/>
      <c r="B178" s="1790"/>
      <c r="C178" s="1785"/>
      <c r="D178" s="1786" t="str">
        <f>D78</f>
        <v>9 Month ADA from District Average Daily Attendance/Prior General State Aid Inquiry 2018-2019</v>
      </c>
      <c r="E178" s="1787"/>
      <c r="F178" s="1791">
        <f>'PCTC-OEPP 27-28'!F78</f>
        <v>703.82100000000003</v>
      </c>
      <c r="G178" s="930"/>
    </row>
    <row r="179" spans="1:7" ht="12" customHeight="1" thickBot="1" x14ac:dyDescent="0.25">
      <c r="A179" s="1770"/>
      <c r="B179" s="1790"/>
      <c r="C179" s="1785"/>
      <c r="D179" s="1786" t="s">
        <v>2057</v>
      </c>
      <c r="E179" s="1787" t="s">
        <v>1545</v>
      </c>
      <c r="F179" s="1792">
        <f>F177/F178</f>
        <v>9638.1310020587625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2063</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1933</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1974</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t="s">
        <v>2087</v>
      </c>
      <c r="C17" s="1656" t="s">
        <v>2094</v>
      </c>
      <c r="D17" s="1844">
        <v>0</v>
      </c>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t="s">
        <v>2088</v>
      </c>
      <c r="C18" s="1656" t="s">
        <v>2091</v>
      </c>
      <c r="D18" s="1844">
        <v>10176</v>
      </c>
      <c r="E18" s="1540">
        <f t="shared" ref="E18:E140" si="2">IF(D18&lt;=25000,D18,IF(D18&gt;25000,25000,0))</f>
        <v>10176</v>
      </c>
      <c r="F18" s="1933">
        <f t="shared" si="1"/>
        <v>0</v>
      </c>
      <c r="G18" s="1793">
        <f t="shared" ref="G18:G140" si="3">IF(F18=0,0,D18-F18)</f>
        <v>0</v>
      </c>
    </row>
    <row r="19" spans="1:8" x14ac:dyDescent="0.25">
      <c r="A19" s="1653"/>
      <c r="B19" s="1935" t="s">
        <v>2089</v>
      </c>
      <c r="C19" s="1656" t="s">
        <v>2092</v>
      </c>
      <c r="D19" s="1844">
        <v>210166</v>
      </c>
      <c r="E19" s="1540">
        <f t="shared" si="2"/>
        <v>25000</v>
      </c>
      <c r="F19" s="1933">
        <f t="shared" si="1"/>
        <v>0</v>
      </c>
      <c r="G19" s="1793">
        <f t="shared" si="3"/>
        <v>0</v>
      </c>
    </row>
    <row r="20" spans="1:8" x14ac:dyDescent="0.25">
      <c r="A20" s="1653"/>
      <c r="B20" s="1935" t="s">
        <v>2090</v>
      </c>
      <c r="C20" s="1656" t="s">
        <v>2093</v>
      </c>
      <c r="D20" s="1844">
        <v>33710</v>
      </c>
      <c r="E20" s="1540">
        <f t="shared" si="2"/>
        <v>25000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254052</v>
      </c>
      <c r="E141" s="1541">
        <f t="shared" si="0"/>
        <v>25000</v>
      </c>
      <c r="F141" s="1934">
        <f>SUM(F17:F140)</f>
        <v>0</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f>'Expenditures 15-22'!K63</f>
        <v>245298</v>
      </c>
      <c r="F10" s="974"/>
      <c r="G10" s="975"/>
      <c r="H10" s="162"/>
      <c r="I10" s="162"/>
    </row>
    <row r="11" spans="1:9" s="668" customFormat="1" ht="22.5" customHeight="1" x14ac:dyDescent="0.2">
      <c r="A11" s="2284" t="s">
        <v>1975</v>
      </c>
      <c r="B11" s="2285"/>
      <c r="C11" s="2285"/>
      <c r="D11" s="2286"/>
      <c r="E11" s="977">
        <v>21096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4999601</v>
      </c>
      <c r="F19" s="1799"/>
      <c r="G19" s="1801">
        <f>'Expenditures 15-22'!K33-SUM('Expenditures 15-22'!G33,'Expenditures 15-22'!I33)+'Expenditures 15-22'!D229</f>
        <v>4999601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66602</v>
      </c>
      <c r="F21" s="1802"/>
      <c r="G21" s="1805">
        <f>'Expenditures 15-22'!K42-SUM('Expenditures 15-22'!G42,'Expenditures 15-22'!I42)+'Expenditures 15-22'!K120-SUM('Expenditures 15-22'!G120,'Expenditures 15-22'!I120)+'Expenditures 15-22'!K180-SUM('Expenditures 15-22'!G180,'Expenditures 15-22'!I180)+'Expenditures 15-22'!D238</f>
        <v>66602</v>
      </c>
      <c r="H21" s="987"/>
      <c r="I21" s="162"/>
    </row>
    <row r="22" spans="1:9" s="668" customFormat="1" ht="12" customHeight="1" x14ac:dyDescent="0.2">
      <c r="A22" s="994" t="s">
        <v>564</v>
      </c>
      <c r="B22" s="995"/>
      <c r="C22" s="993">
        <v>2200</v>
      </c>
      <c r="D22" s="1802"/>
      <c r="E22" s="1804">
        <f>'Expenditures 15-22'!K47-SUM('Expenditures 15-22'!G47,'Expenditures 15-22'!I47)+'Expenditures 15-22'!D243</f>
        <v>75197</v>
      </c>
      <c r="F22" s="1802"/>
      <c r="G22" s="1805">
        <f>'Expenditures 15-22'!K47-SUM('Expenditures 15-22'!G47,'Expenditures 15-22'!I47)+'Expenditures 15-22'!D243</f>
        <v>75197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656580</v>
      </c>
      <c r="F23" s="1802"/>
      <c r="G23" s="1804">
        <f>'Expenditures 15-22'!K53-SUM('Expenditures 15-22'!G53,'Expenditures 15-22'!I53)+'Expenditures 15-22'!D257+'Expenditures 15-22'!K330-SUM('Expenditures 15-22'!G330,'Expenditures 15-22'!I330)</f>
        <v>656580</v>
      </c>
      <c r="H23" s="987"/>
      <c r="I23" s="162"/>
    </row>
    <row r="24" spans="1:9" s="668" customFormat="1" ht="12" customHeight="1" x14ac:dyDescent="0.2">
      <c r="A24" s="994" t="s">
        <v>566</v>
      </c>
      <c r="B24" s="995"/>
      <c r="C24" s="993">
        <v>2400</v>
      </c>
      <c r="D24" s="1802"/>
      <c r="E24" s="1804">
        <f>'Expenditures 15-22'!K57-SUM('Expenditures 15-22'!G57,'Expenditures 15-22'!I57)+'Expenditures 15-22'!D261</f>
        <v>276809</v>
      </c>
      <c r="F24" s="1802"/>
      <c r="G24" s="1805">
        <f>'Expenditures 15-22'!K57-SUM('Expenditures 15-22'!G57,'Expenditures 15-22'!I57)+'Expenditures 15-22'!D261</f>
        <v>276809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103987</v>
      </c>
      <c r="E27" s="1804">
        <f>E8</f>
        <v>0</v>
      </c>
      <c r="F27" s="1804">
        <f>'Expenditures 15-22'!K60-SUM('Expenditures 15-22'!G60,'Expenditures 15-22'!I60)+'Expenditures 15-22'!D264-E8</f>
        <v>103987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567842</v>
      </c>
      <c r="F28" s="1806">
        <f>'Expenditures 15-22'!K61-SUM('Expenditures 15-22'!G61,'Expenditures 15-22'!I61)+'Expenditures 15-22'!K124-SUM('Expenditures 15-22'!G124,'Expenditures 15-22'!I124)+'Expenditures 15-22'!D266-E9</f>
        <v>567842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265745</v>
      </c>
      <c r="F29" s="1802"/>
      <c r="G29" s="1805">
        <f>'Expenditures 15-22'!K62-SUM('Expenditures 15-22'!G62,'Expenditures 15-22'!I62)+'Expenditures 15-22'!K125-SUM('Expenditures 15-22'!G125,'Expenditures 15-22'!I125)+'Expenditures 15-22'!K182-SUM('Expenditures 15-22'!G182,'Expenditures 15-22'!I182)+'Expenditures 15-22'!D267</f>
        <v>265745</v>
      </c>
      <c r="H29" s="985"/>
    </row>
    <row r="30" spans="1:9" ht="12" customHeight="1" x14ac:dyDescent="0.2">
      <c r="A30" s="994" t="s">
        <v>100</v>
      </c>
      <c r="B30" s="997"/>
      <c r="C30" s="993">
        <v>2560</v>
      </c>
      <c r="D30" s="1802"/>
      <c r="E30" s="1804">
        <f>'Expenditures 15-22'!K63-SUM('Expenditures 15-22'!G63,'Expenditures 15-22'!I63)+'Expenditures 15-22'!D268-E10</f>
        <v>2699</v>
      </c>
      <c r="F30" s="1802"/>
      <c r="G30" s="1804">
        <f>'Expenditures 15-22'!K63-SUM('Expenditures 15-22'!G63,'Expenditures 15-22'!I63)+'Expenditures 15-22'!D268-E10</f>
        <v>2699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103987</v>
      </c>
      <c r="E41" s="1806">
        <f>SUM(E19:E40)</f>
        <v>6911075</v>
      </c>
      <c r="F41" s="1806">
        <f>SUM(F19:F39)</f>
        <v>671829</v>
      </c>
      <c r="G41" s="1806">
        <f>SUM(G19:G40)</f>
        <v>6343233</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103987</v>
      </c>
      <c r="F43" s="1807" t="s">
        <v>473</v>
      </c>
      <c r="G43" s="1808">
        <f>F41</f>
        <v>671829</v>
      </c>
    </row>
    <row r="44" spans="1:7" ht="12" customHeight="1" x14ac:dyDescent="0.2">
      <c r="A44" s="987"/>
      <c r="B44" s="162"/>
      <c r="C44" s="1001"/>
      <c r="D44" s="1807" t="s">
        <v>474</v>
      </c>
      <c r="E44" s="1808">
        <f>E41</f>
        <v>6911075</v>
      </c>
      <c r="F44" s="1807" t="s">
        <v>474</v>
      </c>
      <c r="G44" s="1808">
        <f>G41</f>
        <v>6343233</v>
      </c>
    </row>
    <row r="45" spans="1:7" ht="12" customHeight="1" x14ac:dyDescent="0.2">
      <c r="A45" s="987"/>
      <c r="B45" s="162"/>
      <c r="C45" s="162"/>
      <c r="D45" s="1809" t="s">
        <v>1006</v>
      </c>
      <c r="E45" s="1810">
        <f>(E43/E44)</f>
        <v>1.5046429101116686E-2</v>
      </c>
      <c r="F45" s="1809" t="s">
        <v>1006</v>
      </c>
      <c r="G45" s="1810">
        <f>(G43/G44)</f>
        <v>0.10591271044276633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E14" sqref="E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Milstadt CCSD 160</v>
      </c>
      <c r="D6" s="2294"/>
      <c r="E6" s="2294"/>
      <c r="F6" s="1852"/>
    </row>
    <row r="7" spans="1:10" ht="11.25" customHeight="1" thickBot="1" x14ac:dyDescent="0.3">
      <c r="A7" s="1850"/>
      <c r="B7" s="1851"/>
      <c r="C7" s="2295">
        <f>COVER!A13</f>
        <v>50082160004</v>
      </c>
      <c r="D7" s="2295"/>
      <c r="E7" s="2295"/>
      <c r="F7" s="1852"/>
    </row>
    <row r="8" spans="1:10" ht="25.5" customHeight="1" thickBot="1" x14ac:dyDescent="0.25">
      <c r="A8" s="1893" t="s">
        <v>1907</v>
      </c>
      <c r="B8" s="1853" t="s">
        <v>2064</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Milstadt CCSD 160</v>
      </c>
      <c r="J6" s="2315"/>
      <c r="Q6" s="1664"/>
    </row>
    <row r="7" spans="1:17" x14ac:dyDescent="0.2">
      <c r="A7" s="2316" t="s">
        <v>869</v>
      </c>
      <c r="B7" s="2317"/>
      <c r="C7" s="2317"/>
      <c r="D7" s="2317"/>
      <c r="E7" s="2318"/>
      <c r="F7" s="1017"/>
      <c r="G7" s="1009"/>
      <c r="H7" s="1016" t="s">
        <v>372</v>
      </c>
      <c r="I7" s="2319">
        <f>COVER!A13</f>
        <v>50082160004</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159711</v>
      </c>
      <c r="F12" s="1039"/>
      <c r="G12" s="1811">
        <f t="shared" ref="G12:G18" si="0">SUM(E12:F12)</f>
        <v>159711</v>
      </c>
      <c r="H12" s="1040">
        <v>156700</v>
      </c>
      <c r="I12" s="1039"/>
      <c r="J12" s="1811">
        <f t="shared" ref="J12:J18" si="1">SUM(H12:I12)</f>
        <v>156700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159711</v>
      </c>
      <c r="F19" s="1813">
        <f t="shared" si="2"/>
        <v>0</v>
      </c>
      <c r="G19" s="1813">
        <f t="shared" si="2"/>
        <v>159711</v>
      </c>
      <c r="H19" s="1813">
        <f t="shared" si="2"/>
        <v>156700</v>
      </c>
      <c r="I19" s="1813">
        <f t="shared" si="2"/>
        <v>0</v>
      </c>
      <c r="J19" s="1813">
        <f t="shared" si="2"/>
        <v>156700</v>
      </c>
    </row>
    <row r="20" spans="1:10" ht="13.5" thickTop="1" x14ac:dyDescent="0.2">
      <c r="A20" s="1035">
        <v>9</v>
      </c>
      <c r="B20" s="2326" t="s">
        <v>1979</v>
      </c>
      <c r="C20" s="2326"/>
      <c r="D20" s="2327"/>
      <c r="E20" s="1046"/>
      <c r="F20" s="1046"/>
      <c r="G20" s="1046"/>
      <c r="H20" s="1046"/>
      <c r="I20" s="1046"/>
      <c r="J20" s="1814">
        <f>IF(AND(G19&gt;0,J19&gt;0),(((J19-G19)/G19)),"Enter Budget Data")</f>
        <v>-1.8852802875193319E-2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29" sqref="D2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v>2</v>
      </c>
      <c r="B6" s="329" t="s">
        <v>2084</v>
      </c>
    </row>
    <row r="7" spans="1:2" x14ac:dyDescent="0.2">
      <c r="A7" s="1068">
        <v>3</v>
      </c>
      <c r="B7" s="329" t="s">
        <v>2085</v>
      </c>
    </row>
    <row r="8" spans="1:2" x14ac:dyDescent="0.2">
      <c r="A8" s="1068">
        <v>4</v>
      </c>
      <c r="B8" s="329" t="s">
        <v>2086</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Milstadt CCSD 160</v>
      </c>
    </row>
    <row r="65" spans="2:2" x14ac:dyDescent="0.2">
      <c r="B65" s="1070">
        <f>COVER!A13</f>
        <v>50082160004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1986</v>
      </c>
      <c r="B4" s="2354"/>
      <c r="C4" s="2354"/>
      <c r="D4" s="2354"/>
      <c r="E4" s="2354"/>
      <c r="F4" s="2355"/>
      <c r="G4" s="1074"/>
      <c r="H4" s="1074"/>
    </row>
    <row r="5" spans="1:8" ht="14.25" customHeight="1" x14ac:dyDescent="0.2">
      <c r="A5" s="2356" t="s">
        <v>1982</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5759281</v>
      </c>
      <c r="C8" s="1815">
        <f>'Acct Summary 7-8'!D8</f>
        <v>606474</v>
      </c>
      <c r="D8" s="1815">
        <f>'Acct Summary 7-8'!F8</f>
        <v>351957</v>
      </c>
      <c r="E8" s="1815">
        <f>'Acct Summary 7-8'!I8</f>
        <v>96985</v>
      </c>
      <c r="F8" s="1815">
        <f>SUM(B8:E8)</f>
        <v>6814697</v>
      </c>
    </row>
    <row r="9" spans="1:8" s="1079" customFormat="1" ht="14.25" customHeight="1" thickBot="1" x14ac:dyDescent="0.25">
      <c r="A9" s="1078" t="s">
        <v>1369</v>
      </c>
      <c r="B9" s="1816">
        <f>'Acct Summary 7-8'!C17</f>
        <v>6001907</v>
      </c>
      <c r="C9" s="1816">
        <f>'Acct Summary 7-8'!D17</f>
        <v>653166</v>
      </c>
      <c r="D9" s="1816">
        <f>'Acct Summary 7-8'!F17</f>
        <v>416758</v>
      </c>
      <c r="E9" s="1815"/>
      <c r="F9" s="1815">
        <f>SUM(B9:E9)</f>
        <v>7071831</v>
      </c>
    </row>
    <row r="10" spans="1:8" s="1079" customFormat="1" ht="14.25" thickTop="1" thickBot="1" x14ac:dyDescent="0.25">
      <c r="A10" s="1080" t="s">
        <v>1370</v>
      </c>
      <c r="B10" s="1817">
        <f>(B8-B9)</f>
        <v>-242626</v>
      </c>
      <c r="C10" s="1817">
        <f>(C8-C9)</f>
        <v>-46692</v>
      </c>
      <c r="D10" s="1817">
        <f>(D8-D9)</f>
        <v>-64801</v>
      </c>
      <c r="E10" s="1816">
        <f>(E8-E9)</f>
        <v>96985</v>
      </c>
      <c r="F10" s="1818">
        <f>SUM(F8-F9)</f>
        <v>-257134</v>
      </c>
    </row>
    <row r="11" spans="1:8" s="1079" customFormat="1" ht="14.25" thickTop="1" thickBot="1" x14ac:dyDescent="0.25">
      <c r="A11" s="1081" t="s">
        <v>1983</v>
      </c>
      <c r="B11" s="1819">
        <f>'Acct Summary 7-8'!C81</f>
        <v>1231273</v>
      </c>
      <c r="C11" s="1819">
        <f>'Acct Summary 7-8'!D81</f>
        <v>229042</v>
      </c>
      <c r="D11" s="1819">
        <f>'Acct Summary 7-8'!F81</f>
        <v>1230959</v>
      </c>
      <c r="E11" s="1819">
        <f>'Acct Summary 7-8'!I81</f>
        <v>1508177</v>
      </c>
      <c r="F11" s="1820">
        <f>SUM(B11:E11)</f>
        <v>4199451</v>
      </c>
    </row>
    <row r="12" spans="1:8" ht="16.5" customHeight="1" thickTop="1" x14ac:dyDescent="0.2">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 colorId="8" zoomScale="110" zoomScaleNormal="110" workbookViewId="0">
      <selection activeCell="D79" sqref="D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50082160004</v>
      </c>
    </row>
    <row r="3" spans="1:2" x14ac:dyDescent="0.2">
      <c r="A3" t="s">
        <v>956</v>
      </c>
      <c r="B3" s="138" t="str">
        <f>COVER!A15</f>
        <v>St. Clair</v>
      </c>
    </row>
    <row r="4" spans="1:2" x14ac:dyDescent="0.2">
      <c r="A4" t="s">
        <v>1007</v>
      </c>
      <c r="B4" s="138" t="str">
        <f>COVER!A17</f>
        <v>Milstadt CCSD 160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060-008105</v>
      </c>
    </row>
    <row r="16" spans="1:2" x14ac:dyDescent="0.2">
      <c r="A16" t="s">
        <v>422</v>
      </c>
      <c r="B16" s="138" t="str">
        <f>COVER!T13</f>
        <v>Fick, Eggemeyer &amp; Williamson</v>
      </c>
    </row>
    <row r="17" spans="1:2" x14ac:dyDescent="0.2">
      <c r="A17" t="s">
        <v>884</v>
      </c>
      <c r="B17" s="138" t="str">
        <f>COVER!T15</f>
        <v>Keith Slusser</v>
      </c>
    </row>
    <row r="18" spans="1:2" x14ac:dyDescent="0.2">
      <c r="A18" t="s">
        <v>1150</v>
      </c>
      <c r="B18" s="138" t="str">
        <f>COVER!T17</f>
        <v>205 S. Main</v>
      </c>
    </row>
    <row r="19" spans="1:2" x14ac:dyDescent="0.2">
      <c r="A19" t="s">
        <v>886</v>
      </c>
      <c r="B19" s="138" t="str">
        <f>COVER!T25</f>
        <v>keith@afewcpas.com</v>
      </c>
    </row>
    <row r="20" spans="1:2" x14ac:dyDescent="0.2">
      <c r="A20" t="s">
        <v>887</v>
      </c>
      <c r="B20" s="138" t="str">
        <f>COVER!T19</f>
        <v>Columbia</v>
      </c>
    </row>
    <row r="21" spans="1:2" x14ac:dyDescent="0.2">
      <c r="A21" t="s">
        <v>479</v>
      </c>
      <c r="B21" s="138" t="str">
        <f>COVER!X19</f>
        <v>IL</v>
      </c>
    </row>
    <row r="22" spans="1:2" x14ac:dyDescent="0.2">
      <c r="A22" t="s">
        <v>888</v>
      </c>
      <c r="B22" s="138">
        <f>COVER!Z19</f>
        <v>62236</v>
      </c>
    </row>
    <row r="23" spans="1:2" x14ac:dyDescent="0.2">
      <c r="A23" t="s">
        <v>1152</v>
      </c>
      <c r="B23" s="138" t="str">
        <f>COVER!T21</f>
        <v>314-845-7999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1231273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1231273</v>
      </c>
      <c r="D92" s="2" t="str">
        <f t="shared" si="0"/>
        <v>Error?</v>
      </c>
    </row>
    <row r="93" spans="1:4" x14ac:dyDescent="0.2">
      <c r="A93" s="5">
        <v>32</v>
      </c>
      <c r="B93" s="138">
        <f>'Assets-Liab 5-6'!C41</f>
        <v>1231273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229042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229042</v>
      </c>
      <c r="D123" s="2" t="str">
        <f t="shared" si="0"/>
        <v>Error?</v>
      </c>
    </row>
    <row r="124" spans="1:4" x14ac:dyDescent="0.2">
      <c r="A124" s="5">
        <v>63</v>
      </c>
      <c r="B124" s="138">
        <f>'Assets-Liab 5-6'!D41</f>
        <v>229042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738178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738178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1230959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1230959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228368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228368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738178</v>
      </c>
      <c r="D282" s="2" t="str">
        <f t="shared" si="3"/>
        <v>Error?</v>
      </c>
    </row>
    <row r="283" spans="1:4" x14ac:dyDescent="0.2">
      <c r="A283" s="5">
        <v>222</v>
      </c>
      <c r="B283" s="138">
        <f>'Assets-Liab 5-6'!N22</f>
        <v>6819822</v>
      </c>
      <c r="D283" s="2" t="str">
        <f t="shared" si="3"/>
        <v>Error?</v>
      </c>
    </row>
    <row r="284" spans="1:4" x14ac:dyDescent="0.2">
      <c r="A284" s="5">
        <v>223</v>
      </c>
      <c r="B284" s="138">
        <f>'Assets-Liab 5-6'!N23</f>
        <v>7558000</v>
      </c>
      <c r="C284" s="2" t="s">
        <v>573</v>
      </c>
      <c r="D284" s="2" t="str">
        <f t="shared" si="3"/>
        <v>Error?</v>
      </c>
    </row>
    <row r="285" spans="1:4" x14ac:dyDescent="0.2">
      <c r="A285" s="5">
        <v>224</v>
      </c>
      <c r="B285" s="138">
        <f>'Assets-Liab 5-6'!N36</f>
        <v>7558000</v>
      </c>
      <c r="D285" s="2" t="str">
        <f t="shared" si="3"/>
        <v>Error?</v>
      </c>
    </row>
    <row r="286" spans="1:4" x14ac:dyDescent="0.2">
      <c r="A286" s="10">
        <v>225</v>
      </c>
      <c r="D286" s="2" t="str">
        <f t="shared" si="3"/>
        <v>OK</v>
      </c>
    </row>
    <row r="287" spans="1:4" x14ac:dyDescent="0.2">
      <c r="A287" s="5">
        <v>226</v>
      </c>
      <c r="B287" s="138">
        <f>'Assets-Liab 5-6'!N37</f>
        <v>7558000</v>
      </c>
      <c r="C287" s="2" t="s">
        <v>573</v>
      </c>
      <c r="D287" s="2" t="str">
        <f t="shared" si="3"/>
        <v>Error?</v>
      </c>
    </row>
    <row r="288" spans="1:4" x14ac:dyDescent="0.2">
      <c r="A288" s="5">
        <v>227</v>
      </c>
      <c r="B288" s="138">
        <f>'Assets-Liab 5-6'!N41</f>
        <v>7558000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1600000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2549935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41275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3821517</v>
      </c>
      <c r="C720" s="2" t="s">
        <v>573</v>
      </c>
      <c r="D720" s="2" t="str">
        <f t="shared" si="10"/>
        <v>Error?</v>
      </c>
    </row>
    <row r="721" spans="1:4" x14ac:dyDescent="0.2">
      <c r="A721" s="5">
        <v>660</v>
      </c>
      <c r="B721" s="138">
        <f>'Expenditures 15-22'!C36</f>
        <v>68452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-28552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39900</v>
      </c>
      <c r="C727" s="2" t="s">
        <v>573</v>
      </c>
      <c r="D727" s="2" t="str">
        <f t="shared" si="10"/>
        <v>Error?</v>
      </c>
    </row>
    <row r="728" spans="1:4" x14ac:dyDescent="0.2">
      <c r="A728" s="5">
        <v>667</v>
      </c>
      <c r="B728" s="138">
        <f>'Expenditures 15-22'!C44</f>
        <v>40551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40551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114507</v>
      </c>
      <c r="D733" s="2" t="str">
        <f t="shared" si="10"/>
        <v>Error?</v>
      </c>
    </row>
    <row r="734" spans="1:4" x14ac:dyDescent="0.2">
      <c r="A734" s="5">
        <v>673</v>
      </c>
      <c r="B734" s="138">
        <f>'Expenditures 15-22'!C53</f>
        <v>114507</v>
      </c>
      <c r="C734" s="2" t="s">
        <v>573</v>
      </c>
      <c r="D734" s="2" t="str">
        <f t="shared" si="10"/>
        <v>Error?</v>
      </c>
    </row>
    <row r="735" spans="1:4" x14ac:dyDescent="0.2">
      <c r="A735" s="5">
        <v>674</v>
      </c>
      <c r="B735" s="138">
        <f>'Expenditures 15-22'!C55</f>
        <v>187489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187489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43618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32239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75857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458304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4279821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693259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3503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932870</v>
      </c>
      <c r="C778" s="2" t="s">
        <v>573</v>
      </c>
      <c r="D778" s="2" t="str">
        <f t="shared" si="11"/>
        <v>Error?</v>
      </c>
    </row>
    <row r="779" spans="1:4" x14ac:dyDescent="0.2">
      <c r="A779" s="5">
        <v>718</v>
      </c>
      <c r="B779" s="138">
        <f>'Expenditures 15-22'!D36</f>
        <v>17247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2710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19957</v>
      </c>
      <c r="C785" s="2" t="s">
        <v>573</v>
      </c>
      <c r="D785" s="2" t="str">
        <f t="shared" si="11"/>
        <v>Error?</v>
      </c>
    </row>
    <row r="786" spans="1:4" x14ac:dyDescent="0.2">
      <c r="A786" s="5">
        <v>725</v>
      </c>
      <c r="B786" s="138">
        <f>'Expenditures 15-22'!D44</f>
        <v>5532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5532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34962</v>
      </c>
      <c r="D791" s="2" t="str">
        <f t="shared" si="11"/>
        <v>Error?</v>
      </c>
    </row>
    <row r="792" spans="1:4" x14ac:dyDescent="0.2">
      <c r="A792" s="5">
        <v>731</v>
      </c>
      <c r="B792" s="138">
        <f>'Expenditures 15-22'!D53</f>
        <v>34962</v>
      </c>
      <c r="C792" s="2" t="s">
        <v>573</v>
      </c>
      <c r="D792" s="2" t="str">
        <f t="shared" si="11"/>
        <v>Error?</v>
      </c>
    </row>
    <row r="793" spans="1:4" x14ac:dyDescent="0.2">
      <c r="A793" s="5">
        <v>732</v>
      </c>
      <c r="B793" s="138">
        <f>'Expenditures 15-22'!D55</f>
        <v>55586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55586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13672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13683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129720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1062590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5837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8431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26246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552</v>
      </c>
      <c r="C843" s="2" t="s">
        <v>573</v>
      </c>
      <c r="D843" s="2" t="str">
        <f t="shared" si="12"/>
        <v>Error?</v>
      </c>
    </row>
    <row r="844" spans="1:4" x14ac:dyDescent="0.2">
      <c r="A844" s="5">
        <v>783</v>
      </c>
      <c r="B844" s="138">
        <f>'Expenditures 15-22'!E44</f>
        <v>13809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13809</v>
      </c>
      <c r="C847" s="2" t="s">
        <v>573</v>
      </c>
      <c r="D847" s="2" t="str">
        <f t="shared" si="12"/>
        <v>Error?</v>
      </c>
    </row>
    <row r="848" spans="1:4" x14ac:dyDescent="0.2">
      <c r="A848" s="5">
        <v>787</v>
      </c>
      <c r="B848" s="138">
        <f>'Expenditures 15-22'!E49</f>
        <v>26914</v>
      </c>
      <c r="D848" s="2" t="str">
        <f t="shared" si="12"/>
        <v>Error?</v>
      </c>
    </row>
    <row r="849" spans="1:4" x14ac:dyDescent="0.2">
      <c r="A849" s="5">
        <v>788</v>
      </c>
      <c r="B849" s="138">
        <f>'Expenditures 15-22'!E50</f>
        <v>9329</v>
      </c>
      <c r="D849" s="2" t="str">
        <f t="shared" si="12"/>
        <v>Error?</v>
      </c>
    </row>
    <row r="850" spans="1:4" x14ac:dyDescent="0.2">
      <c r="A850" s="5">
        <v>789</v>
      </c>
      <c r="B850" s="138">
        <f>'Expenditures 15-22'!E53</f>
        <v>36243</v>
      </c>
      <c r="C850" s="2" t="s">
        <v>573</v>
      </c>
      <c r="D850" s="2" t="str">
        <f t="shared" si="12"/>
        <v>Error?</v>
      </c>
    </row>
    <row r="851" spans="1:4" x14ac:dyDescent="0.2">
      <c r="A851" s="5">
        <v>790</v>
      </c>
      <c r="B851" s="138">
        <f>'Expenditures 15-22'!E55</f>
        <v>13121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13121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35164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208447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243611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307336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333582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94786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1500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99836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1355</v>
      </c>
      <c r="C901" s="2" t="s">
        <v>573</v>
      </c>
      <c r="D901" s="2" t="str">
        <f t="shared" si="13"/>
        <v>Error?</v>
      </c>
    </row>
    <row r="902" spans="1:4" x14ac:dyDescent="0.2">
      <c r="A902" s="5">
        <v>841</v>
      </c>
      <c r="B902" s="138">
        <f>'Expenditures 15-22'!F44</f>
        <v>8889</v>
      </c>
      <c r="D902" s="2" t="str">
        <f t="shared" si="13"/>
        <v>Error?</v>
      </c>
    </row>
    <row r="903" spans="1:4" x14ac:dyDescent="0.2">
      <c r="A903" s="5">
        <v>842</v>
      </c>
      <c r="B903" s="138">
        <f>'Expenditures 15-22'!F45</f>
        <v>2093</v>
      </c>
      <c r="D903" s="2" t="str">
        <f t="shared" si="13"/>
        <v>Error?</v>
      </c>
    </row>
    <row r="904" spans="1:4" x14ac:dyDescent="0.2">
      <c r="A904" s="5">
        <v>843</v>
      </c>
      <c r="B904" s="138">
        <f>'Expenditures 15-22'!F46</f>
        <v>3735</v>
      </c>
      <c r="D904" s="2" t="str">
        <f t="shared" si="13"/>
        <v>Error?</v>
      </c>
    </row>
    <row r="905" spans="1:4" x14ac:dyDescent="0.2">
      <c r="A905" s="5">
        <v>844</v>
      </c>
      <c r="B905" s="138">
        <f>'Expenditures 15-22'!F47</f>
        <v>14717</v>
      </c>
      <c r="C905" s="2" t="s">
        <v>573</v>
      </c>
      <c r="D905" s="2" t="str">
        <f t="shared" si="13"/>
        <v>Error?</v>
      </c>
    </row>
    <row r="906" spans="1:4" x14ac:dyDescent="0.2">
      <c r="A906" s="5">
        <v>845</v>
      </c>
      <c r="B906" s="138">
        <f>'Expenditures 15-22'!F49</f>
        <v>57</v>
      </c>
      <c r="D906" s="2" t="str">
        <f t="shared" si="13"/>
        <v>Error?</v>
      </c>
    </row>
    <row r="907" spans="1:4" x14ac:dyDescent="0.2">
      <c r="A907" s="5">
        <v>846</v>
      </c>
      <c r="B907" s="138">
        <f>'Expenditures 15-22'!F50</f>
        <v>913</v>
      </c>
      <c r="D907" s="2" t="str">
        <f t="shared" si="13"/>
        <v>Error?</v>
      </c>
    </row>
    <row r="908" spans="1:4" x14ac:dyDescent="0.2">
      <c r="A908" s="5">
        <v>847</v>
      </c>
      <c r="B908" s="138">
        <f>'Expenditures 15-22'!F53</f>
        <v>970</v>
      </c>
      <c r="C908" s="2" t="s">
        <v>573</v>
      </c>
      <c r="D908" s="2" t="str">
        <f t="shared" si="13"/>
        <v>Error?</v>
      </c>
    </row>
    <row r="909" spans="1:4" x14ac:dyDescent="0.2">
      <c r="A909" s="5">
        <v>848</v>
      </c>
      <c r="B909" s="138">
        <f>'Expenditures 15-22'!F55</f>
        <v>1282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1282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1482</v>
      </c>
      <c r="D913" s="2" t="str">
        <f t="shared" si="13"/>
        <v>Error?</v>
      </c>
    </row>
    <row r="914" spans="1:4" x14ac:dyDescent="0.2">
      <c r="A914" s="5">
        <v>853</v>
      </c>
      <c r="B914" s="138">
        <f>'Expenditures 15-22'!F61</f>
        <v>15662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17327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35651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135487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684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684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4418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4418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4418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5102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185325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185325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3343817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55393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4881153</v>
      </c>
      <c r="C1108" s="2" t="s">
        <v>573</v>
      </c>
      <c r="D1108" s="2" t="str">
        <f t="shared" si="16"/>
        <v>Error?</v>
      </c>
    </row>
    <row r="1109" spans="1:4" x14ac:dyDescent="0.2">
      <c r="A1109" s="5">
        <v>1048</v>
      </c>
      <c r="B1109" s="138">
        <f>'Expenditures 15-22'!K36</f>
        <v>85699</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-23935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61764</v>
      </c>
      <c r="C1115" s="2" t="s">
        <v>573</v>
      </c>
      <c r="D1115" s="2" t="str">
        <f t="shared" si="16"/>
        <v>Error?</v>
      </c>
    </row>
    <row r="1116" spans="1:4" x14ac:dyDescent="0.2">
      <c r="A1116" s="5">
        <v>1055</v>
      </c>
      <c r="B1116" s="138">
        <f>'Expenditures 15-22'!K44</f>
        <v>68781</v>
      </c>
      <c r="C1116" s="2" t="s">
        <v>573</v>
      </c>
      <c r="D1116" s="2" t="str">
        <f t="shared" si="16"/>
        <v>Error?</v>
      </c>
    </row>
    <row r="1117" spans="1:4" x14ac:dyDescent="0.2">
      <c r="A1117" s="5">
        <v>1056</v>
      </c>
      <c r="B1117" s="138">
        <f>'Expenditures 15-22'!K45</f>
        <v>2093</v>
      </c>
      <c r="C1117" s="2" t="s">
        <v>573</v>
      </c>
      <c r="D1117" s="2" t="str">
        <f t="shared" si="16"/>
        <v>Error?</v>
      </c>
    </row>
    <row r="1118" spans="1:4" x14ac:dyDescent="0.2">
      <c r="A1118" s="5">
        <v>1057</v>
      </c>
      <c r="B1118" s="138">
        <f>'Expenditures 15-22'!K46</f>
        <v>3735</v>
      </c>
      <c r="C1118" s="2" t="s">
        <v>573</v>
      </c>
      <c r="D1118" s="2" t="str">
        <f t="shared" si="16"/>
        <v>Error?</v>
      </c>
    </row>
    <row r="1119" spans="1:4" x14ac:dyDescent="0.2">
      <c r="A1119" s="5">
        <v>1058</v>
      </c>
      <c r="B1119" s="138">
        <f>'Expenditures 15-22'!K47</f>
        <v>74609</v>
      </c>
      <c r="C1119" s="2" t="s">
        <v>573</v>
      </c>
      <c r="D1119" s="2" t="str">
        <f t="shared" si="16"/>
        <v>Error?</v>
      </c>
    </row>
    <row r="1120" spans="1:4" x14ac:dyDescent="0.2">
      <c r="A1120" s="5">
        <v>1059</v>
      </c>
      <c r="B1120" s="138">
        <f>'Expenditures 15-22'!K49</f>
        <v>26971</v>
      </c>
      <c r="C1120" s="2" t="s">
        <v>573</v>
      </c>
      <c r="D1120" s="2" t="str">
        <f t="shared" si="16"/>
        <v>Error?</v>
      </c>
    </row>
    <row r="1121" spans="1:4" x14ac:dyDescent="0.2">
      <c r="A1121" s="5">
        <v>1060</v>
      </c>
      <c r="B1121" s="138">
        <f>'Expenditures 15-22'!K50</f>
        <v>159711</v>
      </c>
      <c r="C1121" s="2" t="s">
        <v>573</v>
      </c>
      <c r="D1121" s="2" t="str">
        <f t="shared" si="16"/>
        <v>Error?</v>
      </c>
    </row>
    <row r="1122" spans="1:4" x14ac:dyDescent="0.2">
      <c r="A1122" s="5">
        <v>1061</v>
      </c>
      <c r="B1122" s="138">
        <f>'Expenditures 15-22'!K53</f>
        <v>186682</v>
      </c>
      <c r="C1122" s="2" t="s">
        <v>573</v>
      </c>
      <c r="D1122" s="2" t="str">
        <f t="shared" si="16"/>
        <v>Error?</v>
      </c>
    </row>
    <row r="1123" spans="1:4" x14ac:dyDescent="0.2">
      <c r="A1123" s="5">
        <v>1062</v>
      </c>
      <c r="B1123" s="138">
        <f>'Expenditures 15-22'!K55</f>
        <v>257478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257478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93936</v>
      </c>
      <c r="C1127" s="2" t="s">
        <v>573</v>
      </c>
      <c r="D1127" s="2" t="str">
        <f t="shared" si="16"/>
        <v>Error?</v>
      </c>
    </row>
    <row r="1128" spans="1:4" x14ac:dyDescent="0.2">
      <c r="A1128" s="5">
        <v>1067</v>
      </c>
      <c r="B1128" s="138">
        <f>'Expenditures 15-22'!K61</f>
        <v>15662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245298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354896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935429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185325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6001907</v>
      </c>
      <c r="C1152" s="2" t="s">
        <v>573</v>
      </c>
      <c r="D1152" s="2" t="str">
        <f t="shared" si="17"/>
        <v>Error?</v>
      </c>
    </row>
    <row r="1153" spans="1:4" x14ac:dyDescent="0.2">
      <c r="A1153" s="5">
        <v>1092</v>
      </c>
      <c r="B1153" s="138">
        <f>'Expenditures 15-22'!K115</f>
        <v>-242626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220496</v>
      </c>
      <c r="D1221" s="2" t="str">
        <f t="shared" si="18"/>
        <v>Error?</v>
      </c>
    </row>
    <row r="1222" spans="1:4" x14ac:dyDescent="0.2">
      <c r="A1222" s="10">
        <v>1161</v>
      </c>
      <c r="D1222" s="2" t="str">
        <f t="shared" si="18"/>
        <v>OK</v>
      </c>
    </row>
    <row r="1223" spans="1:4" x14ac:dyDescent="0.2">
      <c r="A1223" s="5">
        <v>1162</v>
      </c>
      <c r="B1223" s="138">
        <f>'Expenditures 15-22'!C127</f>
        <v>220496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220496</v>
      </c>
      <c r="C1225" s="2" t="s">
        <v>573</v>
      </c>
      <c r="D1225" s="2" t="str">
        <f t="shared" si="18"/>
        <v>Error?</v>
      </c>
    </row>
    <row r="1226" spans="1:4" x14ac:dyDescent="0.2">
      <c r="A1226" s="5">
        <v>1165</v>
      </c>
      <c r="B1226" s="138">
        <f>'Expenditures 15-22'!C151</f>
        <v>220496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46397</v>
      </c>
      <c r="D1229" s="2" t="str">
        <f t="shared" si="18"/>
        <v>Error?</v>
      </c>
    </row>
    <row r="1230" spans="1:4" x14ac:dyDescent="0.2">
      <c r="A1230" s="10">
        <v>1169</v>
      </c>
      <c r="D1230" s="2" t="str">
        <f t="shared" si="18"/>
        <v>OK</v>
      </c>
    </row>
    <row r="1231" spans="1:4" x14ac:dyDescent="0.2">
      <c r="A1231" s="5">
        <v>1170</v>
      </c>
      <c r="B1231" s="138">
        <f>'Expenditures 15-22'!D127</f>
        <v>46397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46397</v>
      </c>
      <c r="C1233" s="2" t="s">
        <v>573</v>
      </c>
      <c r="D1233" s="2" t="str">
        <f t="shared" si="18"/>
        <v>Error?</v>
      </c>
    </row>
    <row r="1234" spans="1:4" x14ac:dyDescent="0.2">
      <c r="A1234" s="5">
        <v>1173</v>
      </c>
      <c r="B1234" s="138">
        <f>'Expenditures 15-22'!D151</f>
        <v>46397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53713</v>
      </c>
      <c r="D1237" s="2" t="str">
        <f t="shared" si="18"/>
        <v>Error?</v>
      </c>
    </row>
    <row r="1238" spans="1:4" x14ac:dyDescent="0.2">
      <c r="A1238" s="10">
        <v>1177</v>
      </c>
      <c r="D1238" s="2" t="str">
        <f t="shared" si="18"/>
        <v>OK</v>
      </c>
    </row>
    <row r="1239" spans="1:4" x14ac:dyDescent="0.2">
      <c r="A1239" s="5">
        <v>1178</v>
      </c>
      <c r="B1239" s="138">
        <f>'Expenditures 15-22'!E127</f>
        <v>53713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53713</v>
      </c>
      <c r="C1241" s="2" t="s">
        <v>573</v>
      </c>
      <c r="D1241" s="2" t="str">
        <f t="shared" si="18"/>
        <v>Error?</v>
      </c>
    </row>
    <row r="1242" spans="1:4" x14ac:dyDescent="0.2">
      <c r="A1242" s="5">
        <v>1181</v>
      </c>
      <c r="B1242" s="138">
        <f>'Expenditures 15-22'!E151</f>
        <v>53713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177591</v>
      </c>
      <c r="D1245" s="2" t="str">
        <f t="shared" si="18"/>
        <v>Error?</v>
      </c>
    </row>
    <row r="1246" spans="1:4" x14ac:dyDescent="0.2">
      <c r="A1246" s="10">
        <v>1185</v>
      </c>
      <c r="D1246" s="2" t="str">
        <f t="shared" si="18"/>
        <v>OK</v>
      </c>
    </row>
    <row r="1247" spans="1:4" x14ac:dyDescent="0.2">
      <c r="A1247" s="5">
        <v>1186</v>
      </c>
      <c r="B1247" s="138">
        <f>'Expenditures 15-22'!F127</f>
        <v>177591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177591</v>
      </c>
      <c r="C1249" s="2" t="s">
        <v>573</v>
      </c>
      <c r="D1249" s="2" t="str">
        <f t="shared" si="18"/>
        <v>Error?</v>
      </c>
    </row>
    <row r="1250" spans="1:4" x14ac:dyDescent="0.2">
      <c r="A1250" s="5">
        <v>1189</v>
      </c>
      <c r="B1250" s="138">
        <f>'Expenditures 15-22'!F151</f>
        <v>177591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154969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154969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154969</v>
      </c>
      <c r="C1258" s="2" t="s">
        <v>573</v>
      </c>
      <c r="D1258" s="2" t="str">
        <f t="shared" si="18"/>
        <v>Error?</v>
      </c>
    </row>
    <row r="1259" spans="1:4" x14ac:dyDescent="0.2">
      <c r="A1259" s="5">
        <v>1198</v>
      </c>
      <c r="B1259" s="138">
        <f>'Expenditures 15-22'!G151</f>
        <v>154969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653166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653166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653166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653166</v>
      </c>
      <c r="C1288" s="2" t="s">
        <v>573</v>
      </c>
      <c r="D1288" s="2" t="str">
        <f t="shared" si="19"/>
        <v>Error?</v>
      </c>
    </row>
    <row r="1289" spans="1:4" x14ac:dyDescent="0.2">
      <c r="A1289" s="5">
        <v>1228</v>
      </c>
      <c r="B1289" s="138">
        <f>'Expenditures 15-22'!K152</f>
        <v>-46692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213847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821000</v>
      </c>
      <c r="D1315" s="2" t="str">
        <f t="shared" si="19"/>
        <v>Error?</v>
      </c>
    </row>
    <row r="1316" spans="1:4" x14ac:dyDescent="0.2">
      <c r="A1316" s="5">
        <v>1255</v>
      </c>
      <c r="B1316" s="138">
        <f>'Expenditures 15-22'!H171</f>
        <v>58177</v>
      </c>
      <c r="D1316" s="2" t="str">
        <f t="shared" si="19"/>
        <v>Error?</v>
      </c>
    </row>
    <row r="1317" spans="1:4" x14ac:dyDescent="0.2">
      <c r="A1317" s="5">
        <v>1256</v>
      </c>
      <c r="B1317" s="138">
        <f>'Expenditures 15-22'!H172</f>
        <v>1093024</v>
      </c>
      <c r="C1317" s="2" t="s">
        <v>573</v>
      </c>
      <c r="D1317" s="2" t="str">
        <f t="shared" si="19"/>
        <v>Error?</v>
      </c>
    </row>
    <row r="1318" spans="1:4" x14ac:dyDescent="0.2">
      <c r="A1318" s="5">
        <v>1257</v>
      </c>
      <c r="B1318" s="138">
        <f>'Expenditures 15-22'!H174</f>
        <v>1093024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213847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821000</v>
      </c>
      <c r="C1329" s="2" t="s">
        <v>573</v>
      </c>
      <c r="D1329" s="2" t="str">
        <f t="shared" si="19"/>
        <v>Error?</v>
      </c>
    </row>
    <row r="1330" spans="1:4" x14ac:dyDescent="0.2">
      <c r="A1330" s="5">
        <v>1269</v>
      </c>
      <c r="B1330" s="138">
        <f>'Expenditures 15-22'!K171</f>
        <v>58177</v>
      </c>
      <c r="C1330" s="2" t="s">
        <v>573</v>
      </c>
      <c r="D1330" s="2" t="str">
        <f t="shared" si="19"/>
        <v>Error?</v>
      </c>
    </row>
    <row r="1331" spans="1:4" x14ac:dyDescent="0.2">
      <c r="A1331" s="5">
        <v>1270</v>
      </c>
      <c r="B1331" s="138">
        <f>'Expenditures 15-22'!K172</f>
        <v>1093024</v>
      </c>
      <c r="C1331" s="2" t="s">
        <v>573</v>
      </c>
      <c r="D1331" s="2" t="str">
        <f t="shared" si="19"/>
        <v>Error?</v>
      </c>
    </row>
    <row r="1332" spans="1:4" x14ac:dyDescent="0.2">
      <c r="A1332" s="5">
        <v>1271</v>
      </c>
      <c r="B1332" s="138">
        <f>'Expenditures 15-22'!K174</f>
        <v>1093024</v>
      </c>
      <c r="C1332" s="2" t="s">
        <v>573</v>
      </c>
      <c r="D1332" s="2" t="str">
        <f t="shared" si="19"/>
        <v>Error?</v>
      </c>
    </row>
    <row r="1333" spans="1:4" x14ac:dyDescent="0.2">
      <c r="A1333" s="5">
        <v>1272</v>
      </c>
      <c r="B1333" s="138">
        <f>'Expenditures 15-22'!K175</f>
        <v>-59229</v>
      </c>
      <c r="C1333" s="2" t="s">
        <v>573</v>
      </c>
      <c r="D1333" s="2" t="str">
        <f t="shared" si="19"/>
        <v>Error?</v>
      </c>
    </row>
    <row r="1334" spans="1:4" x14ac:dyDescent="0.2">
      <c r="A1334" s="10">
        <v>1273</v>
      </c>
      <c r="D1334" s="2" t="str">
        <f t="shared" si="19"/>
        <v>OK</v>
      </c>
    </row>
    <row r="1335" spans="1:4" x14ac:dyDescent="0.2">
      <c r="A1335" s="5">
        <v>1274</v>
      </c>
      <c r="B1335" s="138">
        <f>'Expenditures 15-22'!C182</f>
        <v>150192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150192</v>
      </c>
      <c r="C1339" s="2" t="s">
        <v>573</v>
      </c>
      <c r="D1339" s="2" t="str">
        <f t="shared" si="19"/>
        <v>Error?</v>
      </c>
    </row>
    <row r="1340" spans="1:4" x14ac:dyDescent="0.2">
      <c r="A1340" s="5">
        <v>1279</v>
      </c>
      <c r="B1340" s="138">
        <f>'Expenditures 15-22'!C210</f>
        <v>150192</v>
      </c>
      <c r="C1340" s="2" t="s">
        <v>573</v>
      </c>
      <c r="D1340" s="2" t="str">
        <f t="shared" si="19"/>
        <v>Error?</v>
      </c>
    </row>
    <row r="1341" spans="1:4" x14ac:dyDescent="0.2">
      <c r="A1341" s="5">
        <v>1280</v>
      </c>
      <c r="B1341" s="138">
        <f>'Expenditures 15-22'!D182</f>
        <v>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v>
      </c>
      <c r="C1345" s="2" t="s">
        <v>573</v>
      </c>
      <c r="D1345" s="2" t="str">
        <f t="shared" si="20"/>
        <v>Error?</v>
      </c>
    </row>
    <row r="1346" spans="1:4" x14ac:dyDescent="0.2">
      <c r="A1346" s="5">
        <v>1285</v>
      </c>
      <c r="B1346" s="138">
        <f>'Expenditures 15-22'!D210</f>
        <v>2</v>
      </c>
      <c r="C1346" s="2" t="s">
        <v>573</v>
      </c>
      <c r="D1346" s="2" t="str">
        <f t="shared" si="20"/>
        <v>Error?</v>
      </c>
    </row>
    <row r="1347" spans="1:4" x14ac:dyDescent="0.2">
      <c r="A1347" s="5">
        <v>1286</v>
      </c>
      <c r="B1347" s="138">
        <f>'Expenditures 15-22'!E182</f>
        <v>35324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35324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35324</v>
      </c>
      <c r="C1353" s="2" t="s">
        <v>573</v>
      </c>
      <c r="D1353" s="2" t="str">
        <f t="shared" si="20"/>
        <v>Error?</v>
      </c>
    </row>
    <row r="1354" spans="1:4" x14ac:dyDescent="0.2">
      <c r="A1354" s="5">
        <v>1293</v>
      </c>
      <c r="B1354" s="138">
        <f>'Expenditures 15-22'!F182</f>
        <v>65652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65652</v>
      </c>
      <c r="C1358" s="2" t="s">
        <v>573</v>
      </c>
      <c r="D1358" s="2" t="str">
        <f t="shared" si="20"/>
        <v>Error?</v>
      </c>
    </row>
    <row r="1359" spans="1:4" x14ac:dyDescent="0.2">
      <c r="A1359" s="5">
        <v>1298</v>
      </c>
      <c r="B1359" s="138">
        <f>'Expenditures 15-22'!F210</f>
        <v>65652</v>
      </c>
      <c r="C1359" s="2" t="s">
        <v>573</v>
      </c>
      <c r="D1359" s="2" t="str">
        <f t="shared" si="20"/>
        <v>Error?</v>
      </c>
    </row>
    <row r="1360" spans="1:4" x14ac:dyDescent="0.2">
      <c r="A1360" s="5">
        <v>1299</v>
      </c>
      <c r="B1360" s="138">
        <f>'Expenditures 15-22'!G182</f>
        <v>126712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126712</v>
      </c>
      <c r="C1364" s="2" t="s">
        <v>573</v>
      </c>
      <c r="D1364" s="2" t="str">
        <f t="shared" si="20"/>
        <v>Error?</v>
      </c>
    </row>
    <row r="1365" spans="1:4" x14ac:dyDescent="0.2">
      <c r="A1365" s="5">
        <v>1304</v>
      </c>
      <c r="B1365" s="138">
        <f>'Expenditures 15-22'!G210</f>
        <v>126712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38876</v>
      </c>
      <c r="C1376" s="2" t="s">
        <v>573</v>
      </c>
      <c r="D1376" s="2" t="str">
        <f t="shared" si="20"/>
        <v>Error?</v>
      </c>
    </row>
    <row r="1377" spans="1:4" x14ac:dyDescent="0.2">
      <c r="A1377" s="5">
        <v>1316</v>
      </c>
      <c r="B1377" s="138">
        <f>'Expenditures 15-22'!K182</f>
        <v>377882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377882</v>
      </c>
      <c r="C1381" s="2" t="s">
        <v>573</v>
      </c>
      <c r="D1381" s="2" t="str">
        <f t="shared" si="20"/>
        <v>Error?</v>
      </c>
    </row>
    <row r="1382" spans="1:4" x14ac:dyDescent="0.2">
      <c r="A1382" s="5">
        <v>1321</v>
      </c>
      <c r="B1382" s="138">
        <f>'Expenditures 15-22'!K196</f>
        <v>38876</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416758</v>
      </c>
      <c r="C1388" s="2" t="s">
        <v>573</v>
      </c>
      <c r="D1388" s="2" t="str">
        <f t="shared" si="20"/>
        <v>Error?</v>
      </c>
    </row>
    <row r="1389" spans="1:4" x14ac:dyDescent="0.2">
      <c r="A1389" s="5">
        <v>1328</v>
      </c>
      <c r="B1389" s="138">
        <f>'Expenditures 15-22'!K211</f>
        <v>-64801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119132</v>
      </c>
      <c r="C1410" s="2" t="s">
        <v>573</v>
      </c>
      <c r="D1410" s="2" t="str">
        <f t="shared" si="21"/>
        <v>Error?</v>
      </c>
    </row>
    <row r="1411" spans="1:4" x14ac:dyDescent="0.2">
      <c r="A1411" s="5">
        <v>1350</v>
      </c>
      <c r="B1411" s="138">
        <f>'Expenditures 15-22'!D232</f>
        <v>993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3845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4838</v>
      </c>
      <c r="C1417" s="2" t="s">
        <v>573</v>
      </c>
      <c r="D1417" s="2" t="str">
        <f t="shared" si="21"/>
        <v>Error?</v>
      </c>
    </row>
    <row r="1418" spans="1:4" x14ac:dyDescent="0.2">
      <c r="A1418" s="5">
        <v>1357</v>
      </c>
      <c r="B1418" s="138">
        <f>'Expenditures 15-22'!D240</f>
        <v>588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588</v>
      </c>
      <c r="C1421" s="2" t="s">
        <v>573</v>
      </c>
      <c r="D1421" s="2" t="str">
        <f t="shared" si="21"/>
        <v>Error?</v>
      </c>
    </row>
    <row r="1422" spans="1:4" x14ac:dyDescent="0.2">
      <c r="A1422" s="5">
        <v>1361</v>
      </c>
      <c r="B1422" s="138">
        <f>'Expenditures 15-22'!D245</f>
        <v>342</v>
      </c>
      <c r="D1422" s="2" t="str">
        <f t="shared" si="21"/>
        <v>Error?</v>
      </c>
    </row>
    <row r="1423" spans="1:4" x14ac:dyDescent="0.2">
      <c r="A1423" s="5">
        <v>1362</v>
      </c>
      <c r="B1423" s="138">
        <f>'Expenditures 15-22'!D246</f>
        <v>8596</v>
      </c>
      <c r="D1423" s="2" t="str">
        <f t="shared" si="21"/>
        <v>Error?</v>
      </c>
    </row>
    <row r="1424" spans="1:4" x14ac:dyDescent="0.2">
      <c r="A1424" s="5">
        <v>1363</v>
      </c>
      <c r="B1424" s="138">
        <f>'Expenditures 15-22'!D257</f>
        <v>8938</v>
      </c>
      <c r="C1424" s="2" t="s">
        <v>573</v>
      </c>
      <c r="D1424" s="2" t="str">
        <f t="shared" si="21"/>
        <v>Error?</v>
      </c>
    </row>
    <row r="1425" spans="1:4" x14ac:dyDescent="0.2">
      <c r="A1425" s="5">
        <v>1364</v>
      </c>
      <c r="B1425" s="138">
        <f>'Expenditures 15-22'!D259</f>
        <v>19331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19331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10051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53983</v>
      </c>
      <c r="D1431" s="2" t="str">
        <f t="shared" si="21"/>
        <v>Error?</v>
      </c>
    </row>
    <row r="1432" spans="1:4" x14ac:dyDescent="0.2">
      <c r="A1432" s="5">
        <v>1371</v>
      </c>
      <c r="B1432" s="138">
        <f>'Expenditures 15-22'!D267</f>
        <v>14575</v>
      </c>
      <c r="D1432" s="2" t="str">
        <f t="shared" si="21"/>
        <v>Error?</v>
      </c>
    </row>
    <row r="1433" spans="1:4" x14ac:dyDescent="0.2">
      <c r="A1433" s="5">
        <v>1372</v>
      </c>
      <c r="B1433" s="138">
        <f>'Expenditures 15-22'!D268</f>
        <v>7117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85726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119421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238553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1309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119132</v>
      </c>
      <c r="C1474" s="2" t="s">
        <v>573</v>
      </c>
      <c r="D1474" s="2" t="str">
        <f t="shared" si="22"/>
        <v>Error?</v>
      </c>
    </row>
    <row r="1475" spans="1:4" x14ac:dyDescent="0.2">
      <c r="A1475" s="5">
        <v>1414</v>
      </c>
      <c r="B1475" s="138">
        <f>'Expenditures 15-22'!K232</f>
        <v>993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3845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4838</v>
      </c>
      <c r="C1481" s="2" t="s">
        <v>573</v>
      </c>
      <c r="D1481" s="2" t="str">
        <f t="shared" si="22"/>
        <v>Error?</v>
      </c>
    </row>
    <row r="1482" spans="1:4" x14ac:dyDescent="0.2">
      <c r="A1482" s="5">
        <v>1421</v>
      </c>
      <c r="B1482" s="138">
        <f>'Expenditures 15-22'!K240</f>
        <v>588</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588</v>
      </c>
      <c r="C1485" s="2" t="s">
        <v>573</v>
      </c>
      <c r="D1485" s="2" t="str">
        <f t="shared" si="22"/>
        <v>Error?</v>
      </c>
    </row>
    <row r="1486" spans="1:4" x14ac:dyDescent="0.2">
      <c r="A1486" s="5">
        <v>1425</v>
      </c>
      <c r="B1486" s="138">
        <f>'Expenditures 15-22'!K245</f>
        <v>342</v>
      </c>
      <c r="C1486" s="2" t="s">
        <v>573</v>
      </c>
      <c r="D1486" s="2" t="str">
        <f t="shared" si="22"/>
        <v>Error?</v>
      </c>
    </row>
    <row r="1487" spans="1:4" x14ac:dyDescent="0.2">
      <c r="A1487" s="5">
        <v>1426</v>
      </c>
      <c r="B1487" s="138">
        <f>'Expenditures 15-22'!K246</f>
        <v>8596</v>
      </c>
      <c r="C1487" s="2" t="s">
        <v>573</v>
      </c>
      <c r="D1487" s="2" t="str">
        <f t="shared" si="22"/>
        <v>Error?</v>
      </c>
    </row>
    <row r="1488" spans="1:4" x14ac:dyDescent="0.2">
      <c r="A1488" s="5">
        <v>1427</v>
      </c>
      <c r="B1488" s="138">
        <f>'Expenditures 15-22'!K257</f>
        <v>8938</v>
      </c>
      <c r="C1488" s="2" t="s">
        <v>573</v>
      </c>
      <c r="D1488" s="2" t="str">
        <f t="shared" si="22"/>
        <v>Error?</v>
      </c>
    </row>
    <row r="1489" spans="1:4" x14ac:dyDescent="0.2">
      <c r="A1489" s="5">
        <v>1428</v>
      </c>
      <c r="B1489" s="138">
        <f>'Expenditures 15-22'!K259</f>
        <v>19331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19331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10051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53983</v>
      </c>
      <c r="C1495" s="2" t="s">
        <v>573</v>
      </c>
      <c r="D1495" s="2" t="str">
        <f t="shared" si="22"/>
        <v>Error?</v>
      </c>
    </row>
    <row r="1496" spans="1:4" x14ac:dyDescent="0.2">
      <c r="A1496" s="5">
        <v>1435</v>
      </c>
      <c r="B1496" s="138">
        <f>'Expenditures 15-22'!K267</f>
        <v>14575</v>
      </c>
      <c r="C1496" s="2" t="s">
        <v>573</v>
      </c>
      <c r="D1496" s="2" t="str">
        <f t="shared" si="22"/>
        <v>Error?</v>
      </c>
    </row>
    <row r="1497" spans="1:4" x14ac:dyDescent="0.2">
      <c r="A1497" s="5">
        <v>1436</v>
      </c>
      <c r="B1497" s="138">
        <f>'Expenditures 15-22'!K268</f>
        <v>7117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85726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119421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238553</v>
      </c>
      <c r="C1517" s="2" t="s">
        <v>573</v>
      </c>
      <c r="D1517" s="2" t="str">
        <f t="shared" si="22"/>
        <v>Error?</v>
      </c>
    </row>
    <row r="1518" spans="1:4" x14ac:dyDescent="0.2">
      <c r="A1518" s="5">
        <v>1457</v>
      </c>
      <c r="B1518" s="138">
        <f>'Expenditures 15-22'!K296</f>
        <v>96316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127283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1231273</v>
      </c>
      <c r="C1630" s="2" t="s">
        <v>573</v>
      </c>
      <c r="D1630" s="2" t="str">
        <f t="shared" si="24"/>
        <v>Error?</v>
      </c>
    </row>
    <row r="1631" spans="1:4" x14ac:dyDescent="0.2">
      <c r="A1631" s="5">
        <v>1570</v>
      </c>
      <c r="B1631" s="138">
        <f>'Acct Summary 7-8'!D79</f>
        <v>32428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229042</v>
      </c>
      <c r="C1644" s="2" t="s">
        <v>573</v>
      </c>
      <c r="D1644" s="2" t="str">
        <f t="shared" si="24"/>
        <v>Error?</v>
      </c>
    </row>
    <row r="1645" spans="1:4" x14ac:dyDescent="0.2">
      <c r="A1645" s="5">
        <v>1584</v>
      </c>
      <c r="B1645" s="138">
        <f>'Acct Summary 7-8'!E79</f>
        <v>731005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738178</v>
      </c>
      <c r="C1658" s="2" t="s">
        <v>573</v>
      </c>
      <c r="D1658" s="2" t="str">
        <f t="shared" si="24"/>
        <v>Error?</v>
      </c>
    </row>
    <row r="1659" spans="1:4" x14ac:dyDescent="0.2">
      <c r="A1659" s="5">
        <v>1598</v>
      </c>
      <c r="B1659" s="138">
        <f>'Acct Summary 7-8'!F79</f>
        <v>1395760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1230959</v>
      </c>
      <c r="C1672" s="2" t="s">
        <v>573</v>
      </c>
      <c r="D1672" s="2" t="str">
        <f t="shared" si="25"/>
        <v>Error?</v>
      </c>
    </row>
    <row r="1673" spans="1:4" x14ac:dyDescent="0.2">
      <c r="A1673" s="5">
        <v>1612</v>
      </c>
      <c r="B1673" s="138">
        <f>'Acct Summary 7-8'!G79</f>
        <v>132052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228368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3416410</v>
      </c>
      <c r="C1744" s="2" t="s">
        <v>573</v>
      </c>
      <c r="D1744" s="2" t="str">
        <f t="shared" si="26"/>
        <v>Error?</v>
      </c>
    </row>
    <row r="1745" spans="1:5" x14ac:dyDescent="0.2">
      <c r="A1745" s="5">
        <v>1684</v>
      </c>
      <c r="B1745" s="138">
        <f>'Tax Sched 23'!B5</f>
        <v>484923</v>
      </c>
      <c r="C1745" s="2" t="s">
        <v>573</v>
      </c>
      <c r="D1745" s="2" t="str">
        <f t="shared" si="26"/>
        <v>Error?</v>
      </c>
    </row>
    <row r="1746" spans="1:5" x14ac:dyDescent="0.2">
      <c r="A1746" s="5">
        <v>1685</v>
      </c>
      <c r="B1746" s="138">
        <f>'Tax Sched 23'!B6</f>
        <v>1033795</v>
      </c>
      <c r="C1746" s="2" t="s">
        <v>573</v>
      </c>
      <c r="D1746" s="2" t="str">
        <f t="shared" si="26"/>
        <v>Error?</v>
      </c>
    </row>
    <row r="1747" spans="1:5" x14ac:dyDescent="0.2">
      <c r="A1747" s="5">
        <v>1686</v>
      </c>
      <c r="B1747" s="138">
        <f>'Tax Sched 23'!B7</f>
        <v>232764</v>
      </c>
      <c r="C1747" s="2" t="s">
        <v>573</v>
      </c>
      <c r="D1747" s="2" t="str">
        <f t="shared" si="26"/>
        <v>Error?</v>
      </c>
    </row>
    <row r="1748" spans="1:5" x14ac:dyDescent="0.2">
      <c r="A1748" s="5">
        <v>1687</v>
      </c>
      <c r="B1748" s="138">
        <f>'Tax Sched 23'!B8</f>
        <v>167308</v>
      </c>
      <c r="C1748" s="2" t="s">
        <v>573</v>
      </c>
      <c r="D1748" s="2" t="str">
        <f t="shared" si="26"/>
        <v>Error?</v>
      </c>
    </row>
    <row r="1749" spans="1:5" x14ac:dyDescent="0.2">
      <c r="A1749" s="5">
        <v>1688</v>
      </c>
      <c r="B1749" s="138">
        <f>'Tax Sched 23'!B10</f>
        <v>96985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582665</v>
      </c>
      <c r="C1752" s="2" t="s">
        <v>573</v>
      </c>
      <c r="D1752" s="2" t="str">
        <f t="shared" si="26"/>
        <v>Error?</v>
      </c>
    </row>
    <row r="1753" spans="1:5" x14ac:dyDescent="0.2">
      <c r="A1753" s="5">
        <v>1692</v>
      </c>
      <c r="B1753" s="138">
        <f>'Tax Sched 23'!B12</f>
        <v>96985</v>
      </c>
      <c r="C1753" s="2" t="s">
        <v>573</v>
      </c>
      <c r="D1753" s="2" t="str">
        <f t="shared" si="26"/>
        <v>Error?</v>
      </c>
    </row>
    <row r="1754" spans="1:5" x14ac:dyDescent="0.2">
      <c r="A1754" s="5">
        <v>1693</v>
      </c>
      <c r="B1754" s="138">
        <f>'Tax Sched 23'!B14</f>
        <v>38796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6415177</v>
      </c>
      <c r="C1759" s="2" t="s">
        <v>573</v>
      </c>
      <c r="D1759" s="2" t="str">
        <f t="shared" si="26"/>
        <v>Error?</v>
      </c>
    </row>
    <row r="1760" spans="1:5" x14ac:dyDescent="0.2">
      <c r="A1760" s="5">
        <v>1699</v>
      </c>
      <c r="B1760" s="138">
        <f>'Tax Sched 23'!D4</f>
        <v>2531341</v>
      </c>
      <c r="C1760" s="2" t="s">
        <v>573</v>
      </c>
      <c r="D1760" s="2" t="str">
        <f t="shared" si="26"/>
        <v>Error?</v>
      </c>
    </row>
    <row r="1761" spans="1:5" x14ac:dyDescent="0.2">
      <c r="A1761" s="5">
        <v>1700</v>
      </c>
      <c r="B1761" s="138">
        <f>'Tax Sched 23'!D5</f>
        <v>359204</v>
      </c>
      <c r="C1761" s="2" t="s">
        <v>573</v>
      </c>
      <c r="D1761" s="2" t="str">
        <f t="shared" si="26"/>
        <v>Error?</v>
      </c>
    </row>
    <row r="1762" spans="1:5" s="8" customFormat="1" x14ac:dyDescent="0.2">
      <c r="A1762" s="5">
        <v>1701</v>
      </c>
      <c r="B1762" s="138">
        <f>'Tax Sched 23'!D6</f>
        <v>761938</v>
      </c>
      <c r="C1762" s="2" t="s">
        <v>573</v>
      </c>
      <c r="D1762" s="2" t="str">
        <f t="shared" si="26"/>
        <v>Error?</v>
      </c>
      <c r="E1762" s="9"/>
    </row>
    <row r="1763" spans="1:5" x14ac:dyDescent="0.2">
      <c r="A1763" s="5">
        <v>1702</v>
      </c>
      <c r="B1763" s="138">
        <f>'Tax Sched 23'!D7</f>
        <v>172419</v>
      </c>
      <c r="C1763" s="2" t="s">
        <v>573</v>
      </c>
      <c r="D1763" s="2" t="str">
        <f t="shared" si="26"/>
        <v>Error?</v>
      </c>
    </row>
    <row r="1764" spans="1:5" x14ac:dyDescent="0.2">
      <c r="A1764" s="5">
        <v>1703</v>
      </c>
      <c r="B1764" s="138">
        <f>'Tax Sched 23'!D8</f>
        <v>122703</v>
      </c>
      <c r="C1764" s="2" t="s">
        <v>573</v>
      </c>
      <c r="D1764" s="2" t="str">
        <f t="shared" si="26"/>
        <v>Error?</v>
      </c>
    </row>
    <row r="1765" spans="1:5" x14ac:dyDescent="0.2">
      <c r="A1765" s="5">
        <v>1704</v>
      </c>
      <c r="B1765" s="138">
        <f>'Tax Sched 23'!D10</f>
        <v>71841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430897</v>
      </c>
      <c r="C1768" s="2" t="s">
        <v>573</v>
      </c>
      <c r="D1768" s="2" t="str">
        <f t="shared" si="26"/>
        <v>Error?</v>
      </c>
    </row>
    <row r="1769" spans="1:5" x14ac:dyDescent="0.2">
      <c r="A1769" s="5">
        <v>1708</v>
      </c>
      <c r="B1769" s="138">
        <f>'Tax Sched 23'!D12</f>
        <v>71841</v>
      </c>
      <c r="C1769" s="2" t="s">
        <v>573</v>
      </c>
      <c r="D1769" s="2" t="str">
        <f t="shared" si="26"/>
        <v>Error?</v>
      </c>
    </row>
    <row r="1770" spans="1:5" x14ac:dyDescent="0.2">
      <c r="A1770" s="5">
        <v>1709</v>
      </c>
      <c r="B1770" s="138">
        <f>'Tax Sched 23'!D14</f>
        <v>28738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4745467</v>
      </c>
      <c r="C1775" s="2" t="s">
        <v>573</v>
      </c>
      <c r="D1775" s="2" t="str">
        <f t="shared" si="26"/>
        <v>Error?</v>
      </c>
    </row>
    <row r="1776" spans="1:5" x14ac:dyDescent="0.2">
      <c r="A1776" s="5">
        <v>1715</v>
      </c>
      <c r="B1776" s="138">
        <f>'Tax Sched 23'!C4</f>
        <v>885069</v>
      </c>
      <c r="D1776" s="2" t="str">
        <f t="shared" si="26"/>
        <v>Error?</v>
      </c>
    </row>
    <row r="1777" spans="1:4" x14ac:dyDescent="0.2">
      <c r="A1777" s="5">
        <v>1716</v>
      </c>
      <c r="B1777" s="138">
        <f>'Tax Sched 23'!C5</f>
        <v>125719</v>
      </c>
      <c r="D1777" s="2" t="str">
        <f t="shared" si="26"/>
        <v>Error?</v>
      </c>
    </row>
    <row r="1778" spans="1:4" x14ac:dyDescent="0.2">
      <c r="A1778" s="5">
        <v>1717</v>
      </c>
      <c r="B1778" s="138">
        <f>'Tax Sched 23'!C6</f>
        <v>271857</v>
      </c>
      <c r="D1778" s="2" t="str">
        <f t="shared" si="26"/>
        <v>Error?</v>
      </c>
    </row>
    <row r="1779" spans="1:4" x14ac:dyDescent="0.2">
      <c r="A1779" s="5">
        <v>1718</v>
      </c>
      <c r="B1779" s="138">
        <f>'Tax Sched 23'!C7</f>
        <v>60345</v>
      </c>
      <c r="D1779" s="2" t="str">
        <f t="shared" si="26"/>
        <v>Error?</v>
      </c>
    </row>
    <row r="1780" spans="1:4" x14ac:dyDescent="0.2">
      <c r="A1780" s="5">
        <v>1719</v>
      </c>
      <c r="B1780" s="138">
        <f>'Tax Sched 23'!C8</f>
        <v>44605</v>
      </c>
      <c r="D1780" s="2" t="str">
        <f t="shared" si="26"/>
        <v>Error?</v>
      </c>
    </row>
    <row r="1781" spans="1:4" x14ac:dyDescent="0.2">
      <c r="A1781" s="5">
        <v>1720</v>
      </c>
      <c r="B1781" s="138">
        <f>'Tax Sched 23'!C10</f>
        <v>25144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151768</v>
      </c>
      <c r="D1784" s="2" t="str">
        <f t="shared" si="26"/>
        <v>Error?</v>
      </c>
    </row>
    <row r="1785" spans="1:4" x14ac:dyDescent="0.2">
      <c r="A1785" s="5">
        <v>1724</v>
      </c>
      <c r="B1785" s="138">
        <f>'Tax Sched 23'!C12</f>
        <v>25144</v>
      </c>
      <c r="D1785" s="2" t="str">
        <f t="shared" si="26"/>
        <v>Error?</v>
      </c>
    </row>
    <row r="1786" spans="1:4" x14ac:dyDescent="0.2">
      <c r="A1786" s="5">
        <v>1725</v>
      </c>
      <c r="B1786" s="138">
        <f>'Tax Sched 23'!C14</f>
        <v>10058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1669710</v>
      </c>
      <c r="C1791" s="2" t="s">
        <v>573</v>
      </c>
      <c r="D1791" s="2" t="str">
        <f t="shared" ref="D1791:D1854" si="27">IF(ISBLANK(B1791),"OK",IF(A1791-B1791=0,"OK","Error?"))</f>
        <v>Error?</v>
      </c>
    </row>
    <row r="1792" spans="1:4" x14ac:dyDescent="0.2">
      <c r="A1792" s="5">
        <v>1731</v>
      </c>
      <c r="B1792" s="138">
        <f>'Tax Sched 23'!F4</f>
        <v>2557294</v>
      </c>
      <c r="C1792" s="2" t="s">
        <v>573</v>
      </c>
      <c r="D1792" s="2" t="str">
        <f t="shared" si="27"/>
        <v>Error?</v>
      </c>
    </row>
    <row r="1793" spans="1:4" x14ac:dyDescent="0.2">
      <c r="A1793" s="5">
        <v>1732</v>
      </c>
      <c r="B1793" s="138">
        <f>'Tax Sched 23'!F5</f>
        <v>363253</v>
      </c>
      <c r="C1793" s="2" t="s">
        <v>573</v>
      </c>
      <c r="D1793" s="2" t="str">
        <f t="shared" si="27"/>
        <v>Error?</v>
      </c>
    </row>
    <row r="1794" spans="1:4" x14ac:dyDescent="0.2">
      <c r="A1794" s="5">
        <v>1733</v>
      </c>
      <c r="B1794" s="138">
        <f>'Tax Sched 23'!F6</f>
        <v>785496</v>
      </c>
      <c r="C1794" s="2" t="s">
        <v>573</v>
      </c>
      <c r="D1794" s="2" t="str">
        <f t="shared" si="27"/>
        <v>Error?</v>
      </c>
    </row>
    <row r="1795" spans="1:4" x14ac:dyDescent="0.2">
      <c r="A1795" s="5">
        <v>1734</v>
      </c>
      <c r="B1795" s="138">
        <f>'Tax Sched 23'!F7</f>
        <v>174362</v>
      </c>
      <c r="C1795" s="2" t="s">
        <v>573</v>
      </c>
      <c r="D1795" s="2" t="str">
        <f t="shared" si="27"/>
        <v>Error?</v>
      </c>
    </row>
    <row r="1796" spans="1:4" x14ac:dyDescent="0.2">
      <c r="A1796" s="5">
        <v>1735</v>
      </c>
      <c r="B1796" s="138">
        <f>'Tax Sched 23'!F8</f>
        <v>128882</v>
      </c>
      <c r="C1796" s="2" t="s">
        <v>573</v>
      </c>
      <c r="D1796" s="2" t="str">
        <f t="shared" si="27"/>
        <v>Error?</v>
      </c>
    </row>
    <row r="1797" spans="1:4" x14ac:dyDescent="0.2">
      <c r="A1797" s="5">
        <v>1736</v>
      </c>
      <c r="B1797" s="138">
        <f>'Tax Sched 23'!F10</f>
        <v>72650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438519</v>
      </c>
      <c r="C1800" s="2" t="s">
        <v>573</v>
      </c>
      <c r="D1800" s="2" t="str">
        <f t="shared" si="27"/>
        <v>Error?</v>
      </c>
    </row>
    <row r="1801" spans="1:4" x14ac:dyDescent="0.2">
      <c r="A1801" s="5">
        <v>1740</v>
      </c>
      <c r="B1801" s="138">
        <f>'Tax Sched 23'!F12</f>
        <v>72650</v>
      </c>
      <c r="C1801" s="2" t="s">
        <v>573</v>
      </c>
      <c r="D1801" s="2" t="str">
        <f t="shared" si="27"/>
        <v>Error?</v>
      </c>
    </row>
    <row r="1802" spans="1:4" x14ac:dyDescent="0.2">
      <c r="A1802" s="5">
        <v>1741</v>
      </c>
      <c r="B1802" s="138">
        <f>'Tax Sched 23'!F14</f>
        <v>29060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4824424</v>
      </c>
      <c r="C1807" s="2" t="s">
        <v>573</v>
      </c>
      <c r="D1807" s="2" t="str">
        <f t="shared" si="27"/>
        <v>Error?</v>
      </c>
    </row>
    <row r="1808" spans="1:4" x14ac:dyDescent="0.2">
      <c r="A1808" s="5">
        <v>1747</v>
      </c>
      <c r="B1808" s="138">
        <f>'Tax Sched 23'!E4</f>
        <v>3442363</v>
      </c>
      <c r="D1808" s="2" t="str">
        <f t="shared" si="27"/>
        <v>Error?</v>
      </c>
    </row>
    <row r="1809" spans="1:4" x14ac:dyDescent="0.2">
      <c r="A1809" s="5">
        <v>1748</v>
      </c>
      <c r="B1809" s="138">
        <f>'Tax Sched 23'!E5</f>
        <v>488972</v>
      </c>
      <c r="D1809" s="2" t="str">
        <f t="shared" si="27"/>
        <v>Error?</v>
      </c>
    </row>
    <row r="1810" spans="1:4" x14ac:dyDescent="0.2">
      <c r="A1810" s="5">
        <v>1749</v>
      </c>
      <c r="B1810" s="138">
        <f>'Tax Sched 23'!E6</f>
        <v>1057353</v>
      </c>
      <c r="D1810" s="2" t="str">
        <f t="shared" si="27"/>
        <v>Error?</v>
      </c>
    </row>
    <row r="1811" spans="1:4" x14ac:dyDescent="0.2">
      <c r="A1811" s="5">
        <v>1750</v>
      </c>
      <c r="B1811" s="138">
        <f>'Tax Sched 23'!E7</f>
        <v>234707</v>
      </c>
      <c r="D1811" s="2" t="str">
        <f t="shared" si="27"/>
        <v>Error?</v>
      </c>
    </row>
    <row r="1812" spans="1:4" x14ac:dyDescent="0.2">
      <c r="A1812" s="5">
        <v>1751</v>
      </c>
      <c r="B1812" s="138">
        <f>'Tax Sched 23'!E8</f>
        <v>173487</v>
      </c>
      <c r="D1812" s="2" t="str">
        <f t="shared" si="27"/>
        <v>Error?</v>
      </c>
    </row>
    <row r="1813" spans="1:4" x14ac:dyDescent="0.2">
      <c r="A1813" s="5">
        <v>1752</v>
      </c>
      <c r="B1813" s="138">
        <f>'Tax Sched 23'!E10</f>
        <v>97794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590287</v>
      </c>
      <c r="D1816" s="2" t="str">
        <f t="shared" si="27"/>
        <v>Error?</v>
      </c>
    </row>
    <row r="1817" spans="1:4" x14ac:dyDescent="0.2">
      <c r="A1817" s="5">
        <v>1756</v>
      </c>
      <c r="B1817" s="138">
        <f>'Tax Sched 23'!E12</f>
        <v>97794</v>
      </c>
      <c r="D1817" s="2" t="str">
        <f t="shared" si="27"/>
        <v>Error?</v>
      </c>
    </row>
    <row r="1818" spans="1:4" x14ac:dyDescent="0.2">
      <c r="A1818" s="5">
        <v>1757</v>
      </c>
      <c r="B1818" s="138">
        <f>'Tax Sched 23'!E14</f>
        <v>39118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6494134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6779000</v>
      </c>
      <c r="C1939" s="2" t="s">
        <v>573</v>
      </c>
      <c r="D1939" s="2" t="str">
        <f t="shared" si="29"/>
        <v>Error?</v>
      </c>
    </row>
    <row r="1940" spans="1:5" x14ac:dyDescent="0.2">
      <c r="A1940" s="5">
        <v>1879</v>
      </c>
      <c r="B1940" s="138">
        <f>'Short-Term Long-Term Debt 24'!F49</f>
        <v>1600000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38796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38796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38796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474102</v>
      </c>
      <c r="D2008" s="2" t="str">
        <f t="shared" si="30"/>
        <v>Error?</v>
      </c>
    </row>
    <row r="2009" spans="1:4" x14ac:dyDescent="0.2">
      <c r="A2009" s="5">
        <v>1948</v>
      </c>
      <c r="B2009" s="138">
        <f>'Cap Outlay Deprec 26'!C8</f>
        <v>9070063</v>
      </c>
      <c r="D2009" s="2" t="str">
        <f t="shared" si="30"/>
        <v>Error?</v>
      </c>
    </row>
    <row r="2010" spans="1:4" x14ac:dyDescent="0.2">
      <c r="A2010" s="5">
        <v>1949</v>
      </c>
      <c r="B2010" s="138">
        <f>'Cap Outlay Deprec 26'!C10</f>
        <v>8093514</v>
      </c>
      <c r="D2010" s="2" t="str">
        <f t="shared" si="30"/>
        <v>Error?</v>
      </c>
    </row>
    <row r="2011" spans="1:4" x14ac:dyDescent="0.2">
      <c r="A2011" s="5">
        <v>1950</v>
      </c>
      <c r="B2011" s="138">
        <f>'Cap Outlay Deprec 26'!C12</f>
        <v>809074</v>
      </c>
      <c r="D2011" s="2" t="str">
        <f t="shared" si="30"/>
        <v>Error?</v>
      </c>
    </row>
    <row r="2012" spans="1:4" x14ac:dyDescent="0.2">
      <c r="A2012" s="5">
        <v>1951</v>
      </c>
      <c r="B2012" s="138">
        <f>'Cap Outlay Deprec 26'!C13</f>
        <v>1384526</v>
      </c>
      <c r="D2012" s="2" t="str">
        <f t="shared" si="30"/>
        <v>Error?</v>
      </c>
    </row>
    <row r="2013" spans="1:4" x14ac:dyDescent="0.2">
      <c r="A2013" s="5">
        <v>1952</v>
      </c>
      <c r="B2013" s="138">
        <f>'Cap Outlay Deprec 26'!C16</f>
        <v>19831279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474102</v>
      </c>
      <c r="C2026" s="2" t="s">
        <v>573</v>
      </c>
      <c r="D2026" s="2" t="str">
        <f t="shared" si="30"/>
        <v>Error?</v>
      </c>
    </row>
    <row r="2027" spans="1:4" x14ac:dyDescent="0.2">
      <c r="A2027" s="5">
        <v>1966</v>
      </c>
      <c r="B2027" s="138">
        <f>'Cap Outlay Deprec 26'!F8</f>
        <v>9070063</v>
      </c>
      <c r="C2027" s="2" t="s">
        <v>573</v>
      </c>
      <c r="D2027" s="2" t="str">
        <f t="shared" si="30"/>
        <v>Error?</v>
      </c>
    </row>
    <row r="2028" spans="1:4" x14ac:dyDescent="0.2">
      <c r="A2028" s="5">
        <v>1967</v>
      </c>
      <c r="B2028" s="138">
        <f>'Cap Outlay Deprec 26'!F10</f>
        <v>8093514</v>
      </c>
      <c r="C2028" s="2" t="s">
        <v>573</v>
      </c>
      <c r="D2028" s="2" t="str">
        <f t="shared" si="30"/>
        <v>Error?</v>
      </c>
    </row>
    <row r="2029" spans="1:4" x14ac:dyDescent="0.2">
      <c r="A2029" s="5">
        <v>1968</v>
      </c>
      <c r="B2029" s="138">
        <f>'Cap Outlay Deprec 26'!F12</f>
        <v>809074</v>
      </c>
      <c r="C2029" s="2" t="s">
        <v>573</v>
      </c>
      <c r="D2029" s="2" t="str">
        <f t="shared" si="30"/>
        <v>Error?</v>
      </c>
    </row>
    <row r="2030" spans="1:4" x14ac:dyDescent="0.2">
      <c r="A2030" s="5">
        <v>1969</v>
      </c>
      <c r="B2030" s="138">
        <f>'Cap Outlay Deprec 26'!F13</f>
        <v>1384526</v>
      </c>
      <c r="C2030" s="2" t="s">
        <v>573</v>
      </c>
      <c r="D2030" s="2" t="str">
        <f t="shared" si="30"/>
        <v>Error?</v>
      </c>
    </row>
    <row r="2031" spans="1:4" x14ac:dyDescent="0.2">
      <c r="A2031" s="5">
        <v>1970</v>
      </c>
      <c r="B2031" s="138">
        <f>'Cap Outlay Deprec 26'!F16</f>
        <v>19831279</v>
      </c>
      <c r="C2031" s="2" t="s">
        <v>573</v>
      </c>
      <c r="D2031" s="2" t="str">
        <f t="shared" si="30"/>
        <v>Error?</v>
      </c>
    </row>
    <row r="2032" spans="1:4" x14ac:dyDescent="0.2">
      <c r="A2032" s="10">
        <v>1971</v>
      </c>
      <c r="D2032" s="2" t="str">
        <f t="shared" si="30"/>
        <v>OK</v>
      </c>
    </row>
    <row r="2033" spans="1:4" x14ac:dyDescent="0.2">
      <c r="A2033" s="5">
        <v>1972</v>
      </c>
      <c r="B2033" s="138">
        <f>'Cap Outlay Deprec 26'!H8</f>
        <v>4389054</v>
      </c>
      <c r="D2033" s="2" t="str">
        <f t="shared" si="30"/>
        <v>Error?</v>
      </c>
    </row>
    <row r="2034" spans="1:4" x14ac:dyDescent="0.2">
      <c r="A2034" s="5">
        <v>1973</v>
      </c>
      <c r="B2034" s="138">
        <f>'Cap Outlay Deprec 26'!H10</f>
        <v>1682110</v>
      </c>
      <c r="D2034" s="2" t="str">
        <f t="shared" si="30"/>
        <v>Error?</v>
      </c>
    </row>
    <row r="2035" spans="1:4" x14ac:dyDescent="0.2">
      <c r="A2035" s="5">
        <v>1974</v>
      </c>
      <c r="B2035" s="138">
        <f>'Cap Outlay Deprec 26'!H12</f>
        <v>809074</v>
      </c>
      <c r="D2035" s="2" t="str">
        <f t="shared" si="30"/>
        <v>Error?</v>
      </c>
    </row>
    <row r="2036" spans="1:4" x14ac:dyDescent="0.2">
      <c r="A2036" s="5">
        <v>1975</v>
      </c>
      <c r="B2036" s="138">
        <f>'Cap Outlay Deprec 26'!H13</f>
        <v>1312142</v>
      </c>
      <c r="D2036" s="2" t="str">
        <f t="shared" si="30"/>
        <v>Error?</v>
      </c>
    </row>
    <row r="2037" spans="1:4" x14ac:dyDescent="0.2">
      <c r="A2037" s="5">
        <v>1976</v>
      </c>
      <c r="B2037" s="138">
        <f>'Cap Outlay Deprec 26'!H16</f>
        <v>8192380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4389054</v>
      </c>
      <c r="C2051" s="2" t="s">
        <v>573</v>
      </c>
      <c r="D2051" s="2" t="str">
        <f t="shared" si="31"/>
        <v>Error?</v>
      </c>
    </row>
    <row r="2052" spans="1:4" x14ac:dyDescent="0.2">
      <c r="A2052" s="5">
        <v>1991</v>
      </c>
      <c r="B2052" s="138">
        <f>'Cap Outlay Deprec 26'!K10</f>
        <v>1682110</v>
      </c>
      <c r="C2052" s="2" t="s">
        <v>573</v>
      </c>
      <c r="D2052" s="2" t="str">
        <f t="shared" si="31"/>
        <v>Error?</v>
      </c>
    </row>
    <row r="2053" spans="1:4" x14ac:dyDescent="0.2">
      <c r="A2053" s="5">
        <v>1992</v>
      </c>
      <c r="B2053" s="138">
        <f>'Cap Outlay Deprec 26'!K12</f>
        <v>809074</v>
      </c>
      <c r="C2053" s="2" t="s">
        <v>573</v>
      </c>
      <c r="D2053" s="2" t="str">
        <f t="shared" si="31"/>
        <v>Error?</v>
      </c>
    </row>
    <row r="2054" spans="1:4" x14ac:dyDescent="0.2">
      <c r="A2054" s="5">
        <v>1993</v>
      </c>
      <c r="B2054" s="138">
        <f>'Cap Outlay Deprec 26'!K13</f>
        <v>1312142</v>
      </c>
      <c r="C2054" s="2" t="s">
        <v>573</v>
      </c>
      <c r="D2054" s="2" t="str">
        <f t="shared" si="31"/>
        <v>Error?</v>
      </c>
    </row>
    <row r="2055" spans="1:4" x14ac:dyDescent="0.2">
      <c r="A2055" s="5">
        <v>1994</v>
      </c>
      <c r="B2055" s="138">
        <f>'Cap Outlay Deprec 26'!K16</f>
        <v>8192380</v>
      </c>
      <c r="C2055" s="2" t="s">
        <v>573</v>
      </c>
      <c r="D2055" s="2" t="str">
        <f t="shared" si="31"/>
        <v>Error?</v>
      </c>
    </row>
    <row r="2056" spans="1:4" x14ac:dyDescent="0.2">
      <c r="A2056" s="5">
        <v>1995</v>
      </c>
      <c r="B2056" s="138">
        <f>'Cap Outlay Deprec 26'!L5</f>
        <v>474102</v>
      </c>
      <c r="C2056" s="2" t="s">
        <v>573</v>
      </c>
      <c r="D2056" s="2" t="str">
        <f t="shared" si="31"/>
        <v>Error?</v>
      </c>
    </row>
    <row r="2057" spans="1:4" x14ac:dyDescent="0.2">
      <c r="A2057" s="5">
        <v>1996</v>
      </c>
      <c r="B2057" s="138">
        <f>'Cap Outlay Deprec 26'!L8</f>
        <v>4681009</v>
      </c>
      <c r="C2057" s="2" t="s">
        <v>573</v>
      </c>
      <c r="D2057" s="2" t="str">
        <f t="shared" si="31"/>
        <v>Error?</v>
      </c>
    </row>
    <row r="2058" spans="1:4" x14ac:dyDescent="0.2">
      <c r="A2058" s="5">
        <v>1997</v>
      </c>
      <c r="B2058" s="138">
        <f>'Cap Outlay Deprec 26'!L10</f>
        <v>6411404</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72384</v>
      </c>
      <c r="C2060" s="2" t="s">
        <v>573</v>
      </c>
      <c r="D2060" s="2" t="str">
        <f t="shared" si="31"/>
        <v>Error?</v>
      </c>
    </row>
    <row r="2061" spans="1:4" x14ac:dyDescent="0.2">
      <c r="A2061" s="5">
        <v>2000</v>
      </c>
      <c r="B2061" s="138">
        <f>'Cap Outlay Deprec 26'!L16</f>
        <v>11638899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185325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185325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1556324</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1230959</v>
      </c>
      <c r="D2475" s="2" t="str">
        <f t="shared" si="37"/>
        <v>Error?</v>
      </c>
    </row>
    <row r="2476" spans="1:4" x14ac:dyDescent="0.2">
      <c r="A2476" s="10">
        <v>2415</v>
      </c>
      <c r="D2476" s="2" t="str">
        <f t="shared" si="37"/>
        <v>OK</v>
      </c>
    </row>
    <row r="2477" spans="1:4" x14ac:dyDescent="0.2">
      <c r="A2477" s="5">
        <v>2416</v>
      </c>
      <c r="B2477" s="138">
        <f>'Assets-Liab 5-6'!G38</f>
        <v>228368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738178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4253893</v>
      </c>
      <c r="C2551" s="2" t="s">
        <v>573</v>
      </c>
      <c r="D2551" s="2" t="str">
        <f t="shared" si="38"/>
        <v>Error?</v>
      </c>
    </row>
    <row r="2552" spans="1:4" x14ac:dyDescent="0.2">
      <c r="A2552" s="10">
        <v>2491</v>
      </c>
      <c r="D2552" s="2" t="str">
        <f t="shared" si="38"/>
        <v>OK</v>
      </c>
    </row>
    <row r="2553" spans="1:4" x14ac:dyDescent="0.2">
      <c r="A2553" s="5">
        <v>2492</v>
      </c>
      <c r="B2553" s="138">
        <f>'Acct Summary 7-8'!C6</f>
        <v>1068983</v>
      </c>
      <c r="C2553" s="2" t="s">
        <v>573</v>
      </c>
      <c r="D2553" s="2" t="str">
        <f t="shared" si="38"/>
        <v>Error?</v>
      </c>
    </row>
    <row r="2554" spans="1:4" x14ac:dyDescent="0.2">
      <c r="A2554" s="5">
        <v>2493</v>
      </c>
      <c r="B2554" s="138">
        <f>'Acct Summary 7-8'!C7</f>
        <v>243343</v>
      </c>
      <c r="C2554" s="2" t="s">
        <v>573</v>
      </c>
      <c r="D2554" s="2" t="str">
        <f t="shared" si="38"/>
        <v>Error?</v>
      </c>
    </row>
    <row r="2555" spans="1:4" x14ac:dyDescent="0.2">
      <c r="A2555" s="5">
        <v>2494</v>
      </c>
      <c r="B2555" s="138">
        <f>'Acct Summary 7-8'!C8</f>
        <v>5759281</v>
      </c>
      <c r="C2555" s="2" t="s">
        <v>573</v>
      </c>
      <c r="D2555" s="2" t="str">
        <f t="shared" si="38"/>
        <v>Error?</v>
      </c>
    </row>
    <row r="2556" spans="1:4" x14ac:dyDescent="0.2">
      <c r="A2556" s="5">
        <v>2495</v>
      </c>
      <c r="B2556" s="138">
        <f>'Acct Summary 7-8'!C12</f>
        <v>4881153</v>
      </c>
      <c r="C2556" s="2" t="s">
        <v>573</v>
      </c>
      <c r="D2556" s="2" t="str">
        <f t="shared" si="38"/>
        <v>Error?</v>
      </c>
    </row>
    <row r="2557" spans="1:4" x14ac:dyDescent="0.2">
      <c r="A2557" s="5">
        <v>2496</v>
      </c>
      <c r="B2557" s="138">
        <f>'Acct Summary 7-8'!C13</f>
        <v>935429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185325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6001907</v>
      </c>
      <c r="C2561" s="2" t="s">
        <v>573</v>
      </c>
      <c r="D2561" s="2" t="str">
        <f t="shared" si="39"/>
        <v>Error?</v>
      </c>
    </row>
    <row r="2562" spans="1:4" x14ac:dyDescent="0.2">
      <c r="A2562" s="5">
        <v>2501</v>
      </c>
      <c r="B2562" s="138">
        <f>'Acct Summary 7-8'!C20</f>
        <v>-242626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606474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606474</v>
      </c>
      <c r="C2568" s="2" t="s">
        <v>573</v>
      </c>
      <c r="D2568" s="2" t="str">
        <f t="shared" si="39"/>
        <v>Error?</v>
      </c>
    </row>
    <row r="2569" spans="1:4" x14ac:dyDescent="0.2">
      <c r="A2569" s="5">
        <v>2508</v>
      </c>
      <c r="B2569" s="138">
        <f>'Acct Summary 7-8'!D13</f>
        <v>653166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653166</v>
      </c>
      <c r="C2573" s="2" t="s">
        <v>573</v>
      </c>
      <c r="D2573" s="2" t="str">
        <f t="shared" si="39"/>
        <v>Error?</v>
      </c>
    </row>
    <row r="2574" spans="1:4" x14ac:dyDescent="0.2">
      <c r="A2574" s="5">
        <v>2513</v>
      </c>
      <c r="B2574" s="138">
        <f>'Acct Summary 7-8'!D20</f>
        <v>-46692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240377</v>
      </c>
      <c r="C2591" s="2" t="s">
        <v>573</v>
      </c>
      <c r="D2591" s="2" t="str">
        <f t="shared" si="39"/>
        <v>Error?</v>
      </c>
    </row>
    <row r="2592" spans="1:4" x14ac:dyDescent="0.2">
      <c r="A2592" s="10">
        <v>2531</v>
      </c>
      <c r="D2592" s="2" t="str">
        <f t="shared" si="39"/>
        <v>OK</v>
      </c>
    </row>
    <row r="2593" spans="1:4" x14ac:dyDescent="0.2">
      <c r="A2593" s="5">
        <v>2532</v>
      </c>
      <c r="B2593" s="138">
        <f>'Acct Summary 7-8'!F6</f>
        <v>111580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351957</v>
      </c>
      <c r="C2595" s="2" t="s">
        <v>573</v>
      </c>
      <c r="D2595" s="2" t="str">
        <f t="shared" si="39"/>
        <v>Error?</v>
      </c>
    </row>
    <row r="2596" spans="1:4" x14ac:dyDescent="0.2">
      <c r="A2596" s="5">
        <v>2535</v>
      </c>
      <c r="B2596" s="138">
        <f>'Acct Summary 7-8'!F13</f>
        <v>377882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38876</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416758</v>
      </c>
      <c r="C2600" s="2" t="s">
        <v>573</v>
      </c>
      <c r="D2600" s="2" t="str">
        <f t="shared" si="39"/>
        <v>Error?</v>
      </c>
    </row>
    <row r="2601" spans="1:4" x14ac:dyDescent="0.2">
      <c r="A2601" s="5">
        <v>2540</v>
      </c>
      <c r="B2601" s="138">
        <f>'Acct Summary 7-8'!F20</f>
        <v>-64801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334869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334869</v>
      </c>
      <c r="C2606" s="2" t="s">
        <v>573</v>
      </c>
      <c r="D2606" s="2" t="str">
        <f t="shared" si="39"/>
        <v>Error?</v>
      </c>
    </row>
    <row r="2607" spans="1:4" x14ac:dyDescent="0.2">
      <c r="A2607" s="5">
        <v>2546</v>
      </c>
      <c r="B2607" s="138">
        <f>'Acct Summary 7-8'!G12</f>
        <v>119132</v>
      </c>
      <c r="C2607" s="2" t="s">
        <v>573</v>
      </c>
      <c r="D2607" s="2" t="str">
        <f t="shared" si="39"/>
        <v>Error?</v>
      </c>
    </row>
    <row r="2608" spans="1:4" x14ac:dyDescent="0.2">
      <c r="A2608" s="5">
        <v>2547</v>
      </c>
      <c r="B2608" s="138">
        <f>'Acct Summary 7-8'!G13</f>
        <v>119421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238553</v>
      </c>
      <c r="C2612" s="2" t="s">
        <v>573</v>
      </c>
      <c r="D2612" s="2" t="str">
        <f t="shared" si="39"/>
        <v>Error?</v>
      </c>
    </row>
    <row r="2613" spans="1:4" x14ac:dyDescent="0.2">
      <c r="A2613" s="5">
        <v>2552</v>
      </c>
      <c r="B2613" s="138">
        <f>'Acct Summary 7-8'!G20</f>
        <v>96316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1033795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1033795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1093024</v>
      </c>
      <c r="C2634" s="2" t="s">
        <v>573</v>
      </c>
      <c r="D2634" s="2" t="str">
        <f t="shared" si="40"/>
        <v>Error?</v>
      </c>
    </row>
    <row r="2635" spans="1:4" x14ac:dyDescent="0.2">
      <c r="A2635" s="5">
        <v>2574</v>
      </c>
      <c r="B2635" s="138">
        <f>'Acct Summary 7-8'!E17</f>
        <v>1093024</v>
      </c>
      <c r="C2635" s="2" t="s">
        <v>573</v>
      </c>
      <c r="D2635" s="2" t="str">
        <f t="shared" si="40"/>
        <v>Error?</v>
      </c>
    </row>
    <row r="2636" spans="1:4" x14ac:dyDescent="0.2">
      <c r="A2636" s="5">
        <v>2575</v>
      </c>
      <c r="B2636" s="138">
        <f>'Acct Summary 7-8'!E20</f>
        <v>-59229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38876</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38876</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38876</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1508177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86824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1508177</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1508177</v>
      </c>
      <c r="C2913" s="2" t="s">
        <v>573</v>
      </c>
      <c r="D2913" s="2" t="str">
        <f t="shared" si="44"/>
        <v>Error?</v>
      </c>
    </row>
    <row r="2914" spans="1:4" x14ac:dyDescent="0.2">
      <c r="A2914" s="5">
        <v>2853</v>
      </c>
      <c r="B2914" s="138">
        <f>'Assets-Liab 5-6'!L33</f>
        <v>86824</v>
      </c>
      <c r="D2914" s="2" t="str">
        <f t="shared" si="44"/>
        <v>Error?</v>
      </c>
    </row>
    <row r="2915" spans="1:4" x14ac:dyDescent="0.2">
      <c r="A2915" s="10">
        <v>2854</v>
      </c>
      <c r="D2915" s="2" t="str">
        <f t="shared" si="44"/>
        <v>OK</v>
      </c>
    </row>
    <row r="2916" spans="1:4" x14ac:dyDescent="0.2">
      <c r="A2916" s="5">
        <v>2855</v>
      </c>
      <c r="B2916" s="138">
        <f>'Assets-Liab 5-6'!L34</f>
        <v>86824</v>
      </c>
      <c r="C2916" s="2" t="s">
        <v>573</v>
      </c>
      <c r="D2916" s="2" t="str">
        <f t="shared" si="44"/>
        <v>Error?</v>
      </c>
    </row>
    <row r="2917" spans="1:4" x14ac:dyDescent="0.2">
      <c r="A2917" s="5">
        <v>2856</v>
      </c>
      <c r="B2917" s="138">
        <f>'Assets-Liab 5-6'!L41</f>
        <v>86824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185325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185325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38876</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38876</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260873</v>
      </c>
      <c r="D3055" s="2" t="str">
        <f t="shared" si="46"/>
        <v>Error?</v>
      </c>
    </row>
    <row r="3056" spans="1:4" x14ac:dyDescent="0.2">
      <c r="A3056" s="5">
        <v>2995</v>
      </c>
      <c r="B3056" s="138">
        <f>'Expenditures 15-22'!D10</f>
        <v>37533</v>
      </c>
      <c r="D3056" s="2" t="str">
        <f t="shared" si="46"/>
        <v>Error?</v>
      </c>
    </row>
    <row r="3057" spans="1:4" x14ac:dyDescent="0.2">
      <c r="A3057" s="5">
        <v>2996</v>
      </c>
      <c r="B3057" s="138">
        <f>'Expenditures 15-22'!E10</f>
        <v>11607</v>
      </c>
      <c r="D3057" s="2" t="str">
        <f t="shared" si="46"/>
        <v>Error?</v>
      </c>
    </row>
    <row r="3058" spans="1:4" x14ac:dyDescent="0.2">
      <c r="A3058" s="5">
        <v>2997</v>
      </c>
      <c r="B3058" s="138">
        <f>'Expenditures 15-22'!F10</f>
        <v>-280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309733</v>
      </c>
      <c r="C3062" s="2" t="s">
        <v>573</v>
      </c>
      <c r="D3062" s="2" t="str">
        <f t="shared" si="46"/>
        <v>Error?</v>
      </c>
    </row>
    <row r="3063" spans="1:4" x14ac:dyDescent="0.2">
      <c r="A3063" s="10">
        <v>3002</v>
      </c>
      <c r="D3063" s="2" t="str">
        <f t="shared" si="46"/>
        <v>OK</v>
      </c>
    </row>
    <row r="3064" spans="1:4" x14ac:dyDescent="0.2">
      <c r="A3064" s="5">
        <v>3003</v>
      </c>
      <c r="B3064" s="138">
        <f>'Expenditures 15-22'!D219</f>
        <v>13859</v>
      </c>
      <c r="D3064" s="2" t="str">
        <f t="shared" si="46"/>
        <v>Error?</v>
      </c>
    </row>
    <row r="3065" spans="1:4" x14ac:dyDescent="0.2">
      <c r="A3065" s="5">
        <v>3004</v>
      </c>
      <c r="B3065" s="138">
        <f>'Expenditures 15-22'!K219</f>
        <v>13859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96985</v>
      </c>
      <c r="C3225" s="2" t="s">
        <v>573</v>
      </c>
      <c r="D3225" s="2" t="str">
        <f t="shared" si="49"/>
        <v>Error?</v>
      </c>
    </row>
    <row r="3226" spans="1:4" x14ac:dyDescent="0.2">
      <c r="A3226" s="5">
        <v>3165</v>
      </c>
      <c r="B3226" s="138">
        <f>'Acct Summary 7-8'!I8</f>
        <v>96985</v>
      </c>
      <c r="C3226" s="2" t="s">
        <v>573</v>
      </c>
      <c r="D3226" s="2" t="str">
        <f t="shared" si="49"/>
        <v>Error?</v>
      </c>
    </row>
    <row r="3227" spans="1:4" x14ac:dyDescent="0.2">
      <c r="A3227" s="5">
        <v>3166</v>
      </c>
      <c r="B3227" s="138">
        <f>'Acct Summary 7-8'!I20</f>
        <v>96985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1356324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9708</v>
      </c>
      <c r="C3231" s="2" t="s">
        <v>573</v>
      </c>
      <c r="D3231" s="2" t="str">
        <f t="shared" si="49"/>
        <v>Error?</v>
      </c>
    </row>
    <row r="3232" spans="1:4" x14ac:dyDescent="0.2">
      <c r="A3232" s="5">
        <v>3171</v>
      </c>
      <c r="B3232" s="138">
        <f>'Acct Summary 7-8'!C77</f>
        <v>1346616</v>
      </c>
      <c r="C3232" s="2" t="s">
        <v>573</v>
      </c>
      <c r="D3232" s="2" t="str">
        <f t="shared" si="49"/>
        <v>Error?</v>
      </c>
    </row>
    <row r="3233" spans="1:4" x14ac:dyDescent="0.2">
      <c r="A3233" s="5">
        <v>3172</v>
      </c>
      <c r="B3233" s="138">
        <f>'Acct Summary 7-8'!C78</f>
        <v>1103990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56694</v>
      </c>
      <c r="C3237" s="2" t="s">
        <v>573</v>
      </c>
      <c r="D3237" s="2" t="str">
        <f t="shared" si="49"/>
        <v>Error?</v>
      </c>
    </row>
    <row r="3238" spans="1:4" x14ac:dyDescent="0.2">
      <c r="A3238" s="5">
        <v>3177</v>
      </c>
      <c r="B3238" s="138">
        <f>'Acct Summary 7-8'!D77</f>
        <v>243306</v>
      </c>
      <c r="C3238" s="2" t="s">
        <v>573</v>
      </c>
      <c r="D3238" s="2" t="str">
        <f t="shared" si="49"/>
        <v>Error?</v>
      </c>
    </row>
    <row r="3239" spans="1:4" x14ac:dyDescent="0.2">
      <c r="A3239" s="5">
        <v>3178</v>
      </c>
      <c r="B3239" s="138">
        <f>'Acct Summary 7-8'!D78</f>
        <v>196614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100000</v>
      </c>
      <c r="C3254" s="2" t="s">
        <v>573</v>
      </c>
      <c r="D3254" s="2" t="str">
        <f t="shared" si="49"/>
        <v>Error?</v>
      </c>
    </row>
    <row r="3255" spans="1:4" x14ac:dyDescent="0.2">
      <c r="A3255" s="5">
        <v>3194</v>
      </c>
      <c r="B3255" s="138">
        <f>'Acct Summary 7-8'!F77</f>
        <v>-100000</v>
      </c>
      <c r="C3255" s="2" t="s">
        <v>573</v>
      </c>
      <c r="D3255" s="2" t="str">
        <f t="shared" si="49"/>
        <v>Error?</v>
      </c>
    </row>
    <row r="3256" spans="1:4" x14ac:dyDescent="0.2">
      <c r="A3256" s="5">
        <v>3195</v>
      </c>
      <c r="B3256" s="138">
        <f>'Acct Summary 7-8'!F78</f>
        <v>-164801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96316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66402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66402</v>
      </c>
      <c r="C3277" s="2" t="s">
        <v>573</v>
      </c>
      <c r="D3277" s="2" t="str">
        <f t="shared" si="50"/>
        <v>Error?</v>
      </c>
    </row>
    <row r="3278" spans="1:4" x14ac:dyDescent="0.2">
      <c r="A3278" s="5">
        <v>3217</v>
      </c>
      <c r="B3278" s="138">
        <f>'Acct Summary 7-8'!E78</f>
        <v>7173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1600000</v>
      </c>
      <c r="C3317" s="2" t="s">
        <v>573</v>
      </c>
      <c r="D3317" s="2" t="str">
        <f t="shared" si="50"/>
        <v>Error?</v>
      </c>
    </row>
    <row r="3318" spans="1:4" x14ac:dyDescent="0.2">
      <c r="A3318" s="5">
        <v>3257</v>
      </c>
      <c r="B3318" s="138">
        <f>'Acct Summary 7-8'!I76</f>
        <v>1578624</v>
      </c>
      <c r="C3318" s="2" t="s">
        <v>573</v>
      </c>
      <c r="D3318" s="2" t="str">
        <f t="shared" si="50"/>
        <v>Error?</v>
      </c>
    </row>
    <row r="3319" spans="1:4" x14ac:dyDescent="0.2">
      <c r="A3319" s="5">
        <v>3258</v>
      </c>
      <c r="B3319" s="138">
        <f>'Acct Summary 7-8'!I77</f>
        <v>21376</v>
      </c>
      <c r="C3319" s="2" t="s">
        <v>573</v>
      </c>
      <c r="D3319" s="2" t="str">
        <f t="shared" si="50"/>
        <v>Error?</v>
      </c>
    </row>
    <row r="3320" spans="1:4" x14ac:dyDescent="0.2">
      <c r="A3320" s="5">
        <v>3259</v>
      </c>
      <c r="B3320" s="138">
        <f>'Acct Summary 7-8'!I78</f>
        <v>118361</v>
      </c>
      <c r="C3320" s="2" t="s">
        <v>573</v>
      </c>
      <c r="D3320" s="2" t="str">
        <f t="shared" si="50"/>
        <v>Error?</v>
      </c>
    </row>
    <row r="3321" spans="1:4" x14ac:dyDescent="0.2">
      <c r="A3321" s="5">
        <v>3260</v>
      </c>
      <c r="B3321" s="138">
        <f>'Acct Summary 7-8'!I79</f>
        <v>1389816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1508177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881526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180313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1073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1063283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60705</v>
      </c>
      <c r="D3387" s="2" t="str">
        <f t="shared" si="51"/>
        <v>Error?</v>
      </c>
    </row>
    <row r="3388" spans="1:4" x14ac:dyDescent="0.2">
      <c r="A3388" s="5">
        <v>3327</v>
      </c>
      <c r="B3388" s="138">
        <f>'Expenditures 15-22'!D217</f>
        <v>28459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60705</v>
      </c>
      <c r="C3390" s="2" t="s">
        <v>573</v>
      </c>
      <c r="D3390" s="2" t="str">
        <f t="shared" si="51"/>
        <v>Error?</v>
      </c>
    </row>
    <row r="3391" spans="1:4" x14ac:dyDescent="0.2">
      <c r="A3391" s="5">
        <v>3330</v>
      </c>
      <c r="B3391" s="138">
        <f>'Expenditures 15-22'!K217</f>
        <v>28459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193062</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1231273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229042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738178</v>
      </c>
      <c r="D3417" s="2" t="str">
        <f t="shared" si="52"/>
        <v>Error?</v>
      </c>
    </row>
    <row r="3418" spans="1:4" x14ac:dyDescent="0.2">
      <c r="A3418" s="10">
        <v>3357</v>
      </c>
      <c r="D3418" s="2" t="str">
        <f t="shared" si="52"/>
        <v>OK</v>
      </c>
    </row>
    <row r="3419" spans="1:4" x14ac:dyDescent="0.2">
      <c r="A3419" s="5">
        <v>3358</v>
      </c>
      <c r="B3419" s="138">
        <f>'Assets-Liab 5-6'!F4</f>
        <v>1230959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228368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1508177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86824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167561</v>
      </c>
      <c r="C3446" s="2" t="s">
        <v>573</v>
      </c>
      <c r="D3446" s="2" t="str">
        <f t="shared" si="52"/>
        <v>Error?</v>
      </c>
    </row>
    <row r="3447" spans="1:4" x14ac:dyDescent="0.2">
      <c r="A3447" s="5">
        <v>3386</v>
      </c>
      <c r="B3447" s="138">
        <f>'Tax Sched 23'!D16</f>
        <v>122704</v>
      </c>
      <c r="C3447" s="2" t="s">
        <v>573</v>
      </c>
      <c r="D3447" s="2" t="str">
        <f t="shared" si="52"/>
        <v>Error?</v>
      </c>
    </row>
    <row r="3448" spans="1:4" x14ac:dyDescent="0.2">
      <c r="A3448" s="5">
        <v>3387</v>
      </c>
      <c r="B3448" s="138">
        <f>'Tax Sched 23'!C16</f>
        <v>44857</v>
      </c>
      <c r="D3448" s="2" t="str">
        <f t="shared" si="52"/>
        <v>Error?</v>
      </c>
    </row>
    <row r="3449" spans="1:4" x14ac:dyDescent="0.2">
      <c r="A3449" s="5">
        <v>3388</v>
      </c>
      <c r="B3449" s="138">
        <f>'Tax Sched 23'!F16</f>
        <v>129608</v>
      </c>
      <c r="C3449" s="2" t="s">
        <v>573</v>
      </c>
      <c r="D3449" s="2" t="str">
        <f t="shared" si="52"/>
        <v>Error?</v>
      </c>
    </row>
    <row r="3450" spans="1:4" x14ac:dyDescent="0.2">
      <c r="A3450" s="5">
        <v>3389</v>
      </c>
      <c r="B3450" s="138">
        <f>'Tax Sched 23'!E16</f>
        <v>174465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127262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127262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127262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127262</v>
      </c>
      <c r="C3568" s="2" t="s">
        <v>573</v>
      </c>
      <c r="D3568" s="2" t="str">
        <f t="shared" si="54"/>
        <v>Error?</v>
      </c>
    </row>
    <row r="3569" spans="1:4" x14ac:dyDescent="0.2">
      <c r="A3569" s="5">
        <v>3508</v>
      </c>
      <c r="B3569" s="138">
        <f>'Acct Summary 7-8'!K4</f>
        <v>96985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96985</v>
      </c>
      <c r="C3571" s="2" t="s">
        <v>573</v>
      </c>
      <c r="D3571" s="2" t="str">
        <f t="shared" si="54"/>
        <v>Error?</v>
      </c>
    </row>
    <row r="3572" spans="1:4" x14ac:dyDescent="0.2">
      <c r="A3572" s="5">
        <v>3511</v>
      </c>
      <c r="B3572" s="138">
        <f>'Acct Summary 7-8'!K13</f>
        <v>67520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67520</v>
      </c>
      <c r="C3575" s="2" t="s">
        <v>573</v>
      </c>
      <c r="D3575" s="2" t="str">
        <f t="shared" si="54"/>
        <v>Error?</v>
      </c>
    </row>
    <row r="3576" spans="1:4" x14ac:dyDescent="0.2">
      <c r="A3576" s="5">
        <v>3515</v>
      </c>
      <c r="B3576" s="138">
        <f>'Acct Summary 7-8'!K20</f>
        <v>29465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29465</v>
      </c>
      <c r="C3588" s="2" t="s">
        <v>573</v>
      </c>
      <c r="D3588" s="2" t="str">
        <f t="shared" si="55"/>
        <v>Error?</v>
      </c>
    </row>
    <row r="3589" spans="1:4" x14ac:dyDescent="0.2">
      <c r="A3589" s="5">
        <v>3528</v>
      </c>
      <c r="B3589" s="138">
        <f>'Acct Summary 7-8'!K79</f>
        <v>97797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127262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17194</v>
      </c>
      <c r="D3632" s="2" t="str">
        <f t="shared" si="55"/>
        <v>Error?</v>
      </c>
    </row>
    <row r="3633" spans="1:4" x14ac:dyDescent="0.2">
      <c r="A3633" s="5">
        <v>3572</v>
      </c>
      <c r="B3633" s="138">
        <f>'Expenditures 15-22'!E350</f>
        <v>17194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17194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50326</v>
      </c>
      <c r="D3646" s="2" t="str">
        <f t="shared" si="55"/>
        <v>Error?</v>
      </c>
    </row>
    <row r="3647" spans="1:4" x14ac:dyDescent="0.2">
      <c r="A3647" s="5">
        <v>3586</v>
      </c>
      <c r="B3647" s="138">
        <f>'Expenditures 15-22'!G350</f>
        <v>50326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50326</v>
      </c>
      <c r="C3649" s="2" t="s">
        <v>573</v>
      </c>
      <c r="D3649" s="2" t="str">
        <f t="shared" si="56"/>
        <v>Error?</v>
      </c>
    </row>
    <row r="3650" spans="1:4" x14ac:dyDescent="0.2">
      <c r="A3650" s="5">
        <v>3589</v>
      </c>
      <c r="B3650" s="138">
        <f>'Expenditures 15-22'!G367</f>
        <v>50326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67520</v>
      </c>
      <c r="C3669" s="2" t="s">
        <v>573</v>
      </c>
      <c r="D3669" s="2" t="str">
        <f t="shared" si="56"/>
        <v>Error?</v>
      </c>
    </row>
    <row r="3670" spans="1:4" x14ac:dyDescent="0.2">
      <c r="A3670" s="5">
        <v>3609</v>
      </c>
      <c r="B3670" s="138">
        <f>'Expenditures 15-22'!K350</f>
        <v>67520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67520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67520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29465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96985</v>
      </c>
      <c r="C3725" s="2" t="s">
        <v>573</v>
      </c>
      <c r="D3725" s="2" t="str">
        <f t="shared" si="57"/>
        <v>Error?</v>
      </c>
    </row>
    <row r="3726" spans="1:4" x14ac:dyDescent="0.2">
      <c r="A3726" s="5">
        <v>3665</v>
      </c>
      <c r="B3726" s="138">
        <f>'Tax Sched 23'!D13</f>
        <v>71841</v>
      </c>
      <c r="C3726" s="2" t="s">
        <v>573</v>
      </c>
      <c r="D3726" s="2" t="str">
        <f t="shared" si="57"/>
        <v>Error?</v>
      </c>
    </row>
    <row r="3727" spans="1:4" x14ac:dyDescent="0.2">
      <c r="A3727" s="5">
        <v>3666</v>
      </c>
      <c r="B3727" s="138">
        <f>'Tax Sched 23'!C13</f>
        <v>25144</v>
      </c>
      <c r="D3727" s="2" t="str">
        <f t="shared" si="57"/>
        <v>Error?</v>
      </c>
    </row>
    <row r="3728" spans="1:4" x14ac:dyDescent="0.2">
      <c r="A3728" s="5">
        <v>3667</v>
      </c>
      <c r="B3728" s="138">
        <f>'Tax Sched 23'!F13</f>
        <v>72650</v>
      </c>
      <c r="C3728" s="2" t="s">
        <v>573</v>
      </c>
      <c r="D3728" s="2" t="str">
        <f t="shared" si="57"/>
        <v>Error?</v>
      </c>
    </row>
    <row r="3729" spans="1:4" x14ac:dyDescent="0.2">
      <c r="A3729" s="5">
        <v>3668</v>
      </c>
      <c r="B3729" s="138">
        <f>'Tax Sched 23'!E13</f>
        <v>97794</v>
      </c>
      <c r="D3729" s="2" t="str">
        <f t="shared" si="57"/>
        <v>Error?</v>
      </c>
    </row>
    <row r="3730" spans="1:4" x14ac:dyDescent="0.2">
      <c r="A3730" s="5">
        <v>3669</v>
      </c>
      <c r="B3730" s="138">
        <f>'ICR Computation 30'!E10</f>
        <v>245298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2867129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8626410</v>
      </c>
      <c r="C4122" s="2" t="s">
        <v>573</v>
      </c>
      <c r="D4122" s="2" t="str">
        <f t="shared" si="63"/>
        <v>Error?</v>
      </c>
    </row>
    <row r="4123" spans="1:4" x14ac:dyDescent="0.2">
      <c r="A4123" s="5">
        <v>4062</v>
      </c>
      <c r="B4123" s="138">
        <f>'Acct Summary 7-8'!D10</f>
        <v>606474</v>
      </c>
      <c r="C4123" s="2" t="s">
        <v>573</v>
      </c>
      <c r="D4123" s="2" t="str">
        <f t="shared" si="63"/>
        <v>Error?</v>
      </c>
    </row>
    <row r="4124" spans="1:4" x14ac:dyDescent="0.2">
      <c r="A4124" s="5">
        <v>4063</v>
      </c>
      <c r="B4124" s="138">
        <f>'Acct Summary 7-8'!E10</f>
        <v>1033795</v>
      </c>
      <c r="C4124" s="2" t="s">
        <v>573</v>
      </c>
      <c r="D4124" s="2" t="str">
        <f t="shared" si="63"/>
        <v>Error?</v>
      </c>
    </row>
    <row r="4125" spans="1:4" x14ac:dyDescent="0.2">
      <c r="A4125" s="5">
        <v>4064</v>
      </c>
      <c r="B4125" s="138">
        <f>'Acct Summary 7-8'!F10</f>
        <v>351957</v>
      </c>
      <c r="C4125" s="2" t="s">
        <v>573</v>
      </c>
      <c r="D4125" s="2" t="str">
        <f t="shared" si="63"/>
        <v>Error?</v>
      </c>
    </row>
    <row r="4126" spans="1:4" x14ac:dyDescent="0.2">
      <c r="A4126" s="5">
        <v>4065</v>
      </c>
      <c r="B4126" s="138">
        <f>'Acct Summary 7-8'!G10</f>
        <v>334869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96985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96985</v>
      </c>
      <c r="C4130" s="2" t="s">
        <v>573</v>
      </c>
      <c r="D4130" s="2" t="str">
        <f t="shared" si="63"/>
        <v>Error?</v>
      </c>
    </row>
    <row r="4131" spans="1:4" x14ac:dyDescent="0.2">
      <c r="A4131" s="5">
        <v>4070</v>
      </c>
      <c r="B4131" s="138">
        <f>'Acct Summary 7-8'!C18</f>
        <v>2867129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8869036</v>
      </c>
      <c r="C4136" s="2" t="s">
        <v>573</v>
      </c>
      <c r="D4136" s="2" t="str">
        <f t="shared" si="63"/>
        <v>Error?</v>
      </c>
    </row>
    <row r="4137" spans="1:4" x14ac:dyDescent="0.2">
      <c r="A4137" s="5">
        <v>4076</v>
      </c>
      <c r="B4137" s="138">
        <f>'Acct Summary 7-8'!D19</f>
        <v>653166</v>
      </c>
      <c r="C4137" s="2" t="s">
        <v>573</v>
      </c>
      <c r="D4137" s="2" t="str">
        <f t="shared" si="63"/>
        <v>Error?</v>
      </c>
    </row>
    <row r="4138" spans="1:4" x14ac:dyDescent="0.2">
      <c r="A4138" s="5">
        <v>4077</v>
      </c>
      <c r="B4138" s="138">
        <f>'Acct Summary 7-8'!E19</f>
        <v>1093024</v>
      </c>
      <c r="C4138" s="2" t="s">
        <v>573</v>
      </c>
      <c r="D4138" s="2" t="str">
        <f t="shared" si="63"/>
        <v>Error?</v>
      </c>
    </row>
    <row r="4139" spans="1:4" x14ac:dyDescent="0.2">
      <c r="A4139" s="5">
        <v>4078</v>
      </c>
      <c r="B4139" s="138">
        <f>'Acct Summary 7-8'!F19</f>
        <v>416758</v>
      </c>
      <c r="C4139" s="2" t="s">
        <v>573</v>
      </c>
      <c r="D4139" s="2" t="str">
        <f t="shared" si="63"/>
        <v>Error?</v>
      </c>
    </row>
    <row r="4140" spans="1:4" x14ac:dyDescent="0.2">
      <c r="A4140" s="5">
        <v>4079</v>
      </c>
      <c r="B4140" s="138">
        <f>'Acct Summary 7-8'!G19</f>
        <v>238553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67520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7558000</v>
      </c>
      <c r="C4171" s="2" t="s">
        <v>573</v>
      </c>
      <c r="D4171" s="2" t="str">
        <f t="shared" si="64"/>
        <v>Error?</v>
      </c>
    </row>
    <row r="4172" spans="1:4" x14ac:dyDescent="0.2">
      <c r="A4172" s="5">
        <v>4111</v>
      </c>
      <c r="B4172" s="138">
        <f>'Short-Term Long-Term Debt 24'!J49</f>
        <v>6819822</v>
      </c>
      <c r="C4172" s="2" t="s">
        <v>573</v>
      </c>
      <c r="D4172" s="2" t="str">
        <f t="shared" si="64"/>
        <v>Error?</v>
      </c>
    </row>
    <row r="4173" spans="1:4" x14ac:dyDescent="0.2">
      <c r="A4173" s="5">
        <v>4112</v>
      </c>
      <c r="B4173" s="138">
        <f>'Short-Term Long-Term Debt 24'!H49</f>
        <v>821000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2130</v>
      </c>
      <c r="C4268" s="2" t="s">
        <v>573</v>
      </c>
      <c r="D4268" s="2" t="str">
        <f t="shared" si="65"/>
        <v>Error?</v>
      </c>
    </row>
    <row r="4269" spans="1:5" x14ac:dyDescent="0.2">
      <c r="A4269" s="12">
        <v>4208</v>
      </c>
      <c r="B4269" s="138">
        <f>'FP Info 3'!J16</f>
        <v>4199451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37760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10169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20608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31312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195588807</v>
      </c>
      <c r="D4995" s="2" t="str">
        <f t="shared" si="77"/>
        <v>Error?</v>
      </c>
    </row>
    <row r="4996" spans="1:4" x14ac:dyDescent="0.2">
      <c r="A4996" s="12">
        <v>4935</v>
      </c>
      <c r="B4996" s="138">
        <f>'FP Info 3'!H31</f>
        <v>13495627.683000002</v>
      </c>
      <c r="D4996" s="2" t="str">
        <f t="shared" si="77"/>
        <v>Error?</v>
      </c>
    </row>
    <row r="4997" spans="1:4" x14ac:dyDescent="0.2">
      <c r="A4997" s="12">
        <v>4936</v>
      </c>
      <c r="B4997" s="138">
        <f>'FP Info 3'!H37</f>
        <v>7558000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100000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100000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3416410</v>
      </c>
      <c r="D5061" s="2" t="str">
        <f t="shared" si="78"/>
        <v>Error?</v>
      </c>
    </row>
    <row r="5062" spans="1:4" x14ac:dyDescent="0.2">
      <c r="A5062" s="10">
        <v>5001</v>
      </c>
      <c r="D5062" s="2" t="str">
        <f t="shared" si="78"/>
        <v>OK</v>
      </c>
    </row>
    <row r="5063" spans="1:4" x14ac:dyDescent="0.2">
      <c r="A5063" s="5">
        <v>5002</v>
      </c>
      <c r="B5063" s="138">
        <f>'Revenues 9-14'!C7</f>
        <v>38796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3455206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65430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65430</v>
      </c>
      <c r="C5071" s="2" t="s">
        <v>573</v>
      </c>
      <c r="D5071" s="2" t="str">
        <f t="shared" si="78"/>
        <v>Error?</v>
      </c>
    </row>
    <row r="5072" spans="1:4" x14ac:dyDescent="0.2">
      <c r="A5072" s="5">
        <v>5011</v>
      </c>
      <c r="B5072" s="138">
        <f>'Revenues 9-14'!C20</f>
        <v>213146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359858</v>
      </c>
      <c r="C5087" s="2" t="s">
        <v>573</v>
      </c>
      <c r="D5087" s="2" t="str">
        <f t="shared" si="78"/>
        <v>Error?</v>
      </c>
    </row>
    <row r="5088" spans="1:4" x14ac:dyDescent="0.2">
      <c r="A5088" s="5">
        <v>5027</v>
      </c>
      <c r="B5088" s="138">
        <f>'Revenues 9-14'!C65</f>
        <v>93062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93062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146468</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146468</v>
      </c>
      <c r="C5096" s="2" t="s">
        <v>573</v>
      </c>
      <c r="D5096" s="2" t="str">
        <f t="shared" si="78"/>
        <v>Error?</v>
      </c>
    </row>
    <row r="5097" spans="1:4" x14ac:dyDescent="0.2">
      <c r="A5097" s="5">
        <v>5036</v>
      </c>
      <c r="B5097" s="138">
        <f>'Revenues 9-14'!C77</f>
        <v>8569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3359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11928</v>
      </c>
      <c r="C5102" s="2" t="s">
        <v>573</v>
      </c>
      <c r="D5102" s="2" t="str">
        <f t="shared" si="78"/>
        <v>Error?</v>
      </c>
    </row>
    <row r="5103" spans="1:4" x14ac:dyDescent="0.2">
      <c r="A5103" s="5">
        <v>5042</v>
      </c>
      <c r="B5103" s="138">
        <f>'Revenues 9-14'!C84</f>
        <v>51300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51300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69763</v>
      </c>
      <c r="D5119" s="2" t="str">
        <f t="shared" ref="D5119:D5182" si="79">IF(ISBLANK(B5119),"OK",IF(A5119-B5119=0,"OK","Error?"))</f>
        <v>Error?</v>
      </c>
    </row>
    <row r="5120" spans="1:4" x14ac:dyDescent="0.2">
      <c r="A5120" s="5">
        <v>5059</v>
      </c>
      <c r="B5120" s="138">
        <f>'Revenues 9-14'!C108</f>
        <v>70641</v>
      </c>
      <c r="C5120" s="2" t="s">
        <v>573</v>
      </c>
      <c r="D5120" s="2" t="str">
        <f t="shared" si="79"/>
        <v>Error?</v>
      </c>
    </row>
    <row r="5121" spans="1:4" x14ac:dyDescent="0.2">
      <c r="A5121" s="5">
        <v>5060</v>
      </c>
      <c r="B5121" s="138">
        <f>'Revenues 9-14'!C109</f>
        <v>4253893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193062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193062</v>
      </c>
      <c r="C5125" s="2" t="s">
        <v>573</v>
      </c>
      <c r="D5125" s="2" t="str">
        <f t="shared" si="79"/>
        <v>Error?</v>
      </c>
    </row>
    <row r="5126" spans="1:4" x14ac:dyDescent="0.2">
      <c r="A5126" s="5">
        <v>5065</v>
      </c>
      <c r="B5126" s="138">
        <f>'Revenues 9-14'!C117</f>
        <v>1036052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1036052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389</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389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1230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32931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1068983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67923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17918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85841</v>
      </c>
      <c r="C5246" s="2" t="s">
        <v>573</v>
      </c>
      <c r="D5246" s="2" t="str">
        <f t="shared" si="80"/>
        <v>Error?</v>
      </c>
    </row>
    <row r="5247" spans="1:4" x14ac:dyDescent="0.2">
      <c r="A5247" s="5">
        <v>5186</v>
      </c>
      <c r="B5247" s="138">
        <f>'Revenues 9-14'!C200</f>
        <v>88634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10169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88634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331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331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243343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243343</v>
      </c>
      <c r="C5326" s="2" t="s">
        <v>573</v>
      </c>
      <c r="D5326" s="2" t="str">
        <f t="shared" si="82"/>
        <v>Error?</v>
      </c>
    </row>
    <row r="5327" spans="1:5" x14ac:dyDescent="0.2">
      <c r="A5327" s="5">
        <v>5266</v>
      </c>
      <c r="B5327" s="138">
        <f>'Revenues 9-14'!C268</f>
        <v>5759281</v>
      </c>
      <c r="C5327" s="2" t="s">
        <v>573</v>
      </c>
      <c r="D5327" s="2" t="str">
        <f t="shared" si="82"/>
        <v>Error?</v>
      </c>
    </row>
    <row r="5328" spans="1:5" x14ac:dyDescent="0.2">
      <c r="A5328" s="5">
        <v>5267</v>
      </c>
      <c r="B5328" s="138">
        <f>'Revenues 9-14'!D5</f>
        <v>484923</v>
      </c>
      <c r="D5328" s="2" t="str">
        <f t="shared" si="82"/>
        <v>Error?</v>
      </c>
    </row>
    <row r="5329" spans="1:4" x14ac:dyDescent="0.2">
      <c r="A5329" s="10">
        <v>5268</v>
      </c>
      <c r="D5329" s="2" t="str">
        <f t="shared" si="82"/>
        <v>OK</v>
      </c>
    </row>
    <row r="5330" spans="1:4" x14ac:dyDescent="0.2">
      <c r="A5330" s="5">
        <v>5269</v>
      </c>
      <c r="B5330" s="138">
        <f>'Revenues 9-14'!D6</f>
        <v>96985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581908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19975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4591</v>
      </c>
      <c r="D5354" s="2" t="str">
        <f t="shared" si="82"/>
        <v>Error?</v>
      </c>
    </row>
    <row r="5355" spans="1:4" x14ac:dyDescent="0.2">
      <c r="A5355" s="5">
        <v>5294</v>
      </c>
      <c r="B5355" s="138">
        <f>'Revenues 9-14'!D108</f>
        <v>24566</v>
      </c>
      <c r="C5355" s="2" t="s">
        <v>573</v>
      </c>
      <c r="D5355" s="2" t="str">
        <f t="shared" si="82"/>
        <v>Error?</v>
      </c>
    </row>
    <row r="5356" spans="1:4" x14ac:dyDescent="0.2">
      <c r="A5356" s="5">
        <v>5295</v>
      </c>
      <c r="B5356" s="138">
        <f>'Revenues 9-14'!D109</f>
        <v>606474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606474</v>
      </c>
      <c r="C5508" s="2" t="s">
        <v>573</v>
      </c>
      <c r="D5508" s="2" t="str">
        <f t="shared" si="85"/>
        <v>Error?</v>
      </c>
    </row>
    <row r="5509" spans="1:4" x14ac:dyDescent="0.2">
      <c r="A5509" s="5">
        <v>5448</v>
      </c>
      <c r="B5509" s="138">
        <f>'Revenues 9-14'!E5</f>
        <v>1033795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1033795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1033795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1033795</v>
      </c>
      <c r="C5552" s="2" t="s">
        <v>573</v>
      </c>
      <c r="D5552" s="2" t="str">
        <f t="shared" si="85"/>
        <v>Error?</v>
      </c>
    </row>
    <row r="5553" spans="1:4" x14ac:dyDescent="0.2">
      <c r="A5553" s="5">
        <v>5492</v>
      </c>
      <c r="B5553" s="138">
        <f>'Revenues 9-14'!F5</f>
        <v>232764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232764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7613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7613</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240377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80990</v>
      </c>
      <c r="D5615" s="2" t="str">
        <f t="shared" si="86"/>
        <v>Error?</v>
      </c>
    </row>
    <row r="5616" spans="1:4" x14ac:dyDescent="0.2">
      <c r="A5616" s="10">
        <v>5555</v>
      </c>
      <c r="D5616" s="2" t="str">
        <f t="shared" si="86"/>
        <v>OK</v>
      </c>
    </row>
    <row r="5617" spans="1:5" x14ac:dyDescent="0.2">
      <c r="A5617" s="5">
        <v>5556</v>
      </c>
      <c r="B5617" s="138">
        <f>'Revenues 9-14'!F153</f>
        <v>30590</v>
      </c>
      <c r="D5617" s="2" t="str">
        <f t="shared" si="86"/>
        <v>Error?</v>
      </c>
    </row>
    <row r="5618" spans="1:5" x14ac:dyDescent="0.2">
      <c r="A5618" s="5">
        <v>5557</v>
      </c>
      <c r="B5618" s="138">
        <f>'Revenues 9-14'!F155</f>
        <v>111580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111580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111580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351957</v>
      </c>
      <c r="C5720" s="2" t="s">
        <v>573</v>
      </c>
      <c r="D5720" s="2" t="str">
        <f t="shared" si="88"/>
        <v>Error?</v>
      </c>
    </row>
    <row r="5721" spans="1:4" x14ac:dyDescent="0.2">
      <c r="A5721" s="5">
        <v>5660</v>
      </c>
      <c r="B5721" s="138">
        <f>'Revenues 9-14'!G5</f>
        <v>167308</v>
      </c>
      <c r="D5721" s="2" t="str">
        <f t="shared" si="88"/>
        <v>Error?</v>
      </c>
    </row>
    <row r="5722" spans="1:4" x14ac:dyDescent="0.2">
      <c r="A5722" s="5">
        <v>5661</v>
      </c>
      <c r="B5722" s="138">
        <f>'Revenues 9-14'!G7</f>
        <v>0</v>
      </c>
      <c r="D5722" s="2" t="str">
        <f t="shared" si="88"/>
        <v>Error?</v>
      </c>
    </row>
    <row r="5723" spans="1:4" x14ac:dyDescent="0.2">
      <c r="A5723" s="5">
        <v>5662</v>
      </c>
      <c r="B5723" s="138">
        <f>'Revenues 9-14'!G8</f>
        <v>167561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334869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334869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96985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96985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96985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96985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96985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96985</v>
      </c>
      <c r="C6023" s="2" t="s">
        <v>573</v>
      </c>
      <c r="D6023" s="2" t="str">
        <f t="shared" si="93"/>
        <v>Error?</v>
      </c>
    </row>
    <row r="6024" spans="1:5" x14ac:dyDescent="0.2">
      <c r="A6024" s="5">
        <v>5963</v>
      </c>
      <c r="B6024" s="138">
        <f>'Revenues 9-14'!G109</f>
        <v>334869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96985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96985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21096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703.82100000000003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364678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364678</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364678</v>
      </c>
      <c r="D6216" s="2" t="str">
        <f t="shared" si="96"/>
        <v>Error?</v>
      </c>
      <c r="E6216" s="2" t="s">
        <v>190</v>
      </c>
    </row>
    <row r="6217" spans="1:5" x14ac:dyDescent="0.2">
      <c r="A6217">
        <v>6156</v>
      </c>
      <c r="B6217" s="138">
        <f>'Assets-Liab 5-6'!J4</f>
        <v>364678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582665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582665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582665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460960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460960</v>
      </c>
      <c r="D6229" s="2" t="str">
        <f t="shared" si="96"/>
        <v>Error?</v>
      </c>
      <c r="E6229" s="2" t="s">
        <v>190</v>
      </c>
    </row>
    <row r="6230" spans="1:5" x14ac:dyDescent="0.2">
      <c r="A6230">
        <v>6169</v>
      </c>
      <c r="B6230" s="138">
        <f>'Acct Summary 7-8'!J20</f>
        <v>121705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22300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121705</v>
      </c>
      <c r="D6263" s="2" t="str">
        <f t="shared" si="96"/>
        <v>Error?</v>
      </c>
      <c r="E6263" s="2" t="s">
        <v>190</v>
      </c>
    </row>
    <row r="6264" spans="1:5" x14ac:dyDescent="0.2">
      <c r="A6264">
        <v>6203</v>
      </c>
      <c r="B6264" s="138">
        <f>'Acct Summary 7-8'!J79</f>
        <v>242973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364678</v>
      </c>
      <c r="D6266" s="2" t="str">
        <f t="shared" si="96"/>
        <v>Error?</v>
      </c>
      <c r="E6266" s="2" t="s">
        <v>190</v>
      </c>
    </row>
    <row r="6267" spans="1:5" x14ac:dyDescent="0.2">
      <c r="A6267">
        <v>6206</v>
      </c>
      <c r="B6267" s="138">
        <f>'Acct Summary 7-8'!C82</f>
        <v>1103990</v>
      </c>
      <c r="D6267" s="2" t="str">
        <f t="shared" si="96"/>
        <v>Error?</v>
      </c>
      <c r="E6267" s="2" t="s">
        <v>190</v>
      </c>
    </row>
    <row r="6268" spans="1:5" x14ac:dyDescent="0.2">
      <c r="A6268">
        <v>6207</v>
      </c>
      <c r="B6268" s="138">
        <f>'Acct Summary 7-8'!D82</f>
        <v>196614</v>
      </c>
      <c r="D6268" s="2" t="str">
        <f t="shared" si="96"/>
        <v>Error?</v>
      </c>
      <c r="E6268" s="2" t="s">
        <v>190</v>
      </c>
    </row>
    <row r="6269" spans="1:5" x14ac:dyDescent="0.2">
      <c r="A6269">
        <v>6208</v>
      </c>
      <c r="B6269" s="138">
        <f>'Acct Summary 7-8'!E82</f>
        <v>7173</v>
      </c>
      <c r="D6269" s="2" t="str">
        <f t="shared" si="96"/>
        <v>Error?</v>
      </c>
      <c r="E6269" s="2" t="s">
        <v>190</v>
      </c>
    </row>
    <row r="6270" spans="1:5" x14ac:dyDescent="0.2">
      <c r="A6270">
        <v>6209</v>
      </c>
      <c r="B6270" s="138">
        <f>'Acct Summary 7-8'!F82</f>
        <v>-164801</v>
      </c>
      <c r="D6270" s="2" t="str">
        <f t="shared" si="96"/>
        <v>Error?</v>
      </c>
      <c r="E6270" s="2" t="s">
        <v>190</v>
      </c>
    </row>
    <row r="6271" spans="1:5" x14ac:dyDescent="0.2">
      <c r="A6271">
        <v>6210</v>
      </c>
      <c r="B6271" s="138">
        <f>'Acct Summary 7-8'!G82</f>
        <v>96316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118361</v>
      </c>
      <c r="D6273" s="2" t="str">
        <f t="shared" si="97"/>
        <v>Error?</v>
      </c>
      <c r="E6273" s="2" t="s">
        <v>190</v>
      </c>
    </row>
    <row r="6274" spans="1:5" x14ac:dyDescent="0.2">
      <c r="A6274">
        <v>6213</v>
      </c>
      <c r="B6274" s="138">
        <f>'Acct Summary 7-8'!J82</f>
        <v>121705</v>
      </c>
      <c r="D6274" s="2" t="str">
        <f t="shared" si="97"/>
        <v>Error?</v>
      </c>
      <c r="E6274" s="2" t="s">
        <v>190</v>
      </c>
    </row>
    <row r="6275" spans="1:5" x14ac:dyDescent="0.2">
      <c r="A6275">
        <v>6214</v>
      </c>
      <c r="B6275" s="138">
        <f>'Acct Summary 7-8'!K82</f>
        <v>29465</v>
      </c>
      <c r="D6275" s="2" t="str">
        <f t="shared" si="97"/>
        <v>Error?</v>
      </c>
      <c r="E6275" s="2" t="s">
        <v>190</v>
      </c>
    </row>
    <row r="6276" spans="1:5" x14ac:dyDescent="0.2">
      <c r="A6276">
        <v>6215</v>
      </c>
      <c r="B6276" s="138">
        <f>'Acct Summary 7-8'!C83</f>
        <v>0.89662487523075707</v>
      </c>
      <c r="D6276" s="2" t="str">
        <f t="shared" si="97"/>
        <v>Error?</v>
      </c>
      <c r="E6276" s="2" t="s">
        <v>190</v>
      </c>
    </row>
    <row r="6277" spans="1:5" x14ac:dyDescent="0.2">
      <c r="A6277">
        <v>6216</v>
      </c>
      <c r="B6277" s="138">
        <f>'Acct Summary 7-8'!D83</f>
        <v>0.85841897992507921</v>
      </c>
      <c r="D6277" s="2" t="str">
        <f t="shared" si="97"/>
        <v>Error?</v>
      </c>
      <c r="E6277" s="2" t="s">
        <v>190</v>
      </c>
    </row>
    <row r="6278" spans="1:5" x14ac:dyDescent="0.2">
      <c r="A6278">
        <v>6217</v>
      </c>
      <c r="B6278" s="138">
        <f>'Acct Summary 7-8'!E83</f>
        <v>9.7171684878173022E-3</v>
      </c>
      <c r="D6278" s="2" t="str">
        <f t="shared" si="97"/>
        <v>Error?</v>
      </c>
      <c r="E6278" s="2" t="s">
        <v>190</v>
      </c>
    </row>
    <row r="6279" spans="1:5" x14ac:dyDescent="0.2">
      <c r="A6279">
        <v>6218</v>
      </c>
      <c r="B6279" s="138">
        <f>'Acct Summary 7-8'!F83</f>
        <v>-0.13388016985131104</v>
      </c>
      <c r="D6279" s="2" t="str">
        <f t="shared" si="97"/>
        <v>Error?</v>
      </c>
      <c r="E6279" s="2" t="s">
        <v>190</v>
      </c>
    </row>
    <row r="6280" spans="1:5" x14ac:dyDescent="0.2">
      <c r="A6280">
        <v>6219</v>
      </c>
      <c r="B6280" s="138">
        <f>'Acct Summary 7-8'!G83</f>
        <v>0.42175786449940444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7.8479515335401609E-2</v>
      </c>
      <c r="D6282" s="2" t="str">
        <f t="shared" si="97"/>
        <v>Error?</v>
      </c>
      <c r="E6282" s="2" t="s">
        <v>190</v>
      </c>
    </row>
    <row r="6283" spans="1:5" x14ac:dyDescent="0.2">
      <c r="A6283">
        <v>6222</v>
      </c>
      <c r="B6283" s="138">
        <f>'Acct Summary 7-8'!J83</f>
        <v>0.33373277247325039</v>
      </c>
      <c r="D6283" s="2" t="str">
        <f t="shared" si="97"/>
        <v>Error?</v>
      </c>
      <c r="E6283" s="2" t="s">
        <v>190</v>
      </c>
    </row>
    <row r="6284" spans="1:5" x14ac:dyDescent="0.2">
      <c r="A6284">
        <v>6223</v>
      </c>
      <c r="B6284" s="138">
        <f>'Acct Summary 7-8'!K83</f>
        <v>0.23153022897644229</v>
      </c>
      <c r="D6284" s="2" t="str">
        <f t="shared" si="97"/>
        <v>Error?</v>
      </c>
      <c r="E6284" s="2" t="s">
        <v>190</v>
      </c>
    </row>
    <row r="6285" spans="1:5" x14ac:dyDescent="0.2">
      <c r="A6285">
        <v>6224</v>
      </c>
      <c r="B6285" s="138">
        <f>'Acct Summary 7-8'!E37</f>
        <v>66402</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582665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582665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146712</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582665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87908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108927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460960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582665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14800</v>
      </c>
      <c r="D7073" s="2" t="str">
        <f t="shared" si="109"/>
        <v>Error?</v>
      </c>
    </row>
    <row r="7074" spans="1:4" x14ac:dyDescent="0.2">
      <c r="A7074">
        <v>7013</v>
      </c>
      <c r="B7074" s="138">
        <f>'Expenditures 15-22'!K216</f>
        <v>14800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10048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10048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442357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442357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6977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6977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460960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460960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460960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460960</v>
      </c>
      <c r="D7224" s="2" t="str">
        <f t="shared" si="111"/>
        <v>Error?</v>
      </c>
    </row>
    <row r="7225" spans="1:4" x14ac:dyDescent="0.2">
      <c r="A7225">
        <v>7164</v>
      </c>
      <c r="B7225" s="138">
        <f>'Expenditures 15-22'!K343</f>
        <v>121705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18262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2757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9708</v>
      </c>
      <c r="D7657" s="2" t="str">
        <f t="shared" si="124"/>
        <v>Error?</v>
      </c>
      <c r="E7657" s="2" t="s">
        <v>827</v>
      </c>
    </row>
    <row r="7658" spans="1:5" x14ac:dyDescent="0.2">
      <c r="A7658">
        <v>7597</v>
      </c>
      <c r="B7658" s="138">
        <f>'Acct Summary 7-8'!D57</f>
        <v>56694</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38796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1356324</v>
      </c>
      <c r="D7748" s="2" t="str">
        <f t="shared" si="127"/>
        <v>Error?</v>
      </c>
      <c r="E7748" s="4" t="s">
        <v>1333</v>
      </c>
    </row>
    <row r="7749" spans="1:6" x14ac:dyDescent="0.2">
      <c r="A7749">
        <v>7688</v>
      </c>
      <c r="B7749" s="138">
        <f>'Acct Summary 7-8'!D25</f>
        <v>200000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254052</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1987</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Milstadt CCSD 160</v>
      </c>
      <c r="B7" s="2401"/>
      <c r="C7" s="2401"/>
      <c r="D7" s="2402"/>
      <c r="E7" s="2403">
        <f>COVER!A13</f>
        <v>50082160004</v>
      </c>
      <c r="F7" s="2404"/>
      <c r="G7" s="2410" t="str">
        <f>COVER!T23</f>
        <v>060-008105</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Fick, Eggemeyer &amp; Williamson</v>
      </c>
      <c r="H9" s="2416"/>
      <c r="I9" s="2416"/>
      <c r="J9" s="2416"/>
      <c r="K9" s="2416"/>
      <c r="L9" s="2417"/>
    </row>
    <row r="10" spans="1:29" ht="13.5" customHeight="1" x14ac:dyDescent="0.2">
      <c r="A10" s="2390">
        <f>COVER!A38</f>
        <v>0</v>
      </c>
      <c r="B10" s="2391"/>
      <c r="C10" s="2391"/>
      <c r="D10" s="2391"/>
      <c r="E10" s="2391"/>
      <c r="F10" s="2392"/>
      <c r="G10" s="2384" t="str">
        <f>COVER!T17</f>
        <v>205 S. Main</v>
      </c>
      <c r="H10" s="2385"/>
      <c r="I10" s="2385"/>
      <c r="J10" s="2385"/>
      <c r="K10" s="2385"/>
      <c r="L10" s="2386"/>
    </row>
    <row r="11" spans="1:29" ht="13.5" customHeight="1" x14ac:dyDescent="0.2">
      <c r="A11" s="1184" t="s">
        <v>1519</v>
      </c>
      <c r="B11" s="1185"/>
      <c r="C11" s="1186"/>
      <c r="D11" s="1191"/>
      <c r="E11" s="1186"/>
      <c r="F11" s="1190"/>
      <c r="G11" s="2384" t="str">
        <f>COVER!T19</f>
        <v>Columbia</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keith@afewcpas.com</v>
      </c>
      <c r="J13" s="2397"/>
      <c r="K13" s="2397"/>
      <c r="L13" s="2398"/>
    </row>
    <row r="14" spans="1:29" ht="13.5" customHeight="1" x14ac:dyDescent="0.2">
      <c r="A14" s="2384" t="str">
        <f>COVER!A19</f>
        <v>211 West Mill</v>
      </c>
      <c r="B14" s="2385"/>
      <c r="C14" s="2385"/>
      <c r="D14" s="2385"/>
      <c r="E14" s="2385"/>
      <c r="F14" s="2386"/>
      <c r="G14" s="1195" t="s">
        <v>1185</v>
      </c>
      <c r="H14" s="1193"/>
      <c r="I14" s="1193"/>
      <c r="J14" s="1193"/>
      <c r="K14" s="1193"/>
      <c r="L14" s="1194"/>
    </row>
    <row r="15" spans="1:29" ht="13.5" customHeight="1" x14ac:dyDescent="0.2">
      <c r="A15" s="2384" t="str">
        <f>COVER!A21</f>
        <v>Millstadt</v>
      </c>
      <c r="B15" s="2385"/>
      <c r="C15" s="2385"/>
      <c r="D15" s="2385"/>
      <c r="E15" s="2385"/>
      <c r="F15" s="2386"/>
      <c r="G15" s="2381" t="str">
        <f>COVER!T15</f>
        <v>Keith Slusser</v>
      </c>
      <c r="H15" s="2382"/>
      <c r="I15" s="2382"/>
      <c r="J15" s="2382"/>
      <c r="K15" s="2382"/>
      <c r="L15" s="2383"/>
    </row>
    <row r="16" spans="1:29" ht="12.2" customHeight="1" x14ac:dyDescent="0.2">
      <c r="A16" s="2406">
        <f>COVER!A25</f>
        <v>62260</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314-845-7999</v>
      </c>
      <c r="H18" s="2401"/>
      <c r="I18" s="2401"/>
      <c r="J18" s="2401"/>
      <c r="K18" s="2400" t="str">
        <f>COVER!X21</f>
        <v>314-84577770</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Milstadt CCSD 160</v>
      </c>
      <c r="B1" s="2399"/>
      <c r="C1" s="2399"/>
      <c r="D1" s="2399"/>
    </row>
    <row r="2" spans="1:11" s="1212" customFormat="1" ht="12.75" x14ac:dyDescent="0.2">
      <c r="A2" s="2423">
        <f>'Single Audit Cover'!E7</f>
        <v>50082160004</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Milstadt CCSD 160</v>
      </c>
      <c r="B1" s="2426"/>
      <c r="C1" s="2426"/>
      <c r="D1" s="2426"/>
      <c r="E1" s="2426"/>
    </row>
    <row r="2" spans="1:5" x14ac:dyDescent="0.2">
      <c r="A2" s="2427">
        <f>'Single Audit Cover'!E7</f>
        <v>50082160004</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243343</v>
      </c>
    </row>
    <row r="11" spans="1:5" ht="18" customHeight="1" x14ac:dyDescent="0.2">
      <c r="A11" s="1258" t="s">
        <v>1240</v>
      </c>
      <c r="B11" s="1259"/>
      <c r="C11" s="1259"/>
    </row>
    <row r="12" spans="1:5" x14ac:dyDescent="0.2">
      <c r="A12" s="1258" t="s">
        <v>1239</v>
      </c>
      <c r="B12" s="1259" t="s">
        <v>1238</v>
      </c>
      <c r="C12" s="1259"/>
      <c r="D12" s="1261">
        <f>SUM('Revenues 9-14'!C112:D112,'Revenues 9-14'!F112:G112)</f>
        <v>193062</v>
      </c>
    </row>
    <row r="13" spans="1:5" x14ac:dyDescent="0.2">
      <c r="A13" s="1258" t="s">
        <v>1237</v>
      </c>
      <c r="B13" s="1259"/>
      <c r="C13" s="1259"/>
    </row>
    <row r="14" spans="1:5" x14ac:dyDescent="0.2">
      <c r="A14" s="1258" t="s">
        <v>1727</v>
      </c>
      <c r="B14" s="1259"/>
      <c r="C14" s="1259"/>
      <c r="D14" s="1261">
        <f>'ICR Computation 30'!E11</f>
        <v>21096</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457501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457501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457501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Milstadt CCSD 160</v>
      </c>
      <c r="C1" s="2430"/>
      <c r="D1" s="2430"/>
      <c r="E1" s="2430"/>
      <c r="F1" s="2430"/>
      <c r="G1" s="2430"/>
      <c r="H1" s="2430"/>
      <c r="I1" s="2430"/>
      <c r="J1" s="2430"/>
      <c r="K1" s="2430"/>
      <c r="L1" s="2430"/>
      <c r="M1" s="2430"/>
    </row>
    <row r="2" spans="2:14" ht="15" x14ac:dyDescent="0.2">
      <c r="B2" s="2431">
        <f>'Single Audit Cover'!E7</f>
        <v>50082160004</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Milstadt CCSD 160</v>
      </c>
      <c r="B1" s="2443"/>
      <c r="C1" s="2443"/>
      <c r="D1" s="2443"/>
      <c r="E1" s="2443"/>
      <c r="F1" s="2443"/>
    </row>
    <row r="2" spans="1:7" ht="13.5" customHeight="1" x14ac:dyDescent="0.2">
      <c r="A2" s="2431">
        <f>'Single Audit Cover'!E7</f>
        <v>50082160004</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Milstadt CCSD 160</v>
      </c>
      <c r="C1" s="2458"/>
      <c r="D1" s="2458"/>
      <c r="E1" s="2458"/>
      <c r="F1" s="2458"/>
      <c r="G1" s="2458"/>
      <c r="H1" s="2458"/>
      <c r="I1" s="2458"/>
      <c r="J1" s="1406"/>
    </row>
    <row r="2" spans="2:10" s="317" customFormat="1" ht="12.75" customHeight="1" x14ac:dyDescent="0.2">
      <c r="B2" s="2459">
        <f>'Single Audit Cover'!E7</f>
        <v>50082160004</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2062</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Milstadt CCSD 160</v>
      </c>
      <c r="C1" s="2457"/>
      <c r="D1" s="2457"/>
      <c r="E1" s="2457"/>
      <c r="F1" s="2457"/>
      <c r="G1" s="2457"/>
      <c r="H1" s="2457"/>
      <c r="I1" s="2457"/>
      <c r="J1" s="2457"/>
      <c r="K1" s="2457"/>
      <c r="L1" s="1371"/>
      <c r="M1" s="1371"/>
    </row>
    <row r="2" spans="1:13" ht="12" customHeight="1" x14ac:dyDescent="0.2">
      <c r="B2" s="2459">
        <f>'Single Audit Cover'!E7</f>
        <v>50082160004</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Milstadt CCSD 160</v>
      </c>
      <c r="C1" s="2480"/>
      <c r="D1" s="2480"/>
      <c r="E1" s="2480"/>
      <c r="F1" s="2480"/>
      <c r="G1" s="2480"/>
      <c r="H1" s="2480"/>
      <c r="I1" s="2480"/>
      <c r="J1" s="2480"/>
      <c r="K1" s="2480"/>
      <c r="L1" s="1449"/>
    </row>
    <row r="2" spans="1:12" ht="12.75" customHeight="1" x14ac:dyDescent="0.2">
      <c r="B2" s="2481">
        <f>'Single Audit Cover'!E7</f>
        <v>50082160004</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Milstadt CCSD 160</v>
      </c>
      <c r="C1" s="2457"/>
      <c r="D1" s="2457"/>
      <c r="E1" s="1469"/>
    </row>
    <row r="2" spans="2:5" s="1279" customFormat="1" ht="12.75" customHeight="1" x14ac:dyDescent="0.2">
      <c r="B2" s="2459">
        <f>'Single Audit Cover'!E7</f>
        <v>50082160004</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openxmlformats.org/package/2006/metadata/core-properties"/>
    <ds:schemaRef ds:uri="http://schemas.microsoft.com/office/2006/documentManagement/types"/>
    <ds:schemaRef ds:uri="4d435f69-8686-490b-bd6d-b153bf22ab50"/>
    <ds:schemaRef ds:uri="http://purl.org/dc/elements/1.1/"/>
    <ds:schemaRef ds:uri="http://www.w3.org/XML/1998/namespace"/>
    <ds:schemaRef ds:uri="http://schemas.microsoft.com/sharepoint/v3"/>
    <ds:schemaRef ds:uri="http://schemas.microsoft.com/office/infopath/2007/PartnerControls"/>
    <ds:schemaRef ds:uri="6ce3111e-7420-4802-b50a-75d4e9a0b98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2019-09-27T14:48:03Z</cp:lastPrinted>
  <dcterms:created xsi:type="dcterms:W3CDTF">2003-10-29T19:06:34Z</dcterms:created>
  <dcterms:modified xsi:type="dcterms:W3CDTF">2019-10-30T17:41:39Z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