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0970D09E-1133-414C-AA3A-72ECE302D2A8}" xr6:coauthVersionLast="36" xr6:coauthVersionMax="36" xr10:uidLastSave="{00000000-0000-0000-0000-000000000000}"/>
  <bookViews>
    <workbookView xWindow="0" yWindow="0" windowWidth="28800" windowHeight="1230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0" i="108" l="1"/>
  <c r="E9" i="108"/>
  <c r="E8" i="108"/>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B7719" i="106" s="1"/>
  <c r="D7719" i="106" s="1"/>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B6289" i="106" s="1"/>
  <c r="D6289" i="106"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1" i="106"/>
  <c r="D7011"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E27" i="108"/>
  <c r="G27" i="108"/>
  <c r="F31" i="108"/>
  <c r="F36" i="108"/>
  <c r="G28" i="108"/>
  <c r="G30" i="108"/>
  <c r="D31" i="108"/>
  <c r="D36" i="108"/>
  <c r="E31" i="108"/>
  <c r="G31" i="108"/>
  <c r="E33"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C42" i="34"/>
  <c r="D42" i="34"/>
  <c r="F42" i="34"/>
  <c r="C43" i="34"/>
  <c r="D43" i="34"/>
  <c r="C44" i="34"/>
  <c r="D44" i="34"/>
  <c r="C45" i="34"/>
  <c r="D45" i="34"/>
  <c r="C46" i="34"/>
  <c r="D46" i="34"/>
  <c r="F46" i="34"/>
  <c r="C47" i="34"/>
  <c r="D47" i="34"/>
  <c r="C48" i="34"/>
  <c r="D48" i="34"/>
  <c r="C49" i="34"/>
  <c r="D49" i="34"/>
  <c r="C50" i="34"/>
  <c r="D50" i="34"/>
  <c r="F50" i="34"/>
  <c r="C51" i="34"/>
  <c r="D51" i="34"/>
  <c r="C52" i="34"/>
  <c r="C53" i="34"/>
  <c r="D53" i="34"/>
  <c r="C56" i="34"/>
  <c r="F56" i="34"/>
  <c r="C57" i="34"/>
  <c r="D57" i="34"/>
  <c r="C61" i="34"/>
  <c r="C62" i="34"/>
  <c r="C63" i="34"/>
  <c r="D63" i="34"/>
  <c r="C64" i="34"/>
  <c r="F64" i="34"/>
  <c r="C67" i="34"/>
  <c r="D67" i="34"/>
  <c r="F67" i="34"/>
  <c r="C68" i="34"/>
  <c r="D68" i="34"/>
  <c r="F68" i="34"/>
  <c r="C69" i="34"/>
  <c r="D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L22" i="37"/>
  <c r="D24" i="37" l="1"/>
  <c r="B4270" i="106" s="1"/>
  <c r="D4270" i="106" s="1"/>
  <c r="F52" i="34"/>
  <c r="F34" i="34"/>
  <c r="G39" i="108"/>
  <c r="E35" i="108"/>
  <c r="D27" i="108"/>
  <c r="B2836" i="106"/>
  <c r="D2836" i="106" s="1"/>
  <c r="B1126" i="106"/>
  <c r="D1126" i="106" s="1"/>
  <c r="D6103" i="106"/>
  <c r="L13" i="11"/>
  <c r="B2060" i="106" s="1"/>
  <c r="D2060" i="106" s="1"/>
  <c r="C129" i="29"/>
  <c r="H44" i="4"/>
  <c r="B3296" i="106" s="1"/>
  <c r="D3296" i="106" s="1"/>
  <c r="H33" i="118"/>
  <c r="B3647" i="106"/>
  <c r="D3647" i="106" s="1"/>
  <c r="J77" i="4"/>
  <c r="B6262" i="106" s="1"/>
  <c r="D6262" i="106" s="1"/>
  <c r="B7078" i="106"/>
  <c r="D7078" i="106" s="1"/>
  <c r="B7047" i="106"/>
  <c r="D7047" i="106" s="1"/>
  <c r="B6238" i="106"/>
  <c r="D6238" i="106" s="1"/>
  <c r="G29" i="108"/>
  <c r="H342" i="29"/>
  <c r="E34" i="108"/>
  <c r="J352" i="29"/>
  <c r="J367" i="29" s="1"/>
  <c r="B7245" i="106" s="1"/>
  <c r="D7245" i="106" s="1"/>
  <c r="H76" i="4"/>
  <c r="B3298" i="106" s="1"/>
  <c r="D3298" i="106" s="1"/>
  <c r="I210" i="29"/>
  <c r="B7071" i="106" s="1"/>
  <c r="D7071" i="106" s="1"/>
  <c r="C352" i="29"/>
  <c r="C367" i="29" s="1"/>
  <c r="B3622" i="106" s="1"/>
  <c r="D3622" i="106" s="1"/>
  <c r="K76" i="4"/>
  <c r="B3586" i="106" s="1"/>
  <c r="D3586" i="106" s="1"/>
  <c r="B6995" i="106"/>
  <c r="D6995" i="106" s="1"/>
  <c r="F28" i="108"/>
  <c r="C342" i="29"/>
  <c r="B7216" i="106" s="1"/>
  <c r="D7216" i="106" s="1"/>
  <c r="K184" i="29"/>
  <c r="F13" i="4" s="1"/>
  <c r="B2596" i="106" s="1"/>
  <c r="D2596" i="106" s="1"/>
  <c r="G210" i="29"/>
  <c r="G26" i="108"/>
  <c r="E29" i="108"/>
  <c r="G15" i="145"/>
  <c r="L367" i="29"/>
  <c r="E38" i="108"/>
  <c r="E26" i="108"/>
  <c r="J210" i="29"/>
  <c r="B7072" i="106" s="1"/>
  <c r="D7072" i="106" s="1"/>
  <c r="B1274" i="106"/>
  <c r="D1274" i="106" s="1"/>
  <c r="B1124" i="106"/>
  <c r="D1124" i="106" s="1"/>
  <c r="H365" i="29"/>
  <c r="B7242" i="106" s="1"/>
  <c r="D7242" i="106" s="1"/>
  <c r="F77" i="4"/>
  <c r="B3255" i="106" s="1"/>
  <c r="D3255" i="106" s="1"/>
  <c r="F19" i="7"/>
  <c r="B1807" i="106" s="1"/>
  <c r="D1807" i="106" s="1"/>
  <c r="J22" i="37"/>
  <c r="D68" i="36"/>
  <c r="H28" i="118"/>
  <c r="D22" i="37"/>
  <c r="J41" i="3"/>
  <c r="B6216" i="106" s="1"/>
  <c r="D6216" i="106" s="1"/>
  <c r="D54" i="36"/>
  <c r="L5" i="11"/>
  <c r="B2056" i="106" s="1"/>
  <c r="D2056" i="106" s="1"/>
  <c r="B1308" i="106"/>
  <c r="D1308" i="106" s="1"/>
  <c r="E174" i="29"/>
  <c r="B1309" i="106" s="1"/>
  <c r="D1309" i="106" s="1"/>
  <c r="D17" i="7"/>
  <c r="B4104" i="106" s="1"/>
  <c r="D4104" i="106" s="1"/>
  <c r="D9" i="7"/>
  <c r="B1767" i="106" s="1"/>
  <c r="D1767" i="106" s="1"/>
  <c r="D11" i="37"/>
  <c r="H29" i="118"/>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8" i="106" s="1"/>
  <c r="D5778" i="106" s="1"/>
  <c r="B5770" i="106"/>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G6" i="4"/>
  <c r="B2604" i="106" s="1"/>
  <c r="D2604" i="106" s="1"/>
  <c r="E266" i="5"/>
  <c r="B6835" i="106"/>
  <c r="D6835" i="106" s="1"/>
  <c r="G266" i="5"/>
  <c r="B4398" i="106"/>
  <c r="D4398" i="106" s="1"/>
  <c r="B5537" i="106"/>
  <c r="D5537" i="106" s="1"/>
  <c r="E170" i="5"/>
  <c r="I109" i="5"/>
  <c r="L279" i="29"/>
  <c r="L295" i="29" s="1"/>
  <c r="L74" i="29"/>
  <c r="K33" i="29"/>
  <c r="B720" i="106"/>
  <c r="D720" i="106" s="1"/>
  <c r="B7618" i="106"/>
  <c r="L14" i="11"/>
  <c r="B7623" i="106" s="1"/>
  <c r="D7250" i="106"/>
  <c r="B7230" i="106"/>
  <c r="D7230" i="106" s="1"/>
  <c r="I352" i="29"/>
  <c r="I367" i="29" s="1"/>
  <c r="B7202" i="106"/>
  <c r="D7202" i="106" s="1"/>
  <c r="F342" i="29"/>
  <c r="B7219" i="106" s="1"/>
  <c r="D7219" i="106" s="1"/>
  <c r="B7503" i="106"/>
  <c r="B7531" i="106"/>
  <c r="D7251" i="106"/>
  <c r="B7214" i="106"/>
  <c r="D7214" i="106" s="1"/>
  <c r="B7221" i="106"/>
  <c r="D7221" i="106" s="1"/>
  <c r="B7201" i="106"/>
  <c r="D7201" i="106" s="1"/>
  <c r="E342" i="29"/>
  <c r="B7218" i="106" s="1"/>
  <c r="D7218" i="106" s="1"/>
  <c r="B6917" i="106"/>
  <c r="D6917" i="106" s="1"/>
  <c r="J74" i="29"/>
  <c r="D266" i="5"/>
  <c r="B5501" i="106" s="1"/>
  <c r="D5501" i="106" s="1"/>
  <c r="D7256"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8" i="106"/>
  <c r="D1318" i="106" s="1"/>
  <c r="B1127" i="106"/>
  <c r="D1127" i="106" s="1"/>
  <c r="K65" i="29"/>
  <c r="B1133" i="106" s="1"/>
  <c r="D1133" i="106" s="1"/>
  <c r="B1123" i="106"/>
  <c r="D1123" i="106" s="1"/>
  <c r="K57" i="29"/>
  <c r="B3640" i="106"/>
  <c r="D3640" i="106" s="1"/>
  <c r="F352" i="29"/>
  <c r="F367" i="29"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7235" i="106" l="1"/>
  <c r="D7235" i="106" s="1"/>
  <c r="D51" i="36"/>
  <c r="K77" i="4"/>
  <c r="B3587" i="106" s="1"/>
  <c r="D3587" i="106" s="1"/>
  <c r="B5527" i="106"/>
  <c r="D5527" i="106" s="1"/>
  <c r="B1365" i="106"/>
  <c r="D1365" i="106" s="1"/>
  <c r="F65" i="34"/>
  <c r="B1381" i="106"/>
  <c r="D1381" i="106" s="1"/>
  <c r="F41" i="108"/>
  <c r="G43" i="108" s="1"/>
  <c r="H151" i="29"/>
  <c r="B1273" i="106" s="1"/>
  <c r="D1273" i="106" s="1"/>
  <c r="L114" i="29"/>
  <c r="K342" i="29"/>
  <c r="F13" i="34" s="1"/>
  <c r="K365" i="29"/>
  <c r="K16" i="4" s="1"/>
  <c r="C114" i="29"/>
  <c r="B757" i="106" s="1"/>
  <c r="D757" i="106" s="1"/>
  <c r="B1328" i="106"/>
  <c r="D1328" i="106" s="1"/>
  <c r="J16" i="4"/>
  <c r="B6226" i="106" s="1"/>
  <c r="D6226" i="106" s="1"/>
  <c r="D41" i="108"/>
  <c r="E43" i="108" s="1"/>
  <c r="N23" i="3"/>
  <c r="B284" i="106" s="1"/>
  <c r="D284" i="106" s="1"/>
  <c r="K28" i="118"/>
  <c r="O27" i="118" s="1"/>
  <c r="O29" i="118" s="1"/>
  <c r="D44" i="36"/>
  <c r="L16" i="11"/>
  <c r="B2061" i="106" s="1"/>
  <c r="D2061"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F24" i="37" l="1"/>
  <c r="B7243" i="106"/>
  <c r="D7243" i="106" s="1"/>
  <c r="B7224" i="106"/>
  <c r="D7224" i="106" s="1"/>
  <c r="K367" i="29"/>
  <c r="B3678" i="106" s="1"/>
  <c r="D3678" i="106" s="1"/>
  <c r="D268" i="5"/>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B2567" i="106"/>
  <c r="D2567" i="106" s="1"/>
  <c r="K368" i="29" l="1"/>
  <c r="B3681" i="106" s="1"/>
  <c r="D3681" i="106" s="1"/>
  <c r="K17" i="4"/>
  <c r="K20" i="4" s="1"/>
  <c r="B6223" i="106"/>
  <c r="D6223" i="106" s="1"/>
  <c r="D8" i="146"/>
  <c r="J20" i="4"/>
  <c r="B6230" i="106" s="1"/>
  <c r="D6230" i="106" s="1"/>
  <c r="B6227" i="106"/>
  <c r="D6227"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B3575" i="106"/>
  <c r="D3575" i="106" s="1"/>
  <c r="J78" i="4"/>
  <c r="B6263" i="106" s="1"/>
  <c r="D6263"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F175" i="34" l="1"/>
  <c r="F79" i="34"/>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<sst xmlns="http://schemas.openxmlformats.org/spreadsheetml/2006/main" count="5129" uniqueCount="2127">
  <si>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</si>
  <si>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</si>
  <si>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</si>
  <si>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</si>
  <si>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</si>
  <si>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</si>
  <si>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</si>
  <si>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</si>
  <si>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</si>
  <si>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</si>
  <si>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</si>
  <si>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</si>
  <si>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</si>
  <si>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</si>
  <si>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</si>
  <si>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</si>
  <si>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</si>
  <si>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</si>
  <si>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</si>
  <si>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</si>
  <si>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</si>
  <si>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</si>
  <si>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</si>
  <si>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</si>
  <si>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</si>
  <si>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</si>
  <si>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</si>
  <si>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</si>
  <si>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</si>
  <si>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</si>
  <si>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</si>
  <si>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</si>
  <si>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</si>
  <si>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</si>
  <si>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</si>
  <si>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</si>
  <si>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</si>
  <si>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</si>
  <si>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</si>
  <si>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</si>
  <si>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</si>
  <si>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</si>
  <si>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</si>
  <si>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</si>
  <si>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</si>
  <si>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</si>
  <si>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</si>
  <si>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</si>
  <si>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</si>
  <si>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</si>
  <si>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</si>
  <si>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</si>
  <si>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</si>
  <si>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</si>
  <si>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</si>
  <si>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</si>
  <si>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</si>
  <si>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</si>
  <si>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</si>
  <si>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</si>
  <si>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</si>
  <si>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</si>
  <si>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</si>
  <si>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</si>
  <si>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</si>
  <si>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</si>
  <si>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</si>
  <si>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</si>
  <si>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</si>
  <si>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</si>
  <si>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</si>
  <si>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</si>
  <si>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</si>
  <si>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</si>
  <si>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</si>
  <si>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</si>
  <si>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</si>
  <si>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</si>
  <si>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</si>
  <si>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</si>
  <si>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</si>
  <si>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</si>
  <si>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</si>
  <si>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</si>
  <si>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</si>
  <si>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</si>
  <si>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</si>
  <si>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</si>
  <si>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</si>
  <si>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</si>
  <si>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</si>
  <si>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</si>
  <si>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</si>
  <si>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</si>
  <si>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</si>
  <si>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</si>
  <si>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</si>
  <si>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</si>
  <si>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</si>
  <si>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</si>
  <si>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</si>
  <si>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</si>
  <si>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</si>
  <si>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</si>
  <si>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</si>
  <si>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</si>
  <si>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</si>
  <si>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</si>
  <si>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</si>
  <si>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</si>
  <si>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</si>
  <si>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</si>
  <si>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</si>
  <si>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</si>
  <si>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</si>
  <si>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</si>
  <si>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</si>
  <si>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</si>
  <si>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</si>
  <si>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</si>
  <si>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</si>
  <si>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</si>
  <si>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</si>
  <si>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</si>
  <si>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</si>
  <si>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</si>
  <si>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</si>
  <si>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</si>
  <si>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</si>
  <si>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</si>
  <si>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</si>
  <si>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</si>
  <si>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</si>
  <si>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</si>
  <si>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</si>
  <si>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</si>
  <si>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</si>
  <si>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</si>
  <si>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</si>
  <si>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</si>
  <si>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</si>
  <si>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</si>
  <si>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</si>
  <si>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</si>
  <si>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</si>
  <si>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</si>
  <si>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</si>
  <si>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</si>
  <si>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</si>
  <si>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</si>
  <si>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</si>
  <si>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</si>
  <si>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</si>
  <si>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</si>
  <si>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</si>
  <si>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</si>
  <si>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</si>
  <si>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</si>
  <si>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</si>
  <si>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</si>
  <si>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</si>
  <si>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</si>
  <si>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</si>
  <si>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</si>
  <si>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</si>
  <si>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</si>
  <si>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</si>
  <si>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</si>
  <si>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</si>
  <si>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</si>
  <si>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</si>
  <si>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</si>
  <si>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</si>
  <si>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</si>
  <si>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</si>
  <si>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</si>
  <si>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</si>
  <si>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</si>
  <si>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</si>
  <si>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</si>
  <si>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</si>
  <si>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</si>
  <si>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</si>
  <si>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</si>
  <si>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</si>
  <si>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</si>
  <si>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</si>
  <si>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</si>
  <si>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</si>
  <si>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</si>
  <si>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</si>
  <si>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</si>
  <si>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</si>
  <si>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</si>
  <si>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</si>
  <si>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</si>
  <si>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</si>
  <si>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</si>
  <si>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</si>
  <si>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</si>
  <si>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</si>
  <si>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</si>
  <si>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</si>
  <si>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</si>
  <si>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</si>
  <si>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</si>
  <si>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</si>
  <si>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</si>
  <si>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</si>
  <si>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</si>
  <si>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</si>
  <si>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</si>
  <si>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</si>
  <si>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</si>
  <si>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</si>
  <si>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</si>
  <si>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</si>
  <si>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</si>
  <si>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</si>
  <si>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</si>
  <si>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</si>
  <si>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</si>
  <si>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</si>
  <si>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</si>
  <si>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</si>
  <si>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</si>
  <si>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</si>
  <si>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</si>
  <si>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</si>
  <si>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</si>
  <si>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</si>
  <si>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</si>
  <si>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</si>
  <si>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</si>
  <si>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</si>
  <si>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</si>
  <si>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</si>
  <si>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</si>
  <si>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</si>
  <si>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</si>
  <si>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</si>
  <si>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</si>
  <si>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</si>
  <si>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</si>
  <si>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</si>
  <si>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</si>
  <si>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</si>
  <si>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</si>
  <si>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</si>
  <si>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</si>
  <si>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</si>
  <si>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</si>
  <si>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</si>
  <si>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</si>
  <si>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</si>
  <si>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</si>
  <si>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</si>
  <si>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</si>
  <si>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</si>
  <si>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</si>
  <si>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</si>
  <si>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</si>
  <si>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</si>
  <si>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</si>
  <si>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</si>
  <si>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</si>
  <si>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</si>
  <si>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</si>
  <si>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</si>
  <si>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</si>
  <si>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</si>
  <si>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</si>
  <si>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</si>
  <si>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</si>
  <si>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</si>
  <si>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</si>
  <si>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</si>
  <si>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</si>
  <si>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</si>
  <si>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</si>
  <si>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</si>
  <si>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</si>
  <si>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</si>
  <si>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</si>
  <si>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</si>
  <si>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</si>
  <si>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</si>
  <si>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</si>
  <si>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</si>
  <si>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</si>
  <si>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</si>
  <si>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</si>
  <si>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</si>
  <si>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</si>
  <si>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</si>
  <si>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</si>
  <si>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</si>
  <si>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</si>
  <si>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</si>
  <si>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</si>
  <si>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</si>
  <si>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</si>
  <si>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</si>
  <si>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</si>
  <si>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</si>
  <si>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</si>
  <si>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</si>
  <si>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</si>
  <si>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</si>
  <si>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</si>
  <si>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</si>
  <si>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</si>
  <si>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</si>
  <si>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</si>
  <si>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</si>
  <si>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</si>
  <si>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</si>
  <si>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</si>
  <si>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</si>
  <si>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</si>
  <si>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</si>
  <si>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</si>
  <si>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</si>
  <si>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</si>
  <si>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</si>
  <si>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</si>
  <si>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</si>
  <si>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</si>
  <si>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</si>
  <si>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</si>
  <si>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</si>
  <si>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</si>
  <si>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</si>
  <si>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</si>
  <si>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</si>
  <si>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</si>
  <si>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</si>
  <si>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</si>
  <si>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</si>
  <si>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</si>
  <si>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</si>
  <si>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</si>
  <si>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</si>
  <si>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</si>
  <si>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</si>
  <si>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</si>
  <si>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</si>
  <si>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</si>
  <si>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</si>
  <si>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</si>
  <si>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</si>
  <si>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</si>
  <si>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</si>
  <si>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</si>
  <si>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</si>
  <si>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</si>
  <si>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</si>
  <si>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</si>
  <si>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</si>
  <si>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</si>
  <si>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</si>
  <si>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</si>
  <si>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</si>
  <si>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</si>
  <si>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</si>
  <si>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</si>
  <si>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</si>
  <si>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</si>
  <si>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</si>
  <si>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</si>
  <si>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</si>
  <si>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</si>
  <si>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</si>
  <si>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</si>
  <si>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</si>
  <si>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</si>
  <si>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</si>
  <si>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</si>
  <si>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</si>
  <si>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</si>
  <si>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</si>
  <si>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</si>
  <si>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</si>
  <si>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</si>
  <si>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</si>
  <si>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</si>
  <si>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</si>
  <si>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</si>
  <si>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</si>
  <si>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</si>
  <si>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</si>
  <si>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</si>
  <si>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</si>
  <si>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</si>
  <si>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</si>
  <si>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</si>
  <si>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</si>
  <si>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</si>
  <si>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</si>
  <si>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</si>
  <si>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</si>
  <si>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</si>
  <si>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</si>
  <si>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</si>
  <si>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</si>
  <si>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</si>
  <si>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</si>
  <si>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</si>
  <si>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</si>
  <si>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</si>
  <si>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</si>
  <si>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</si>
  <si>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</si>
  <si>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</si>
  <si>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</si>
  <si>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</si>
  <si>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</si>
  <si>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</si>
  <si>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</si>
  <si>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</si>
  <si>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</si>
  <si>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</si>
  <si>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</si>
  <si>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</si>
  <si>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</si>
  <si>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</si>
  <si>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</si>
  <si>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</si>
  <si>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</si>
  <si>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</si>
  <si>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</si>
  <si>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</si>
  <si>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</si>
  <si>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</si>
  <si>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</si>
  <si>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</si>
  <si>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</si>
  <si>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</si>
  <si>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</si>
  <si>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</si>
  <si>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</si>
  <si>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</si>
  <si>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</si>
  <si>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</si>
  <si>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</si>
  <si>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</si>
  <si>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</si>
  <si>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</si>
  <si>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</si>
  <si>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</si>
  <si>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</si>
  <si>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</si>
  <si>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</si>
  <si>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</si>
  <si>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</si>
  <si>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</si>
  <si>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</si>
  <si>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</si>
  <si>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</si>
  <si>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</si>
  <si>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</si>
  <si>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</si>
  <si>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</si>
  <si>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</si>
  <si>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</si>
  <si>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</si>
  <si>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</si>
  <si>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</si>
  <si>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</si>
  <si>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</si>
  <si>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</si>
  <si>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</si>
  <si>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</si>
  <si>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</si>
  <si>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</si>
  <si>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</si>
  <si>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</si>
  <si>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</si>
  <si>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</si>
  <si>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</si>
  <si>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</si>
  <si>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</si>
  <si>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</si>
  <si>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</si>
  <si>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</si>
  <si>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</si>
  <si>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</si>
  <si>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</si>
  <si>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</si>
  <si>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</si>
  <si>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</si>
  <si>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</si>
  <si>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</si>
  <si>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</si>
  <si>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</si>
  <si>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</si>
  <si>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</si>
  <si>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</si>
  <si>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</si>
  <si>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</si>
  <si>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</si>
  <si>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</si>
  <si>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</si>
  <si>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</si>
  <si>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</si>
  <si>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</si>
  <si>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</si>
  <si>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</si>
  <si>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</si>
  <si>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</si>
  <si>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</si>
  <si>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</si>
  <si>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</si>
  <si>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</si>
  <si>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</si>
  <si>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</si>
  <si>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</si>
  <si>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</si>
  <si>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</si>
  <si>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</si>
  <si>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</si>
  <si>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</si>
  <si>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</si>
  <si>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</si>
  <si>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</si>
  <si>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</si>
  <si>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</si>
  <si>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</si>
  <si>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</si>
  <si>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</si>
  <si>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</si>
  <si>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</si>
  <si>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</si>
  <si>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</si>
  <si>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</si>
  <si>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</si>
  <si>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</si>
  <si>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</si>
  <si>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</si>
  <si>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</si>
  <si>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</si>
  <si>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</si>
  <si>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</si>
  <si>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</si>
  <si>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</si>
  <si>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</si>
  <si>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</si>
  <si>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</si>
  <si>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</si>
  <si>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</si>
  <si>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</si>
  <si>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</si>
  <si>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</si>
  <si>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</si>
  <si>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</si>
  <si>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</si>
  <si>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</si>
  <si>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</si>
  <si>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</si>
  <si>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</si>
  <si>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</si>
  <si>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</si>
  <si>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</si>
  <si>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</si>
  <si>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</si>
  <si>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</si>
  <si>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</si>
  <si>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</si>
  <si>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</si>
  <si>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</si>
  <si>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</si>
  <si>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</si>
  <si>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</si>
  <si>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</si>
  <si>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</si>
  <si>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</si>
  <si>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</si>
  <si>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</si>
  <si>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</si>
  <si>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</si>
  <si>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</si>
  <si>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</si>
  <si>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</si>
  <si>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</si>
  <si>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</si>
  <si>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</si>
  <si>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</si>
  <si>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</si>
  <si>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</si>
  <si>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</si>
  <si>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</si>
  <si>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</si>
  <si>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</si>
  <si>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</si>
  <si>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</si>
  <si>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</si>
  <si>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</si>
  <si>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</si>
  <si>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</si>
  <si>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</si>
  <si>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</si>
  <si>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</si>
  <si>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</si>
  <si>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</si>
  <si>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</si>
  <si>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</si>
  <si>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</si>
  <si>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</si>
  <si>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</si>
  <si>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</si>
  <si>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</si>
  <si>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</si>
  <si>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</si>
  <si>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</si>
  <si>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</si>
  <si>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</si>
  <si>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</si>
  <si>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</si>
  <si>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</si>
  <si>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</si>
  <si>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</si>
  <si>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</si>
  <si>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</si>
  <si>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</si>
  <si>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</si>
  <si>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</si>
  <si>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</si>
  <si>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</si>
  <si>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</si>
  <si>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</si>
  <si>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</si>
  <si>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</si>
  <si>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</si>
  <si>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</si>
  <si>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</si>
  <si>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</si>
  <si>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</si>
  <si>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</si>
  <si>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</si>
  <si>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</si>
  <si>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</si>
  <si>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</si>
  <si>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</si>
  <si>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</si>
  <si>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</si>
  <si>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</si>
  <si>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</si>
  <si>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</si>
  <si>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</si>
  <si>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</si>
  <si>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</si>
  <si>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</si>
  <si>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</si>
  <si>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</si>
  <si>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</si>
  <si>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</si>
  <si>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</si>
  <si>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</si>
  <si>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</si>
  <si>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</si>
  <si>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</si>
  <si>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</si>
  <si>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</si>
  <si>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</si>
  <si>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</si>
  <si>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</si>
  <si>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</si>
  <si>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</si>
  <si>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</si>
  <si>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</si>
  <si>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</si>
  <si>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</si>
  <si>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</si>
  <si>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</si>
  <si>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</si>
  <si>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</si>
  <si>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</si>
  <si>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</si>
  <si>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</si>
  <si>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</si>
  <si>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</si>
  <si>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</si>
  <si>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</si>
  <si>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</si>
  <si>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</si>
  <si>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</si>
  <si>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</si>
  <si>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</si>
  <si>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</si>
  <si>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</si>
  <si>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</si>
  <si>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</si>
  <si>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</si>
  <si>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</si>
  <si>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</si>
  <si>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</si>
  <si>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</si>
  <si>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</si>
  <si>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</si>
  <si>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</si>
  <si>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</si>
  <si>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</si>
  <si>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</si>
  <si>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</si>
  <si>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</si>
  <si>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</si>
  <si>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</si>
  <si>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</si>
  <si>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</si>
  <si>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</si>
  <si>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</si>
  <si>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</si>
  <si>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</si>
  <si>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</si>
  <si>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</si>
  <si>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</si>
  <si>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</si>
  <si>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</si>
  <si>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</si>
  <si>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</si>
  <si>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</si>
  <si>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</si>
  <si>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</si>
  <si>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</si>
  <si>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</si>
  <si>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</si>
  <si>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</si>
  <si>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</si>
  <si>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</si>
  <si>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</si>
  <si>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</si>
  <si>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</si>
  <si>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</si>
  <si>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</si>
  <si>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</si>
  <si>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</si>
  <si>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</si>
  <si>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</si>
  <si>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</si>
  <si>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</si>
  <si>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</si>
  <si>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</si>
  <si>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</si>
  <si>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</si>
  <si>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</si>
  <si>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</si>
  <si>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</si>
  <si>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</si>
  <si>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</si>
  <si>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</si>
  <si>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</si>
  <si>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</si>
  <si>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</si>
  <si>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</si>
  <si>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</si>
  <si>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</si>
  <si>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</si>
  <si>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</si>
  <si>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</si>
  <si>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</si>
  <si>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</si>
  <si>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</si>
  <si>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</si>
  <si>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</si>
  <si>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</si>
  <si>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</si>
  <si>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</si>
  <si>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</si>
  <si>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</si>
  <si>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</si>
  <si>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</si>
  <si>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</si>
  <si>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</si>
  <si>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</si>
  <si>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</si>
  <si>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</si>
  <si>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</si>
  <si>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</si>
  <si>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</si>
  <si>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</si>
  <si>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</si>
  <si>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</si>
  <si>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</si>
  <si>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</si>
  <si>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</si>
  <si>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</si>
  <si>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</si>
  <si>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</si>
  <si>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</si>
  <si>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</si>
  <si>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</si>
  <si>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</si>
  <si>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</si>
  <si>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</si>
  <si>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</si>
  <si>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</si>
  <si>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</si>
  <si>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</si>
  <si>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</si>
  <si>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</si>
  <si>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</si>
  <si>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</si>
  <si>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</si>
  <si>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</si>
  <si>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</si>
  <si>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</si>
  <si>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</si>
  <si>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</si>
  <si>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</si>
  <si>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</si>
  <si>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</si>
  <si>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</si>
  <si>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</si>
  <si>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</si>
  <si>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</si>
  <si>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</si>
  <si>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</si>
  <si>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</si>
  <si>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</si>
  <si>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</si>
  <si>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</si>
  <si>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</si>
  <si>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</si>
  <si>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</si>
  <si>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</si>
  <si>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</si>
  <si>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</si>
  <si>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</si>
  <si>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</si>
  <si>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</si>
  <si>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</si>
  <si>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</si>
  <si>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</si>
  <si>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</si>
  <si>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</si>
  <si>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</si>
  <si>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</si>
  <si>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</si>
  <si>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</si>
  <si>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</si>
  <si>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</si>
  <si>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</si>
  <si>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</si>
  <si>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</si>
  <si>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</si>
  <si>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</si>
  <si>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</si>
  <si>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</si>
  <si>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</si>
  <si>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</si>
  <si>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</si>
  <si>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</si>
  <si>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</si>
  <si>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</si>
  <si>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</si>
  <si>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</si>
  <si>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</si>
  <si>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</si>
  <si>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</si>
  <si>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</si>
  <si>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</si>
  <si>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</si>
  <si>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</si>
  <si>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</si>
  <si>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</si>
  <si>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</si>
  <si>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</si>
  <si>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</si>
  <si>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</si>
  <si>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</si>
  <si>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</si>
  <si>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</si>
  <si>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</si>
  <si>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</si>
  <si>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</si>
  <si>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</si>
  <si>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</si>
  <si>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</si>
  <si>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</si>
  <si>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</si>
  <si>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</si>
  <si>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</si>
  <si>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</si>
  <si>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</si>
  <si>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</si>
  <si>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</si>
  <si>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</si>
  <si>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</si>
  <si>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</si>
  <si>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</si>
  <si>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</si>
  <si>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</si>
  <si>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</si>
  <si>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</si>
  <si>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</si>
  <si>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</si>
  <si>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</si>
  <si>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</si>
  <si>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</si>
  <si>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</si>
  <si>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</si>
  <si>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</si>
  <si>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</si>
  <si>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</si>
  <si>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</si>
  <si>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</si>
  <si>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</si>
  <si>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</si>
  <si>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</si>
  <si>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</si>
  <si>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</si>
  <si>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</si>
  <si>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</si>
  <si>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</si>
  <si>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</si>
  <si>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</si>
  <si>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</si>
  <si>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</si>
  <si>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</si>
  <si>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</si>
  <si>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</si>
  <si>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</si>
  <si>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</si>
  <si>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</si>
  <si>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</si>
  <si>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</si>
  <si>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</si>
  <si>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</si>
  <si>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</si>
  <si>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</si>
  <si>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</si>
  <si>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</si>
  <si>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</si>
  <si>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</si>
  <si>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</si>
  <si>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</si>
  <si>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</si>
  <si>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</si>
  <si>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</si>
  <si>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</si>
  <si>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</si>
  <si>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</si>
  <si>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</si>
  <si>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</si>
  <si>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</si>
  <si>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</si>
  <si>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</si>
  <si>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</si>
  <si>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</si>
  <si>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</si>
  <si>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</si>
  <si>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</si>
  <si>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</si>
  <si>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</si>
  <si>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</si>
  <si>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</si>
  <si>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</si>
  <si>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</si>
  <si>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</si>
  <si>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</si>
  <si>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</si>
  <si>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</si>
  <si>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</si>
  <si>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</si>
  <si>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</si>
  <si>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</si>
  <si>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</si>
  <si>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</si>
  <si>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</si>
  <si>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</si>
  <si>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</si>
  <si>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</si>
  <si>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</si>
  <si>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</si>
  <si>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</si>
  <si>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</si>
  <si>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</si>
  <si>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</si>
  <si>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</si>
  <si>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</si>
  <si>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</si>
  <si>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</si>
  <si>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</si>
  <si>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</si>
  <si>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</si>
  <si>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</si>
  <si>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</si>
  <si>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</si>
  <si>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</si>
  <si>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</si>
  <si>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</si>
  <si>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</si>
  <si>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</si>
  <si>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</si>
  <si>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</si>
  <si>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</si>
  <si>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</si>
  <si>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</si>
  <si>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</si>
  <si>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</si>
  <si>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</si>
  <si>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</si>
  <si>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</si>
  <si>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</si>
  <si>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</si>
  <si>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</si>
  <si>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</si>
  <si>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</si>
  <si>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</si>
  <si>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</si>
  <si>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</si>
  <si>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</si>
  <si>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</si>
  <si>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</si>
  <si>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</si>
  <si>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</si>
  <si>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</si>
  <si>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</si>
  <si>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</si>
  <si>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</si>
  <si>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</si>
  <si>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</si>
  <si>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</si>
  <si>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</si>
  <si>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</si>
  <si>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</si>
  <si>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</si>
  <si>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</si>
  <si>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</si>
  <si>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</si>
  <si>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</si>
  <si>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</si>
  <si>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</si>
  <si>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</si>
  <si>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</si>
  <si>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</si>
  <si>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</si>
  <si>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</si>
  <si>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</si>
  <si>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</si>
  <si>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</si>
  <si>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</si>
  <si>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</si>
  <si>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</si>
  <si>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</si>
  <si>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</si>
  <si>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</si>
  <si>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</si>
  <si>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</si>
  <si>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</si>
  <si>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</si>
  <si>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</si>
  <si>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</si>
  <si>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</si>
  <si>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</si>
  <si>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</si>
  <si>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</si>
  <si>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</si>
  <si>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</si>
  <si>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</si>
  <si>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</si>
  <si>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</si>
  <si>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</si>
  <si>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</si>
  <si>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</si>
  <si>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</si>
  <si>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</si>
  <si>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</si>
  <si>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</si>
  <si>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</si>
  <si>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</si>
  <si>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</si>
  <si>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</si>
  <si>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</si>
  <si>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</si>
  <si>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</si>
  <si>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</si>
  <si>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</si>
  <si>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</si>
  <si>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</si>
  <si>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</si>
  <si>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</si>
  <si>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</si>
  <si>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</si>
  <si>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</si>
  <si>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</si>
  <si>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</si>
  <si>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</si>
  <si>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</si>
  <si>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</si>
  <si>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</si>
  <si>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</si>
  <si>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</si>
  <si>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</si>
  <si>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</si>
  <si>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</si>
  <si>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</si>
  <si>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</si>
  <si>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</si>
  <si>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</si>
  <si>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</si>
  <si>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</si>
  <si>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</si>
  <si>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</si>
  <si>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</si>
  <si>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</si>
  <si>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</si>
  <si>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</si>
  <si>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</si>
  <si>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</si>
  <si>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</si>
  <si>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</si>
  <si>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</si>
  <si>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</si>
  <si>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</si>
  <si>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</si>
  <si>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</si>
  <si>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</si>
  <si>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</si>
  <si>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</si>
  <si>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</si>
  <si>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</si>
  <si>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</si>
  <si>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</si>
  <si>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</si>
  <si>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</si>
  <si>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</si>
  <si>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</si>
  <si>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</si>
  <si>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</si>
  <si>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</si>
  <si>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</si>
  <si>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</si>
  <si>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</si>
  <si>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</si>
  <si>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</si>
  <si>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</si>
  <si>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</si>
  <si>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</si>
  <si>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</si>
  <si>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</si>
  <si>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</si>
  <si>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</si>
  <si>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</si>
  <si>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</si>
  <si>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</si>
  <si>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</si>
  <si>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</si>
  <si>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</si>
  <si>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</si>
  <si>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</si>
  <si>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</si>
  <si>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</si>
  <si>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</si>
  <si>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</si>
  <si>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</si>
  <si>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</si>
  <si>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</si>
  <si>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</si>
  <si>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</si>
  <si>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</si>
  <si>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</si>
  <si>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</si>
  <si>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</si>
  <si>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</si>
  <si>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</si>
  <si>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</si>
  <si>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</si>
  <si>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</si>
  <si>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</si>
  <si>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</si>
  <si>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</si>
  <si>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</si>
  <si>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</si>
  <si>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</si>
  <si>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</si>
  <si>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</si>
  <si>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</si>
  <si>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</si>
  <si>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</si>
  <si>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</si>
  <si>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</si>
  <si>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</si>
  <si>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</si>
  <si>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</si>
  <si>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</si>
  <si>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</si>
  <si>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</si>
  <si>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</si>
  <si>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</si>
  <si>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</si>
  <si>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</si>
  <si>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</si>
  <si>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</si>
  <si>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</si>
  <si>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</si>
  <si>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</si>
  <si>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</si>
  <si>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</si>
  <si>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</si>
  <si>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</si>
  <si>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</si>
  <si>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</si>
  <si>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</si>
  <si>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</si>
  <si>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</si>
  <si>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</si>
  <si>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</si>
  <si>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</si>
  <si>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</si>
  <si>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</si>
  <si>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</si>
  <si>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</si>
  <si>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</si>
  <si>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</si>
  <si>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</si>
  <si>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</si>
  <si>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</si>
  <si>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</si>
  <si>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</si>
  <si>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</si>
  <si>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</si>
  <si>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</si>
  <si>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</si>
  <si>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</si>
  <si>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</si>
  <si>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</si>
  <si>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</si>
  <si>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</si>
  <si>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</si>
  <si>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</si>
  <si>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</si>
  <si>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</si>
  <si>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</si>
  <si>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</si>
  <si>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</si>
  <si>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</si>
  <si>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</si>
  <si>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</si>
  <si>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</si>
  <si>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</si>
  <si>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</si>
  <si>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</si>
  <si>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</si>
  <si>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</si>
  <si>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</si>
  <si>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</si>
  <si>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</si>
  <si>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</si>
  <si>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</si>
  <si>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</si>
  <si>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</si>
  <si>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</si>
  <si>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</si>
  <si>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</si>
  <si>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</si>
  <si>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</si>
  <si>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</si>
  <si>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</si>
  <si>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</si>
  <si>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</si>
  <si>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</si>
  <si>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</si>
  <si>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</si>
  <si>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</si>
  <si>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</si>
  <si>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</si>
  <si>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</si>
  <si>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</si>
  <si>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</si>
  <si>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</si>
  <si>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</si>
  <si>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</si>
  <si>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</si>
  <si>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</si>
  <si>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</si>
  <si>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</si>
  <si>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</si>
  <si>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</si>
  <si>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</si>
  <si>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</si>
  <si>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</si>
  <si>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</si>
  <si>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</si>
  <si>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</si>
  <si>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</si>
  <si>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</si>
  <si>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</si>
  <si>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</si>
  <si>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</si>
  <si>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</si>
  <si>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</si>
  <si>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</si>
  <si>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</si>
  <si>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</si>
  <si>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</si>
  <si>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</si>
  <si>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</si>
  <si>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</si>
  <si>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</si>
  <si>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</si>
  <si>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</si>
  <si>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</si>
  <si>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</si>
  <si>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</si>
  <si>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</si>
  <si>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</si>
  <si>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</si>
  <si>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</si>
  <si>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</si>
  <si>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</si>
  <si>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</si>
  <si>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</si>
  <si>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</si>
  <si>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</si>
  <si>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</si>
  <si>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</si>
  <si>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</si>
  <si>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</si>
  <si>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</si>
  <si>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</si>
  <si>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</si>
  <si>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</si>
  <si>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</si>
  <si>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</si>
  <si>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</si>
  <si>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</si>
  <si>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</si>
  <si>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</si>
  <si>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</si>
  <si>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</si>
  <si>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</si>
  <si>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</si>
  <si>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</si>
  <si>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</si>
  <si>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</si>
  <si>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</si>
  <si>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</si>
  <si>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</si>
  <si>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</si>
  <si>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</si>
  <si>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</si>
  <si>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</si>
  <si>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</si>
  <si>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</si>
  <si>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</si>
  <si>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</si>
  <si>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</si>
  <si>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</si>
  <si>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</si>
  <si>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</si>
  <si>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</si>
  <si>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</si>
  <si>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</si>
  <si>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</si>
  <si>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</si>
  <si>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</si>
  <si>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</si>
  <si>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</si>
  <si>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</si>
  <si>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</si>
  <si>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</si>
  <si>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</si>
  <si>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</si>
  <si>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</si>
  <si>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</si>
  <si>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</si>
  <si>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</si>
  <si>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</si>
  <si>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</si>
  <si>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</si>
  <si>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</si>
  <si>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</si>
  <si>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</si>
  <si>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</si>
  <si>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</si>
  <si>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</si>
  <si>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</si>
  <si>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</si>
  <si>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</si>
  <si>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</si>
  <si>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</si>
  <si>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</si>
  <si>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</si>
  <si>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</si>
  <si>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</si>
  <si>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</si>
  <si>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</si>
  <si>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</si>
  <si>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</si>
  <si>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</si>
  <si>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</si>
  <si>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</si>
  <si>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</si>
  <si>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</si>
  <si>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</si>
  <si>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</si>
  <si>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</si>
  <si>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</si>
  <si>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</si>
  <si>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</si>
  <si>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</si>
  <si>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</si>
  <si>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</si>
  <si>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</si>
  <si>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</si>
  <si>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</si>
  <si>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</si>
  <si>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</si>
  <si>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</si>
  <si>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</si>
  <si>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</si>
  <si>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</si>
  <si>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</si>
  <si>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</si>
  <si>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</si>
  <si>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</si>
  <si>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</si>
  <si>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</si>
  <si>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</si>
  <si>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</si>
  <si>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</si>
  <si>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</si>
  <si>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</si>
  <si>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</si>
  <si>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</si>
  <si>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</si>
  <si>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</si>
  <si>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</si>
  <si>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</si>
  <si>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</si>
  <si>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</si>
  <si>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</si>
  <si>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</si>
  <si>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</si>
  <si>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</si>
  <si>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</si>
  <si>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</si>
  <si>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</si>
  <si>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</si>
  <si>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</si>
  <si>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</si>
  <si>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</si>
  <si>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</si>
  <si>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</si>
  <si>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</si>
  <si>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</si>
  <si>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</si>
  <si>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</si>
  <si>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</si>
  <si>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</si>
  <si>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</si>
  <si>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</si>
  <si>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</si>
  <si>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</si>
  <si>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</si>
  <si>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</si>
  <si>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</si>
  <si>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</si>
  <si>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</si>
  <si>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</si>
  <si>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</si>
  <si>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</si>
  <si>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</si>
  <si>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</si>
  <si>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</si>
  <si>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</si>
  <si>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</si>
  <si>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</si>
  <si>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</si>
  <si>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</si>
  <si>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</si>
  <si>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</si>
  <si>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</si>
  <si>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</si>
  <si>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</si>
  <si>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</si>
  <si>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</si>
  <si>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</si>
  <si>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</si>
  <si>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</si>
  <si>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</si>
  <si>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</si>
  <si>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</si>
  <si>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</si>
  <si>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</si>
  <si>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</si>
  <si>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</si>
  <si>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</si>
  <si>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</si>
  <si>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</si>
  <si>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</si>
  <si>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</si>
  <si>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</si>
  <si>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</si>
  <si>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</si>
  <si>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</si>
  <si>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</si>
  <si>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</si>
  <si>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</si>
  <si>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</si>
  <si>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</si>
  <si>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</si>
  <si>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</si>
  <si>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</si>
  <si>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</si>
  <si>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</si>
  <si>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</si>
  <si>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</si>
  <si>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</si>
  <si>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</si>
  <si>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</si>
  <si>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</si>
  <si>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</si>
  <si>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</si>
  <si>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</si>
  <si>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</si>
  <si>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</si>
  <si>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</si>
  <si>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</si>
  <si>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</si>
  <si>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</si>
  <si>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</si>
  <si>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</si>
  <si>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</si>
  <si>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</si>
  <si>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</si>
  <si>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</si>
  <si>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</si>
  <si>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</si>
  <si>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</si>
  <si>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</si>
  <si>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</si>
  <si>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</si>
  <si>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</si>
  <si>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</si>
  <si>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</si>
  <si>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</si>
  <si>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</si>
  <si>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</si>
  <si>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</si>
  <si>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</si>
  <si>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</si>
  <si>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</si>
  <si>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</si>
  <si>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</si>
  <si>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</si>
  <si>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</si>
  <si>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</si>
  <si>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</si>
  <si>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</si>
  <si>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</si>
  <si>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</si>
  <si>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</si>
  <si>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</si>
  <si>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</si>
  <si>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</si>
  <si>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</si>
  <si>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</si>
  <si>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</si>
  <si>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</si>
  <si>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</si>
  <si>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</si>
  <si>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</si>
  <si>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</si>
  <si>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</si>
  <si>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</si>
  <si>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</si>
  <si>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</si>
  <si>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</si>
  <si>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</si>
  <si>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</si>
  <si>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</si>
  <si>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</si>
  <si>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</si>
  <si>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</si>
  <si>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</si>
  <si>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</si>
  <si>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</si>
  <si>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</si>
  <si>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</si>
  <si>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</si>
  <si>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</si>
  <si>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</si>
  <si>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</si>
  <si>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</si>
  <si>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</si>
  <si>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</si>
  <si>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</si>
  <si>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</si>
  <si>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</si>
  <si>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</si>
  <si>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</si>
  <si>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</si>
  <si>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</si>
  <si>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</si>
  <si>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</si>
  <si>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</si>
  <si>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</si>
  <si>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</si>
  <si>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</si>
  <si>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</si>
  <si>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</si>
  <si>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</si>
  <si>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</si>
  <si>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</si>
  <si>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</si>
  <si>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</si>
  <si>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</si>
  <si>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</si>
  <si>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</si>
  <si>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</si>
  <si>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</si>
  <si>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</si>
  <si>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</si>
  <si>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</si>
  <si>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</si>
  <si>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</si>
  <si>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</si>
  <si>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</si>
  <si>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</si>
  <si>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</si>
  <si>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</si>
  <si>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</si>
  <si>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</si>
  <si>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</si>
  <si>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</si>
  <si>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</si>
  <si>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</si>
  <si>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</si>
  <si>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</si>
  <si>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</si>
  <si>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</si>
  <si>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</si>
  <si>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</si>
  <si>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</si>
  <si>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</si>
  <si>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</si>
  <si>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</si>
  <si>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</si>
  <si>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</si>
  <si>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</si>
  <si>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</si>
  <si>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</si>
  <si>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</si>
  <si>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</si>
  <si>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</si>
  <si>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</si>
  <si>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</si>
  <si>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</si>
  <si>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</si>
  <si>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</si>
  <si>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</si>
  <si>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</si>
  <si>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</si>
  <si>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</si>
  <si>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</si>
  <si>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</si>
  <si>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</si>
  <si>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</si>
  <si>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</si>
  <si>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</si>
  <si>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</si>
  <si>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</si>
  <si>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</si>
  <si>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</si>
  <si>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</si>
  <si>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</si>
  <si>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</si>
  <si>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</si>
  <si>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</si>
  <si>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</si>
  <si>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</si>
  <si>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</si>
  <si>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</si>
  <si>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</si>
  <si>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</si>
  <si>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</si>
  <si>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</si>
  <si>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</si>
  <si>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</si>
  <si>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</si>
  <si>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</si>
  <si>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</si>
  <si>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</si>
  <si>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</si>
  <si>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</si>
  <si>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</si>
  <si>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</si>
  <si>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</si>
  <si>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</si>
  <si>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</si>
  <si>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</si>
  <si>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</si>
  <si>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</si>
  <si>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</si>
  <si>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</si>
  <si>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</si>
  <si>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</si>
  <si>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</si>
  <si>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</si>
  <si>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</si>
  <si>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</si>
  <si>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</si>
  <si>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</si>
  <si>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</si>
  <si>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</si>
  <si>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</si>
  <si>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</si>
  <si>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</si>
  <si>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</si>
  <si>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</si>
  <si>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</si>
  <si>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</si>
  <si>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</si>
  <si>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</si>
  <si>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</si>
  <si>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</si>
  <si>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</si>
  <si>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</si>
  <si>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</si>
  <si>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</si>
  <si>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</si>
  <si>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</si>
  <si>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</si>
  <si>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</si>
  <si>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</si>
  <si>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</si>
  <si>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</si>
  <si>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</si>
  <si>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</si>
  <si>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</si>
  <si>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</si>
  <si>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</si>
  <si>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</si>
  <si>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</si>
  <si>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</si>
  <si>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</si>
  <si>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</si>
  <si>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</si>
  <si>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</si>
  <si>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</si>
  <si>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</si>
  <si>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</si>
  <si>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</si>
  <si>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</si>
  <si>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</si>
  <si>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</si>
  <si>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</si>
  <si>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</si>
  <si>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</si>
  <si>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</si>
  <si>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</si>
  <si>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</si>
  <si>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</si>
  <si>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</si>
  <si>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</si>
  <si>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</si>
  <si>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</si>
  <si>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</si>
  <si>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</si>
  <si>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</si>
  <si>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</si>
  <si>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</si>
  <si>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</si>
  <si>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</si>
  <si>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</si>
  <si>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</si>
  <si>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</si>
  <si>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</si>
  <si>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</si>
  <si>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</si>
  <si>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</si>
  <si>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</si>
  <si>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</si>
  <si>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</si>
  <si>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</si>
  <si>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</si>
  <si>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</si>
  <si>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</si>
  <si>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</si>
  <si>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</si>
  <si>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</si>
  <si>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</si>
  <si>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</si>
  <si>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</si>
  <si>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</si>
  <si>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</si>
  <si>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</si>
  <si>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</si>
  <si>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</si>
  <si>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</si>
  <si>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</si>
  <si>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</si>
  <si>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</si>
  <si>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</si>
  <si>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</si>
  <si>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</si>
  <si>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</si>
  <si>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</si>
  <si>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</si>
  <si>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</si>
  <si>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</si>
  <si>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</si>
  <si>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</si>
  <si>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</si>
  <si>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</si>
  <si>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</si>
  <si>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</si>
  <si>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</si>
  <si>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</si>
  <si>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</si>
  <si>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</si>
  <si>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</si>
  <si>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</si>
  <si>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</si>
  <si>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</si>
  <si>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</si>
  <si>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</si>
  <si>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</si>
  <si>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</si>
  <si>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</si>
  <si>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</si>
  <si>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</si>
  <si>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</si>
  <si>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</si>
  <si>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</si>
  <si>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</si>
  <si>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</si>
  <si>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</si>
  <si>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</si>
  <si>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</si>
  <si>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</si>
  <si>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</si>
  <si>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</si>
  <si>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</si>
  <si>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</si>
  <si>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</si>
  <si>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</si>
  <si>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</si>
  <si>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</si>
  <si>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</si>
  <si>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</si>
  <si>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</si>
  <si>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</si>
  <si>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</si>
  <si>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</si>
  <si>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</si>
  <si>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</si>
  <si>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</si>
  <si>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</si>
  <si>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</si>
  <si>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</si>
  <si>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</si>
  <si>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</si>
  <si>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</si>
  <si>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</si>
  <si>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</si>
  <si>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</si>
  <si>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</si>
  <si>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</si>
  <si>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</si>
  <si>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</si>
  <si>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</si>
  <si>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</si>
  <si>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</si>
  <si>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</si>
  <si>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</si>
  <si>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</si>
  <si>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</si>
  <si>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</si>
  <si>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</si>
  <si>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</si>
  <si>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</si>
  <si>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</si>
  <si>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</si>
  <si>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</si>
  <si>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</si>
  <si>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</si>
  <si>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</si>
  <si>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</si>
  <si>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</si>
  <si>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</si>
  <si>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</si>
  <si>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</si>
  <si>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</si>
  <si>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</si>
  <si>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</si>
  <si>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</si>
  <si>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</si>
  <si>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</si>
  <si>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</si>
  <si>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</si>
  <si>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</si>
  <si>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</si>
  <si>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</si>
  <si>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</si>
  <si>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</si>
  <si>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</si>
  <si>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</si>
  <si>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</si>
  <si>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</si>
  <si>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</si>
  <si>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</si>
  <si>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</si>
  <si>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</si>
  <si>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</si>
  <si>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</si>
  <si>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</si>
  <si>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</si>
  <si>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</si>
  <si>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</si>
  <si>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</si>
  <si>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</si>
  <si>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</si>
  <si>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</si>
  <si>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</si>
  <si>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</si>
  <si>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</si>
  <si>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</si>
  <si>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</si>
  <si>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</si>
  <si>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</si>
  <si>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</si>
  <si>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</si>
  <si>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</si>
  <si>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</si>
  <si>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</si>
  <si>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</si>
  <si>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</si>
  <si>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</si>
  <si>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</si>
  <si>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</si>
  <si>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</si>
  <si>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</si>
  <si>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</si>
  <si>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</si>
  <si>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</si>
  <si>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</si>
  <si>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</si>
  <si>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</si>
  <si>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</si>
  <si>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</si>
  <si>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</si>
  <si>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</si>
  <si>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</si>
  <si>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</si>
  <si>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</si>
  <si>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</si>
  <si>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</si>
  <si>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</si>
  <si>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</si>
  <si>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</si>
  <si>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</si>
  <si>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</si>
  <si>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</si>
  <si>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</si>
  <si>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</si>
  <si>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</si>
  <si>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</si>
  <si>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</si>
  <si>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</si>
  <si>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</si>
  <si>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</si>
  <si>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</si>
  <si>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</si>
  <si>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</si>
  <si>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</si>
  <si>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</si>
  <si>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</si>
  <si>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</si>
  <si>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</si>
  <si>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</si>
  <si>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</si>
  <si>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</si>
  <si>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</si>
  <si>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</si>
  <si>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</si>
  <si>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</si>
  <si>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</si>
  <si>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</si>
  <si>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</si>
  <si>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</si>
  <si>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</si>
  <si>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</si>
  <si>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</si>
  <si>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</si>
  <si>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</si>
  <si>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</si>
  <si>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</si>
  <si>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</si>
  <si>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</si>
  <si>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</si>
  <si>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</si>
  <si>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</si>
  <si>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</si>
  <si>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</si>
  <si>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</si>
  <si>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</si>
  <si>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</si>
  <si>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</si>
  <si>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</si>
  <si>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</si>
  <si>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</si>
  <si>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</si>
  <si>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</si>
  <si>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</si>
  <si>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</si>
  <si>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</si>
  <si>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</si>
  <si>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</si>
  <si>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</si>
  <si>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</si>
  <si>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</si>
  <si>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</si>
  <si>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</si>
  <si>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</si>
  <si>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</si>
  <si>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</si>
  <si>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</si>
  <si>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</si>
  <si>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</si>
  <si>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</si>
  <si>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</si>
  <si>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</si>
  <si>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</si>
  <si>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</si>
  <si>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</si>
  <si>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</si>
  <si>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</si>
  <si>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</si>
  <si>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</si>
  <si>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</si>
  <si>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</si>
  <si>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</si>
  <si>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</si>
  <si>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</si>
  <si>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</si>
  <si>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</si>
  <si>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</si>
  <si>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</si>
  <si>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</si>
  <si>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</si>
  <si>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</si>
  <si>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</si>
  <si>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</si>
  <si>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</si>
  <si>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</si>
  <si>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</si>
  <si>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</si>
  <si>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</si>
  <si>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</si>
  <si>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</si>
  <si>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</si>
  <si>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</si>
  <si>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</si>
  <si>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</si>
  <si>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</si>
  <si>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</si>
  <si>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</si>
  <si>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</si>
  <si>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</si>
  <si>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</si>
  <si>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</si>
  <si>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</si>
  <si>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St Clair</t>
  </si>
  <si>
    <t>Schorb &amp; Schmersahl. LLC</t>
  </si>
  <si>
    <t>James R. Schmersahl</t>
  </si>
  <si>
    <t>518 North Main Street</t>
  </si>
  <si>
    <t>Columbia</t>
  </si>
  <si>
    <t>IL</t>
  </si>
  <si>
    <t>618-281-5195</t>
  </si>
  <si>
    <t>618-281-6101</t>
  </si>
  <si>
    <t>316 Hickory Street/P.O. Box 395</t>
  </si>
  <si>
    <t>Smithton</t>
  </si>
  <si>
    <t>Dr. Ryan Wamser</t>
  </si>
  <si>
    <t>rwamser@sccsd130.com</t>
  </si>
  <si>
    <t>rwamser@sccsd130</t>
  </si>
  <si>
    <t>618-233-6863</t>
  </si>
  <si>
    <t>618-233-8413</t>
  </si>
  <si>
    <t>Susan Sarfaty</t>
  </si>
  <si>
    <t>ssarfaty@stclair.k12.il.us</t>
  </si>
  <si>
    <t>618-825-3900</t>
  </si>
  <si>
    <t>618-825-2999</t>
  </si>
  <si>
    <t>2009 General Obligation School Bonds</t>
  </si>
  <si>
    <t>Schorb &amp; Schmersahl, LLC</t>
  </si>
  <si>
    <t>Fund 80/Page 11/Acct 1999/Line 107 - $5,175 - Misc Revenue</t>
  </si>
  <si>
    <t>Fund 20/Page 11/Acct 1999/Line 107 - $21,088 Misc Revenue</t>
  </si>
  <si>
    <t>Fund 10/Page 15/Acct 2190/Line 41 - $933 Awards/Graduation Supply</t>
  </si>
  <si>
    <t>Fund 10/Page 11/Acct 1999/line 107 - $19,335 Misc Revenue</t>
  </si>
  <si>
    <t>66-003932</t>
  </si>
  <si>
    <t>IEC (Illinois Consortium) &amp; Constellation New Energy (Natural Gas)</t>
  </si>
  <si>
    <t>Belleville School District #118</t>
  </si>
  <si>
    <t>Prairie States Ins Coop &amp; IPRF (Workers Comp)</t>
  </si>
  <si>
    <t>Share Band Teacher with Freeburg District #77</t>
  </si>
  <si>
    <t>Member of BASSC</t>
  </si>
  <si>
    <t>Share Trp Director/Secretary/Bus Garage with District #70 &amp; #77</t>
  </si>
  <si>
    <t>Outsource PT &amp; OT services with 3rd Party, Therakids, P.C.</t>
  </si>
  <si>
    <t>Shared cost with district #70 &amp; #77</t>
  </si>
  <si>
    <t>ED - Health Services</t>
  </si>
  <si>
    <t>ED - Planning Services</t>
  </si>
  <si>
    <t>Therakids</t>
  </si>
  <si>
    <t>Dr. Tim Roseburg</t>
  </si>
  <si>
    <t>Dr. Nick Osborne</t>
  </si>
  <si>
    <t>FGM Architects</t>
  </si>
  <si>
    <t>ED - Info Services leases</t>
  </si>
  <si>
    <t>American Imaging</t>
  </si>
  <si>
    <t>O&amp;M - Plant Services  - lease</t>
  </si>
  <si>
    <t>O&amp;M - Plant Services  - purchase</t>
  </si>
  <si>
    <t>Brady Pest</t>
  </si>
  <si>
    <t>Alleid Waste Service</t>
  </si>
  <si>
    <t>Kansas State</t>
  </si>
  <si>
    <t>Short Cuts</t>
  </si>
  <si>
    <t>AT&amp;T</t>
  </si>
  <si>
    <t>IMO Mobile Modular</t>
  </si>
  <si>
    <t>Randy Barber</t>
  </si>
  <si>
    <t>Freeburg #70</t>
  </si>
  <si>
    <t>Johnson Controls</t>
  </si>
  <si>
    <t>Environmental Consultants</t>
  </si>
  <si>
    <t>Trans - Pupil Trans Services - Purchased Services</t>
  </si>
  <si>
    <t>Tort- Tort Imunity - Purchased Services</t>
  </si>
  <si>
    <t>Smithton CCSD 130</t>
  </si>
  <si>
    <t>10-2100-300</t>
  </si>
  <si>
    <t>10-2630-300</t>
  </si>
  <si>
    <t>20-2540-300</t>
  </si>
  <si>
    <t>40-2550-300</t>
  </si>
  <si>
    <t>80-2300-300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</si>
</sst>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487">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57" fillId="20" borderId="0" xfId="0" applyFont="1" applyFill="1"/>
    <xf numFmtId="0" fontId="2" fillId="0" borderId="157" xfId="17" applyFont="1" applyBorder="1" applyAlignment="1" applyProtection="1">
      <alignment horizontal="left" vertical="top" wrapText="1"/>
      <protection locked="0"/>
    </xf>
    <xf numFmtId="0" fontId="2" fillId="0" borderId="157" xfId="17" applyFont="1" applyBorder="1" applyAlignment="1" applyProtection="1">
      <alignment vertical="top"/>
      <protection locked="0"/>
    </xf>
    <xf numFmtId="49" fontId="1" fillId="0" borderId="157" xfId="17" applyNumberFormat="1" applyFont="1" applyBorder="1" applyAlignment="1" applyProtection="1">
      <alignment horizontal="center" vertical="top"/>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1</xdr:col>
          <xdr:colOff>914400</xdr:colOff>
          <xdr:row>10</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topLeftCell="A10"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16" t="s">
        <v>405</v>
      </c>
      <c r="J1" s="2017"/>
      <c r="K1" s="2017"/>
      <c r="L1" s="2017"/>
      <c r="M1" s="2017"/>
      <c r="N1" s="2017"/>
      <c r="O1" s="2017"/>
      <c r="P1" s="2017"/>
      <c r="Q1" s="2017"/>
      <c r="R1" s="2017"/>
      <c r="S1" s="2017"/>
    </row>
    <row r="2" spans="1:28" ht="12" customHeight="1" x14ac:dyDescent="0.2">
      <c r="A2" s="47" t="s">
        <v>1993</v>
      </c>
      <c r="D2" s="48"/>
      <c r="I2" s="2018" t="s">
        <v>979</v>
      </c>
      <c r="J2" s="2017"/>
      <c r="K2" s="2017"/>
      <c r="L2" s="2017"/>
      <c r="M2" s="2017"/>
      <c r="N2" s="2017"/>
      <c r="O2" s="2017"/>
      <c r="P2" s="2017"/>
      <c r="Q2" s="2017"/>
      <c r="R2" s="2017"/>
      <c r="S2" s="2017"/>
    </row>
    <row r="3" spans="1:28" ht="12" customHeight="1" x14ac:dyDescent="0.2">
      <c r="A3" s="155" t="s">
        <v>1945</v>
      </c>
      <c r="B3" s="156"/>
      <c r="C3" s="156"/>
      <c r="D3" s="157"/>
      <c r="I3" s="2018" t="s">
        <v>52</v>
      </c>
      <c r="J3" s="2017"/>
      <c r="K3" s="2017"/>
      <c r="L3" s="2017"/>
      <c r="M3" s="2017"/>
      <c r="N3" s="2017"/>
      <c r="O3" s="2017"/>
      <c r="P3" s="2017"/>
      <c r="Q3" s="2017"/>
      <c r="R3" s="2017"/>
      <c r="S3" s="2017"/>
    </row>
    <row r="4" spans="1:28" ht="12" customHeight="1" x14ac:dyDescent="0.2">
      <c r="A4" s="37"/>
      <c r="I4" s="2018" t="s">
        <v>524</v>
      </c>
      <c r="J4" s="2017"/>
      <c r="K4" s="2017"/>
      <c r="L4" s="2017"/>
      <c r="M4" s="2017"/>
      <c r="N4" s="2017"/>
      <c r="O4" s="2017"/>
      <c r="P4" s="2017"/>
      <c r="Q4" s="2017"/>
      <c r="R4" s="2017"/>
      <c r="S4" s="2017"/>
    </row>
    <row r="5" spans="1:28" ht="14.1" customHeight="1" x14ac:dyDescent="0.2">
      <c r="B5" s="104" t="s">
        <v>2064</v>
      </c>
      <c r="C5" s="26" t="s">
        <v>910</v>
      </c>
      <c r="D5" s="84"/>
      <c r="E5" s="84"/>
      <c r="H5" s="38"/>
      <c r="I5" s="2025" t="s">
        <v>680</v>
      </c>
      <c r="J5" s="1970"/>
      <c r="K5" s="1970"/>
      <c r="L5" s="1970"/>
      <c r="M5" s="1970"/>
      <c r="N5" s="1970"/>
      <c r="O5" s="1970"/>
      <c r="P5" s="1970"/>
      <c r="Q5" s="1970"/>
      <c r="R5" s="1970"/>
      <c r="S5" s="1970"/>
    </row>
    <row r="6" spans="1:28" ht="14.1" customHeight="1" x14ac:dyDescent="0.2">
      <c r="B6" s="104"/>
      <c r="C6" s="26" t="s">
        <v>911</v>
      </c>
      <c r="D6" s="84"/>
      <c r="E6" s="84"/>
      <c r="I6" s="2024" t="s">
        <v>883</v>
      </c>
      <c r="J6" s="1970"/>
      <c r="K6" s="1970"/>
      <c r="L6" s="1970"/>
      <c r="M6" s="1970"/>
      <c r="N6" s="1970"/>
      <c r="O6" s="1970"/>
      <c r="P6" s="1970"/>
      <c r="Q6" s="1970"/>
      <c r="R6" s="1970"/>
      <c r="S6" s="1970"/>
    </row>
    <row r="7" spans="1:28" ht="12.2" customHeight="1" x14ac:dyDescent="0.2">
      <c r="I7" s="2019">
        <v>43646</v>
      </c>
      <c r="J7" s="2020"/>
      <c r="K7" s="2020"/>
      <c r="L7" s="2020"/>
      <c r="M7" s="2020"/>
      <c r="N7" s="2020"/>
      <c r="O7" s="2020"/>
      <c r="P7" s="2020"/>
      <c r="Q7" s="2020"/>
      <c r="R7" s="2020"/>
      <c r="S7" s="202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1" t="s">
        <v>674</v>
      </c>
      <c r="J9" s="2022"/>
      <c r="K9" s="2022"/>
      <c r="L9" s="2022"/>
      <c r="M9" s="2022"/>
      <c r="N9" s="2022"/>
      <c r="O9" s="2022"/>
      <c r="P9" s="2022"/>
      <c r="Q9" s="2022"/>
      <c r="R9" s="2022"/>
      <c r="S9" s="2023"/>
      <c r="T9" s="1966" t="s">
        <v>533</v>
      </c>
      <c r="U9" s="1967"/>
      <c r="V9" s="1967"/>
      <c r="W9" s="1967"/>
      <c r="X9" s="1967"/>
      <c r="Y9" s="1967"/>
      <c r="Z9" s="1967"/>
      <c r="AA9" s="1968"/>
    </row>
    <row r="10" spans="1:28" ht="13.5" customHeight="1" x14ac:dyDescent="0.2">
      <c r="A10" s="1975" t="s">
        <v>675</v>
      </c>
      <c r="B10" s="1976"/>
      <c r="C10" s="1976"/>
      <c r="D10" s="1976"/>
      <c r="E10" s="1976"/>
      <c r="F10" s="1976"/>
      <c r="G10" s="1976"/>
      <c r="H10" s="1977"/>
      <c r="I10" s="29"/>
      <c r="J10" s="30"/>
      <c r="K10" s="28"/>
      <c r="R10" s="30"/>
      <c r="S10" s="30"/>
      <c r="T10" s="1969"/>
      <c r="U10" s="1970"/>
      <c r="V10" s="1970"/>
      <c r="W10" s="1970"/>
      <c r="X10" s="1970"/>
      <c r="Y10" s="1970"/>
      <c r="Z10" s="1970"/>
      <c r="AA10" s="1971"/>
    </row>
    <row r="11" spans="1:28" ht="14.25" customHeight="1" x14ac:dyDescent="0.2">
      <c r="A11" s="1978" t="s">
        <v>955</v>
      </c>
      <c r="B11" s="1979"/>
      <c r="C11" s="1979"/>
      <c r="D11" s="1979"/>
      <c r="E11" s="1979"/>
      <c r="F11" s="1979"/>
      <c r="G11" s="1979"/>
      <c r="H11" s="1980"/>
      <c r="I11" s="27"/>
      <c r="J11" s="74"/>
      <c r="K11" s="27"/>
      <c r="O11" s="148" t="s">
        <v>2064</v>
      </c>
      <c r="P11" s="100" t="s">
        <v>201</v>
      </c>
      <c r="Q11" s="30"/>
      <c r="R11" s="28"/>
      <c r="S11" s="27"/>
      <c r="T11" s="1972"/>
      <c r="U11" s="1973"/>
      <c r="V11" s="1973"/>
      <c r="W11" s="1973"/>
      <c r="X11" s="1973"/>
      <c r="Y11" s="1973"/>
      <c r="Z11" s="1973"/>
      <c r="AA11" s="1974"/>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6">
        <v>50082130004</v>
      </c>
      <c r="B13" s="1987"/>
      <c r="C13" s="1987"/>
      <c r="D13" s="1987"/>
      <c r="E13" s="1987"/>
      <c r="F13" s="1987"/>
      <c r="G13" s="1987"/>
      <c r="H13" s="1988"/>
      <c r="I13" s="31"/>
      <c r="J13" s="30"/>
      <c r="K13" s="28"/>
      <c r="L13" s="30"/>
      <c r="M13" s="30"/>
      <c r="N13" s="30"/>
      <c r="O13" s="30"/>
      <c r="P13" s="30"/>
      <c r="Q13" s="30"/>
      <c r="R13" s="30"/>
      <c r="S13" s="30"/>
      <c r="T13" s="1991" t="s">
        <v>2066</v>
      </c>
      <c r="U13" s="1992"/>
      <c r="V13" s="1992"/>
      <c r="W13" s="1992"/>
      <c r="X13" s="1992"/>
      <c r="Y13" s="1993"/>
      <c r="Z13" s="1993"/>
      <c r="AA13" s="1994"/>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4" t="s">
        <v>2065</v>
      </c>
      <c r="B15" s="1989"/>
      <c r="C15" s="1989"/>
      <c r="D15" s="1989"/>
      <c r="E15" s="1989"/>
      <c r="F15" s="1989"/>
      <c r="G15" s="1989"/>
      <c r="H15" s="1990"/>
      <c r="T15" s="1952" t="s">
        <v>2067</v>
      </c>
      <c r="U15" s="1953"/>
      <c r="V15" s="1953"/>
      <c r="W15" s="1953"/>
      <c r="X15" s="1953"/>
      <c r="Y15" s="1995"/>
      <c r="Z15" s="1995"/>
      <c r="AA15" s="1996"/>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4" t="s">
        <v>2121</v>
      </c>
      <c r="B17" s="2014"/>
      <c r="C17" s="2014"/>
      <c r="D17" s="2014"/>
      <c r="E17" s="2014"/>
      <c r="F17" s="2014"/>
      <c r="G17" s="2014"/>
      <c r="H17" s="2015"/>
      <c r="T17" s="2001" t="s">
        <v>2068</v>
      </c>
      <c r="U17" s="2002"/>
      <c r="V17" s="2002"/>
      <c r="W17" s="2002"/>
      <c r="X17" s="2002"/>
      <c r="Y17" s="2002"/>
      <c r="Z17" s="2002"/>
      <c r="AA17" s="2003"/>
    </row>
    <row r="18" spans="1:27" ht="13.5" customHeight="1" x14ac:dyDescent="0.2">
      <c r="A18" s="85" t="s">
        <v>530</v>
      </c>
      <c r="B18" s="76"/>
      <c r="C18" s="72"/>
      <c r="D18" s="76"/>
      <c r="E18" s="76"/>
      <c r="F18" s="76"/>
      <c r="G18" s="76"/>
      <c r="H18" s="56"/>
      <c r="I18" s="2011" t="s">
        <v>676</v>
      </c>
      <c r="J18" s="2012"/>
      <c r="K18" s="2012"/>
      <c r="L18" s="2012"/>
      <c r="M18" s="2012"/>
      <c r="N18" s="2012"/>
      <c r="O18" s="2012"/>
      <c r="P18" s="2012"/>
      <c r="Q18" s="2012"/>
      <c r="R18" s="2012"/>
      <c r="S18" s="2013"/>
      <c r="T18" s="85" t="s">
        <v>711</v>
      </c>
      <c r="U18" s="51"/>
      <c r="V18" s="72"/>
      <c r="W18" s="50"/>
      <c r="X18" s="85" t="s">
        <v>266</v>
      </c>
      <c r="Y18" s="81"/>
      <c r="Z18" s="159" t="s">
        <v>677</v>
      </c>
      <c r="AA18" s="46"/>
    </row>
    <row r="19" spans="1:27" ht="13.5" customHeight="1" x14ac:dyDescent="0.2">
      <c r="A19" s="1984" t="s">
        <v>2073</v>
      </c>
      <c r="B19" s="1985"/>
      <c r="C19" s="1985"/>
      <c r="D19" s="1985"/>
      <c r="E19" s="1985"/>
      <c r="F19" s="1985"/>
      <c r="G19" s="1985"/>
      <c r="H19" s="1983"/>
      <c r="I19" s="30"/>
      <c r="J19" s="99"/>
      <c r="K19" s="40"/>
      <c r="L19" s="38"/>
      <c r="M19" s="112" t="s">
        <v>315</v>
      </c>
      <c r="P19" s="27"/>
      <c r="Q19" s="27"/>
      <c r="R19" s="27"/>
      <c r="S19" s="31"/>
      <c r="T19" s="1984" t="s">
        <v>2069</v>
      </c>
      <c r="U19" s="1982"/>
      <c r="V19" s="1982"/>
      <c r="W19" s="1983"/>
      <c r="X19" s="1999" t="s">
        <v>2070</v>
      </c>
      <c r="Y19" s="2000"/>
      <c r="Z19" s="1997">
        <v>62236</v>
      </c>
      <c r="AA19" s="1998"/>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1" t="s">
        <v>2074</v>
      </c>
      <c r="B21" s="1982"/>
      <c r="C21" s="1982"/>
      <c r="D21" s="1982"/>
      <c r="E21" s="1982"/>
      <c r="F21" s="1982"/>
      <c r="G21" s="1982"/>
      <c r="H21" s="1983"/>
      <c r="I21" s="2007" t="s">
        <v>678</v>
      </c>
      <c r="J21" s="1970"/>
      <c r="K21" s="1970"/>
      <c r="L21" s="1970"/>
      <c r="M21" s="1970"/>
      <c r="N21" s="1970"/>
      <c r="O21" s="1970"/>
      <c r="P21" s="1970"/>
      <c r="Q21" s="1970"/>
      <c r="R21" s="1970"/>
      <c r="S21" s="1971"/>
      <c r="T21" s="1949" t="s">
        <v>2071</v>
      </c>
      <c r="U21" s="1950"/>
      <c r="V21" s="1950"/>
      <c r="W21" s="1950"/>
      <c r="X21" s="1963" t="s">
        <v>2072</v>
      </c>
      <c r="Y21" s="1964"/>
      <c r="Z21" s="1964"/>
      <c r="AA21" s="1965"/>
    </row>
    <row r="22" spans="1:27" ht="13.5" customHeight="1" x14ac:dyDescent="0.2">
      <c r="A22" s="87" t="s">
        <v>531</v>
      </c>
      <c r="B22" s="59"/>
      <c r="C22" s="59"/>
      <c r="D22" s="59"/>
      <c r="E22" s="59"/>
      <c r="F22" s="59"/>
      <c r="G22" s="59"/>
      <c r="H22" s="60"/>
      <c r="I22" s="2008" t="s">
        <v>1429</v>
      </c>
      <c r="J22" s="2009"/>
      <c r="K22" s="2009"/>
      <c r="L22" s="2009"/>
      <c r="M22" s="2009"/>
      <c r="N22" s="2009"/>
      <c r="O22" s="2009"/>
      <c r="P22" s="2009"/>
      <c r="Q22" s="2009"/>
      <c r="R22" s="2009"/>
      <c r="S22" s="2010"/>
      <c r="T22" s="85" t="s">
        <v>1516</v>
      </c>
      <c r="U22" s="51"/>
      <c r="V22" s="72"/>
      <c r="W22" s="51"/>
      <c r="X22" s="160" t="s">
        <v>1318</v>
      </c>
      <c r="Z22" s="45"/>
      <c r="AA22" s="46"/>
    </row>
    <row r="23" spans="1:27" ht="13.5" customHeight="1" x14ac:dyDescent="0.2">
      <c r="A23" s="2004" t="s">
        <v>2077</v>
      </c>
      <c r="B23" s="2005"/>
      <c r="C23" s="2005"/>
      <c r="D23" s="2005"/>
      <c r="E23" s="2005"/>
      <c r="F23" s="2005"/>
      <c r="G23" s="2005"/>
      <c r="H23" s="2006"/>
      <c r="T23" s="1944" t="s">
        <v>2090</v>
      </c>
      <c r="U23" s="1945"/>
      <c r="V23" s="1945"/>
      <c r="W23" s="1945"/>
      <c r="X23" s="1960">
        <v>44530</v>
      </c>
      <c r="Y23" s="1961"/>
      <c r="Z23" s="1961"/>
      <c r="AA23" s="1962"/>
    </row>
    <row r="24" spans="1:27" ht="14.1" customHeight="1" x14ac:dyDescent="0.2">
      <c r="A24" s="88" t="s">
        <v>677</v>
      </c>
      <c r="B24" s="49"/>
      <c r="C24" s="49"/>
      <c r="D24" s="49"/>
      <c r="E24" s="49"/>
      <c r="F24" s="49"/>
      <c r="G24" s="49"/>
      <c r="H24" s="61"/>
      <c r="J24" s="2046">
        <f>IF(B5="x",IF(AUDITCHECK!D29="AFR form Incomplete.","",IF(AUDITCHECK!D29="Deficit reduction plan is required.","School District must complete a deficit reduction plan in the 2019-2020 Budget",)),"")</f>
        <v>0</v>
      </c>
      <c r="K24" s="2046"/>
      <c r="L24" s="2046"/>
      <c r="M24" s="2046"/>
      <c r="N24" s="2046"/>
      <c r="O24" s="2046"/>
      <c r="P24" s="2046"/>
      <c r="Q24" s="2046"/>
      <c r="R24" s="2046"/>
      <c r="S24" s="2047"/>
      <c r="T24" s="105" t="s">
        <v>531</v>
      </c>
      <c r="U24" s="106"/>
      <c r="V24" s="106"/>
      <c r="W24" s="106"/>
      <c r="X24" s="107"/>
      <c r="Y24" s="107"/>
      <c r="Z24" s="107"/>
      <c r="AA24" s="108"/>
    </row>
    <row r="25" spans="1:27" ht="14.1" customHeight="1" x14ac:dyDescent="0.2">
      <c r="A25" s="1981">
        <v>62285</v>
      </c>
      <c r="B25" s="1982"/>
      <c r="C25" s="1982"/>
      <c r="D25" s="1982"/>
      <c r="E25" s="1982"/>
      <c r="F25" s="1982"/>
      <c r="G25" s="1982"/>
      <c r="H25" s="1983"/>
      <c r="I25" s="113"/>
      <c r="J25" s="2048"/>
      <c r="K25" s="2048"/>
      <c r="L25" s="2048"/>
      <c r="M25" s="2048"/>
      <c r="N25" s="2048"/>
      <c r="O25" s="2048"/>
      <c r="P25" s="2048"/>
      <c r="Q25" s="2048"/>
      <c r="R25" s="2048"/>
      <c r="S25" s="2049"/>
      <c r="T25" s="1941"/>
      <c r="U25" s="1942"/>
      <c r="V25" s="1942"/>
      <c r="W25" s="1942"/>
      <c r="X25" s="1942"/>
      <c r="Y25" s="1942"/>
      <c r="Z25" s="1942"/>
      <c r="AA25" s="1943"/>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39" t="s">
        <v>1511</v>
      </c>
      <c r="J27" s="2012"/>
      <c r="K27" s="2012"/>
      <c r="L27" s="2012"/>
      <c r="M27" s="2012"/>
      <c r="N27" s="2012"/>
      <c r="O27" s="2012"/>
      <c r="P27" s="2012"/>
      <c r="Q27" s="2012"/>
      <c r="R27" s="2012"/>
      <c r="S27" s="2013"/>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2064</v>
      </c>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48" t="s">
        <v>2064</v>
      </c>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5"/>
      <c r="Q35" s="1982"/>
      <c r="R35" s="198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4" t="s">
        <v>2075</v>
      </c>
      <c r="B38" s="2014"/>
      <c r="C38" s="2014"/>
      <c r="D38" s="2014"/>
      <c r="E38" s="2014"/>
      <c r="F38" s="1982"/>
      <c r="G38" s="1982"/>
      <c r="H38" s="1983"/>
      <c r="I38" s="2033"/>
      <c r="J38" s="1953"/>
      <c r="K38" s="1953"/>
      <c r="L38" s="1953"/>
      <c r="M38" s="1953"/>
      <c r="N38" s="1953"/>
      <c r="O38" s="1953"/>
      <c r="P38" s="1954"/>
      <c r="Q38" s="1954"/>
      <c r="R38" s="1954"/>
      <c r="S38" s="1955"/>
      <c r="T38" s="1952" t="s">
        <v>2080</v>
      </c>
      <c r="U38" s="1953"/>
      <c r="V38" s="1953"/>
      <c r="W38" s="1953"/>
      <c r="X38" s="1954"/>
      <c r="Y38" s="1954"/>
      <c r="Z38" s="1954"/>
      <c r="AA38" s="1955"/>
    </row>
    <row r="39" spans="1:27" ht="12" customHeight="1" x14ac:dyDescent="0.2">
      <c r="A39" s="2037" t="s">
        <v>531</v>
      </c>
      <c r="B39" s="2038"/>
      <c r="C39" s="72"/>
      <c r="D39" s="69"/>
      <c r="E39" s="69"/>
      <c r="F39" s="79"/>
      <c r="G39" s="69"/>
      <c r="H39" s="56"/>
      <c r="I39" s="2037" t="s">
        <v>531</v>
      </c>
      <c r="J39" s="2038"/>
      <c r="K39" s="2038"/>
      <c r="L39" s="2038"/>
      <c r="M39" s="2038"/>
      <c r="N39" s="67"/>
      <c r="O39" s="72"/>
      <c r="P39" s="72"/>
      <c r="Q39" s="78"/>
      <c r="R39" s="72"/>
      <c r="S39" s="56"/>
      <c r="T39" s="72" t="s">
        <v>531</v>
      </c>
      <c r="U39" s="51"/>
      <c r="V39" s="72"/>
      <c r="W39" s="50"/>
      <c r="X39" s="78"/>
      <c r="Y39" s="45"/>
      <c r="Z39" s="45"/>
      <c r="AA39" s="46"/>
    </row>
    <row r="40" spans="1:27" ht="13.5" customHeight="1" x14ac:dyDescent="0.2">
      <c r="A40" s="2040" t="s">
        <v>2076</v>
      </c>
      <c r="B40" s="2041"/>
      <c r="C40" s="2042"/>
      <c r="D40" s="2042"/>
      <c r="E40" s="2042"/>
      <c r="F40" s="2043"/>
      <c r="G40" s="2043"/>
      <c r="H40" s="2044"/>
      <c r="I40" s="1956"/>
      <c r="J40" s="1958"/>
      <c r="K40" s="1958"/>
      <c r="L40" s="1958"/>
      <c r="M40" s="1958"/>
      <c r="N40" s="1958"/>
      <c r="O40" s="1958"/>
      <c r="P40" s="1958"/>
      <c r="Q40" s="1958"/>
      <c r="R40" s="1958"/>
      <c r="S40" s="1959"/>
      <c r="T40" s="1956" t="s">
        <v>2081</v>
      </c>
      <c r="U40" s="1957"/>
      <c r="V40" s="1958"/>
      <c r="W40" s="1958"/>
      <c r="X40" s="1958"/>
      <c r="Y40" s="1958"/>
      <c r="Z40" s="1958"/>
      <c r="AA40" s="1959"/>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30" t="s">
        <v>2078</v>
      </c>
      <c r="B42" s="2031"/>
      <c r="C42" s="2032"/>
      <c r="D42" s="2045" t="s">
        <v>2079</v>
      </c>
      <c r="E42" s="2031"/>
      <c r="F42" s="2031"/>
      <c r="G42" s="2031"/>
      <c r="H42" s="2032"/>
      <c r="I42" s="1951"/>
      <c r="J42" s="1947"/>
      <c r="K42" s="1947"/>
      <c r="L42" s="1947"/>
      <c r="M42" s="1947"/>
      <c r="N42" s="1947"/>
      <c r="O42" s="1948"/>
      <c r="P42" s="1946"/>
      <c r="Q42" s="1947"/>
      <c r="R42" s="1947"/>
      <c r="S42" s="1948"/>
      <c r="T42" s="1951" t="s">
        <v>2082</v>
      </c>
      <c r="U42" s="1947"/>
      <c r="V42" s="1947"/>
      <c r="W42" s="1948"/>
      <c r="X42" s="1946" t="s">
        <v>2083</v>
      </c>
      <c r="Y42" s="1947"/>
      <c r="Z42" s="1947"/>
      <c r="AA42" s="1948"/>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4"/>
      <c r="B44" s="2035"/>
      <c r="C44" s="2035"/>
      <c r="D44" s="2035"/>
      <c r="E44" s="2035"/>
      <c r="F44" s="2035"/>
      <c r="G44" s="2035"/>
      <c r="H44" s="2036"/>
      <c r="I44" s="2026"/>
      <c r="J44" s="2028"/>
      <c r="K44" s="2028"/>
      <c r="L44" s="2028"/>
      <c r="M44" s="2028"/>
      <c r="N44" s="2028"/>
      <c r="O44" s="2028"/>
      <c r="P44" s="2028"/>
      <c r="Q44" s="2028"/>
      <c r="R44" s="2028"/>
      <c r="S44" s="2029"/>
      <c r="T44" s="2026"/>
      <c r="U44" s="2027"/>
      <c r="V44" s="2027"/>
      <c r="W44" s="2027"/>
      <c r="X44" s="2027"/>
      <c r="Y44" s="2027"/>
      <c r="Z44" s="2028"/>
      <c r="AA44" s="2029"/>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43" zoomScale="110" zoomScaleNormal="110" workbookViewId="0">
      <selection activeCell="I22" sqref="I22:S2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3" t="s">
        <v>1065</v>
      </c>
      <c r="B35" s="2053"/>
      <c r="C35" s="2053"/>
      <c r="D35" s="2053"/>
      <c r="E35" s="2053"/>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0" t="s">
        <v>691</v>
      </c>
      <c r="B40" s="2050"/>
      <c r="C40" s="2050"/>
      <c r="D40" s="2050"/>
      <c r="E40" s="2050"/>
    </row>
    <row r="41" spans="1:5" x14ac:dyDescent="0.2">
      <c r="A41" s="2051" t="s">
        <v>1608</v>
      </c>
      <c r="B41" s="2051"/>
      <c r="C41" s="2051"/>
      <c r="D41" s="2051"/>
      <c r="E41" s="2051"/>
    </row>
    <row r="42" spans="1:5" ht="12.75" customHeight="1" x14ac:dyDescent="0.2">
      <c r="A42" s="2052" t="s">
        <v>1022</v>
      </c>
      <c r="B42" s="2052"/>
      <c r="C42" s="2052"/>
      <c r="D42" s="2052"/>
      <c r="E42" s="2052"/>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9" colorId="8" zoomScale="110" zoomScaleNormal="110" workbookViewId="0">
      <selection activeCell="T24" sqref="T2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4" t="s">
        <v>1168</v>
      </c>
      <c r="B2" s="2054"/>
      <c r="C2" s="2054"/>
      <c r="D2" s="2054"/>
      <c r="E2" s="2054"/>
      <c r="F2" s="2054"/>
      <c r="G2" s="2054"/>
      <c r="H2" s="2054"/>
      <c r="I2" s="2054"/>
      <c r="J2" s="2054"/>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8" t="s">
        <v>1633</v>
      </c>
      <c r="B35" s="2069"/>
      <c r="C35" s="2069"/>
      <c r="D35" s="2069"/>
      <c r="E35" s="2070"/>
      <c r="F35" s="2070"/>
      <c r="G35" s="2070"/>
      <c r="H35" s="2070"/>
      <c r="I35" s="2070"/>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8" t="s">
        <v>313</v>
      </c>
      <c r="B47" s="2071"/>
      <c r="C47" s="2071"/>
      <c r="D47" s="2071"/>
      <c r="E47" s="2072"/>
      <c r="F47" s="2072"/>
      <c r="G47" s="2072"/>
      <c r="H47" s="2072"/>
      <c r="I47" s="2072"/>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5"/>
      <c r="C57" s="2076"/>
      <c r="D57" s="2076"/>
      <c r="E57" s="2076"/>
      <c r="F57" s="2076"/>
      <c r="G57" s="2076"/>
      <c r="H57" s="2076"/>
      <c r="I57" s="2076"/>
      <c r="J57" s="2077"/>
    </row>
    <row r="58" spans="1:10" s="181" customFormat="1" x14ac:dyDescent="0.2">
      <c r="A58" s="253"/>
      <c r="B58" s="2078"/>
      <c r="C58" s="2079"/>
      <c r="D58" s="2079"/>
      <c r="E58" s="2079"/>
      <c r="F58" s="2079"/>
      <c r="G58" s="2079"/>
      <c r="H58" s="2079"/>
      <c r="I58" s="2079"/>
      <c r="J58" s="2080"/>
    </row>
    <row r="59" spans="1:10" s="181" customFormat="1" x14ac:dyDescent="0.2">
      <c r="A59" s="253"/>
      <c r="B59" s="2078"/>
      <c r="C59" s="2079"/>
      <c r="D59" s="2079"/>
      <c r="E59" s="2079"/>
      <c r="F59" s="2079"/>
      <c r="G59" s="2079"/>
      <c r="H59" s="2079"/>
      <c r="I59" s="2079"/>
      <c r="J59" s="2080"/>
    </row>
    <row r="60" spans="1:10" s="181" customFormat="1" x14ac:dyDescent="0.2">
      <c r="A60" s="253"/>
      <c r="B60" s="2078"/>
      <c r="C60" s="2079"/>
      <c r="D60" s="2079"/>
      <c r="E60" s="2079"/>
      <c r="F60" s="2079"/>
      <c r="G60" s="2079"/>
      <c r="H60" s="2079"/>
      <c r="I60" s="2079"/>
      <c r="J60" s="2080"/>
    </row>
    <row r="61" spans="1:10" s="181" customFormat="1" x14ac:dyDescent="0.2">
      <c r="A61" s="253"/>
      <c r="B61" s="2078"/>
      <c r="C61" s="2079"/>
      <c r="D61" s="2079"/>
      <c r="E61" s="2079"/>
      <c r="F61" s="2079"/>
      <c r="G61" s="2079"/>
      <c r="H61" s="2079"/>
      <c r="I61" s="2079"/>
      <c r="J61" s="2080"/>
    </row>
    <row r="62" spans="1:10" s="181" customFormat="1" x14ac:dyDescent="0.2">
      <c r="A62" s="253"/>
      <c r="B62" s="2078"/>
      <c r="C62" s="2079"/>
      <c r="D62" s="2079"/>
      <c r="E62" s="2079"/>
      <c r="F62" s="2079"/>
      <c r="G62" s="2079"/>
      <c r="H62" s="2079"/>
      <c r="I62" s="2079"/>
      <c r="J62" s="2080"/>
    </row>
    <row r="63" spans="1:10" s="181" customFormat="1" x14ac:dyDescent="0.2">
      <c r="A63" s="253"/>
      <c r="B63" s="2078"/>
      <c r="C63" s="2079"/>
      <c r="D63" s="2079"/>
      <c r="E63" s="2079"/>
      <c r="F63" s="2079"/>
      <c r="G63" s="2079"/>
      <c r="H63" s="2079"/>
      <c r="I63" s="2079"/>
      <c r="J63" s="2080"/>
    </row>
    <row r="64" spans="1:10" s="181" customFormat="1" x14ac:dyDescent="0.2">
      <c r="A64" s="253"/>
      <c r="B64" s="2078"/>
      <c r="C64" s="2079"/>
      <c r="D64" s="2079"/>
      <c r="E64" s="2079"/>
      <c r="F64" s="2079"/>
      <c r="G64" s="2079"/>
      <c r="H64" s="2079"/>
      <c r="I64" s="2079"/>
      <c r="J64" s="2080"/>
    </row>
    <row r="65" spans="1:10" s="181" customFormat="1" x14ac:dyDescent="0.2">
      <c r="A65" s="253"/>
      <c r="B65" s="2078"/>
      <c r="C65" s="2079"/>
      <c r="D65" s="2079"/>
      <c r="E65" s="2079"/>
      <c r="F65" s="2079"/>
      <c r="G65" s="2079"/>
      <c r="H65" s="2079"/>
      <c r="I65" s="2079"/>
      <c r="J65" s="2080"/>
    </row>
    <row r="66" spans="1:10" s="181" customFormat="1" x14ac:dyDescent="0.2">
      <c r="A66" s="253"/>
      <c r="B66" s="2078"/>
      <c r="C66" s="2079"/>
      <c r="D66" s="2079"/>
      <c r="E66" s="2079"/>
      <c r="F66" s="2079"/>
      <c r="G66" s="2079"/>
      <c r="H66" s="2079"/>
      <c r="I66" s="2079"/>
      <c r="J66" s="2080"/>
    </row>
    <row r="67" spans="1:10" s="181" customFormat="1" ht="9" customHeight="1" x14ac:dyDescent="0.2">
      <c r="A67" s="254"/>
      <c r="B67" s="2081"/>
      <c r="C67" s="2082"/>
      <c r="D67" s="2082"/>
      <c r="E67" s="2082"/>
      <c r="F67" s="2082"/>
      <c r="G67" s="2082"/>
      <c r="H67" s="2082"/>
      <c r="I67" s="2082"/>
      <c r="J67" s="2083"/>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8" t="s">
        <v>1323</v>
      </c>
      <c r="B70" s="2071"/>
      <c r="C70" s="2071"/>
      <c r="D70" s="2071"/>
      <c r="E70" s="2072"/>
      <c r="F70" s="2072"/>
      <c r="G70" s="2072"/>
      <c r="H70" s="2072"/>
      <c r="I70" s="2072"/>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3" t="s">
        <v>1320</v>
      </c>
      <c r="B83" s="2073"/>
      <c r="C83" s="2073"/>
      <c r="D83" s="2074"/>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5"/>
      <c r="C102" s="2056"/>
      <c r="D102" s="2056"/>
      <c r="E102" s="2056"/>
      <c r="F102" s="2056"/>
      <c r="G102" s="2056"/>
      <c r="H102" s="2056"/>
      <c r="I102" s="2057"/>
    </row>
    <row r="103" spans="1:9" s="181" customFormat="1" ht="11.25" customHeight="1" x14ac:dyDescent="0.2">
      <c r="A103" s="316"/>
      <c r="B103" s="2058"/>
      <c r="C103" s="2059"/>
      <c r="D103" s="2059"/>
      <c r="E103" s="2059"/>
      <c r="F103" s="2059"/>
      <c r="G103" s="2059"/>
      <c r="H103" s="2059"/>
      <c r="I103" s="2060"/>
    </row>
    <row r="104" spans="1:9" s="181" customFormat="1" ht="11.25" customHeight="1" x14ac:dyDescent="0.2">
      <c r="A104" s="316"/>
      <c r="B104" s="2058"/>
      <c r="C104" s="2059"/>
      <c r="D104" s="2059"/>
      <c r="E104" s="2059"/>
      <c r="F104" s="2059"/>
      <c r="G104" s="2059"/>
      <c r="H104" s="2059"/>
      <c r="I104" s="2060"/>
    </row>
    <row r="105" spans="1:9" s="181" customFormat="1" x14ac:dyDescent="0.2">
      <c r="A105" s="316"/>
      <c r="B105" s="2058"/>
      <c r="C105" s="2059"/>
      <c r="D105" s="2059"/>
      <c r="E105" s="2059"/>
      <c r="F105" s="2059"/>
      <c r="G105" s="2059"/>
      <c r="H105" s="2059"/>
      <c r="I105" s="2060"/>
    </row>
    <row r="106" spans="1:9" s="181" customFormat="1" ht="11.25" customHeight="1" x14ac:dyDescent="0.2">
      <c r="A106" s="316"/>
      <c r="B106" s="2058"/>
      <c r="C106" s="2059"/>
      <c r="D106" s="2059"/>
      <c r="E106" s="2059"/>
      <c r="F106" s="2059"/>
      <c r="G106" s="2059"/>
      <c r="H106" s="2059"/>
      <c r="I106" s="2060"/>
    </row>
    <row r="107" spans="1:9" s="181" customFormat="1" ht="11.25" customHeight="1" x14ac:dyDescent="0.2">
      <c r="A107" s="316"/>
      <c r="B107" s="2058"/>
      <c r="C107" s="2059"/>
      <c r="D107" s="2059"/>
      <c r="E107" s="2059"/>
      <c r="F107" s="2059"/>
      <c r="G107" s="2059"/>
      <c r="H107" s="2059"/>
      <c r="I107" s="2060"/>
    </row>
    <row r="108" spans="1:9" s="181" customFormat="1" ht="11.25" customHeight="1" x14ac:dyDescent="0.2">
      <c r="A108" s="316"/>
      <c r="B108" s="2058"/>
      <c r="C108" s="2059"/>
      <c r="D108" s="2059"/>
      <c r="E108" s="2059"/>
      <c r="F108" s="2059"/>
      <c r="G108" s="2059"/>
      <c r="H108" s="2059"/>
      <c r="I108" s="2060"/>
    </row>
    <row r="109" spans="1:9" s="181" customFormat="1" ht="11.25" customHeight="1" x14ac:dyDescent="0.2">
      <c r="A109" s="316"/>
      <c r="B109" s="2058"/>
      <c r="C109" s="2059"/>
      <c r="D109" s="2059"/>
      <c r="E109" s="2059"/>
      <c r="F109" s="2059"/>
      <c r="G109" s="2059"/>
      <c r="H109" s="2059"/>
      <c r="I109" s="2060"/>
    </row>
    <row r="110" spans="1:9" s="181" customFormat="1" ht="11.25" customHeight="1" x14ac:dyDescent="0.2">
      <c r="A110" s="316"/>
      <c r="B110" s="2058"/>
      <c r="C110" s="2059"/>
      <c r="D110" s="2059"/>
      <c r="E110" s="2059"/>
      <c r="F110" s="2059"/>
      <c r="G110" s="2059"/>
      <c r="H110" s="2059"/>
      <c r="I110" s="2060"/>
    </row>
    <row r="111" spans="1:9" s="181" customFormat="1" ht="11.25" customHeight="1" x14ac:dyDescent="0.2">
      <c r="A111" s="316"/>
      <c r="B111" s="2058"/>
      <c r="C111" s="2059"/>
      <c r="D111" s="2059"/>
      <c r="E111" s="2059"/>
      <c r="F111" s="2059"/>
      <c r="G111" s="2059"/>
      <c r="H111" s="2059"/>
      <c r="I111" s="2060"/>
    </row>
    <row r="112" spans="1:9" s="181" customFormat="1" ht="11.25" customHeight="1" x14ac:dyDescent="0.2">
      <c r="A112" s="316"/>
      <c r="B112" s="2061"/>
      <c r="C112" s="2062"/>
      <c r="D112" s="2062"/>
      <c r="E112" s="2062"/>
      <c r="F112" s="2062"/>
      <c r="G112" s="2062"/>
      <c r="H112" s="2062"/>
      <c r="I112" s="2063"/>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4" t="s">
        <v>2085</v>
      </c>
      <c r="D114" s="2064"/>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5" t="s">
        <v>1330</v>
      </c>
      <c r="D117" s="2066"/>
      <c r="E117" s="2067"/>
      <c r="F117" s="2067"/>
      <c r="G117" s="2067"/>
      <c r="H117" s="2067"/>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I22" sqref="I22:S2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4" t="s">
        <v>386</v>
      </c>
      <c r="B1" s="2084"/>
      <c r="C1" s="2084"/>
      <c r="D1" s="2084"/>
      <c r="E1" s="2084"/>
      <c r="F1" s="2084"/>
      <c r="G1" s="2084"/>
      <c r="H1" s="2084"/>
      <c r="I1" s="2084"/>
      <c r="J1" s="2084"/>
      <c r="K1" s="2084"/>
      <c r="L1" s="2084"/>
      <c r="M1" s="2084"/>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100420958</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2E-3</v>
      </c>
      <c r="E10" s="356" t="s">
        <v>1005</v>
      </c>
      <c r="F10" s="355">
        <v>2.5000000000000001E-3</v>
      </c>
      <c r="G10" s="356" t="s">
        <v>1005</v>
      </c>
      <c r="H10" s="355">
        <v>1.1999999999999999E-3</v>
      </c>
      <c r="I10" s="356" t="s">
        <v>1006</v>
      </c>
      <c r="J10" s="1732">
        <f>ROUND(D10+F10+H10,5)</f>
        <v>5.7000000000000002E-3</v>
      </c>
      <c r="K10" s="222"/>
      <c r="L10" s="355">
        <v>5.0000000000000001E-4</v>
      </c>
      <c r="M10" s="222"/>
    </row>
    <row r="11" spans="1:14" ht="7.5" customHeight="1" x14ac:dyDescent="0.2">
      <c r="B11" s="222"/>
      <c r="C11" s="222"/>
      <c r="D11" s="2094" t="str">
        <f>IF(SUM(J10)&lt;=0.0999999,"","Enter the Tax Rates by moving the decimal two places to the left.")</f>
        <v/>
      </c>
      <c r="E11" s="2095"/>
      <c r="F11" s="2095"/>
      <c r="G11" s="2095"/>
      <c r="H11" s="2095"/>
      <c r="I11" s="2095"/>
      <c r="J11" s="2095"/>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4089011</v>
      </c>
      <c r="E16" s="356"/>
      <c r="F16" s="1733">
        <f>SUM('Acct Summary 7-8'!C17,'Acct Summary 7-8'!D17,'Acct Summary 7-8'!F17)</f>
        <v>4030556</v>
      </c>
      <c r="G16" s="356"/>
      <c r="H16" s="1733">
        <f>SUM(D16-F16)</f>
        <v>58455</v>
      </c>
      <c r="I16" s="222"/>
      <c r="J16" s="1733">
        <f>SUM('Acct Summary 7-8'!C81,'Acct Summary 7-8'!D81,'Acct Summary 7-8'!F81,'Acct Summary 7-8'!I81)</f>
        <v>3770450</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5">
        <f>IF(B31="X",(J7*0.069),IF(B32="X",(J7*0.138),"Enter x in a.or b."))</f>
        <v>6929046.1020000009</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270000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5"/>
      <c r="C54" s="2086"/>
      <c r="D54" s="2086"/>
      <c r="E54" s="2086"/>
      <c r="F54" s="2086"/>
      <c r="G54" s="2086"/>
      <c r="H54" s="2086"/>
      <c r="I54" s="2086"/>
      <c r="J54" s="2086"/>
      <c r="K54" s="2086"/>
      <c r="L54" s="2087"/>
      <c r="M54" s="380"/>
    </row>
    <row r="55" spans="1:13" ht="12.75" customHeight="1" x14ac:dyDescent="0.2">
      <c r="B55" s="2088"/>
      <c r="C55" s="2089"/>
      <c r="D55" s="2089"/>
      <c r="E55" s="2089"/>
      <c r="F55" s="2089"/>
      <c r="G55" s="2089"/>
      <c r="H55" s="2089"/>
      <c r="I55" s="2089"/>
      <c r="J55" s="2089"/>
      <c r="K55" s="2089"/>
      <c r="L55" s="2090"/>
      <c r="M55" s="380"/>
    </row>
    <row r="56" spans="1:13" ht="12.75" customHeight="1" x14ac:dyDescent="0.2">
      <c r="B56" s="2088"/>
      <c r="C56" s="2089"/>
      <c r="D56" s="2089"/>
      <c r="E56" s="2089"/>
      <c r="F56" s="2089"/>
      <c r="G56" s="2089"/>
      <c r="H56" s="2089"/>
      <c r="I56" s="2089"/>
      <c r="J56" s="2089"/>
      <c r="K56" s="2089"/>
      <c r="L56" s="2090"/>
      <c r="M56" s="222"/>
    </row>
    <row r="57" spans="1:13" ht="12.75" customHeight="1" x14ac:dyDescent="0.2">
      <c r="B57" s="2088"/>
      <c r="C57" s="2089"/>
      <c r="D57" s="2089"/>
      <c r="E57" s="2089"/>
      <c r="F57" s="2089"/>
      <c r="G57" s="2089"/>
      <c r="H57" s="2089"/>
      <c r="I57" s="2089"/>
      <c r="J57" s="2089"/>
      <c r="K57" s="2089"/>
      <c r="L57" s="2090"/>
      <c r="M57" s="222"/>
    </row>
    <row r="58" spans="1:13" x14ac:dyDescent="0.2">
      <c r="B58" s="2091"/>
      <c r="C58" s="2092"/>
      <c r="D58" s="2092"/>
      <c r="E58" s="2092"/>
      <c r="F58" s="2092"/>
      <c r="G58" s="2092"/>
      <c r="H58" s="2092"/>
      <c r="I58" s="2092"/>
      <c r="J58" s="2092"/>
      <c r="K58" s="2092"/>
      <c r="L58" s="2093"/>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6"/>
      <c r="D61" s="2097"/>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7" zoomScale="110" zoomScaleNormal="110" workbookViewId="0">
      <selection activeCell="I22" sqref="I22:S2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9"/>
      <c r="B1" s="2100"/>
      <c r="C1" s="2100"/>
      <c r="D1" s="384"/>
      <c r="E1" s="384"/>
      <c r="F1" s="384"/>
      <c r="G1" s="384"/>
      <c r="H1" s="384"/>
      <c r="I1" s="384"/>
      <c r="J1" s="384"/>
      <c r="K1" s="384"/>
      <c r="L1" s="384"/>
      <c r="M1" s="384"/>
      <c r="N1" s="384"/>
      <c r="O1" s="2099"/>
      <c r="P1" s="2100"/>
      <c r="Q1" s="2100"/>
    </row>
    <row r="2" spans="1:18" ht="15" x14ac:dyDescent="0.2">
      <c r="A2" s="2103" t="s">
        <v>556</v>
      </c>
      <c r="B2" s="2103"/>
      <c r="C2" s="2103"/>
      <c r="D2" s="2103"/>
      <c r="E2" s="2103"/>
      <c r="F2" s="2103"/>
      <c r="G2" s="2103"/>
      <c r="H2" s="2103"/>
      <c r="I2" s="2103"/>
      <c r="J2" s="2103"/>
      <c r="K2" s="2103"/>
      <c r="L2" s="2103"/>
      <c r="M2" s="2103"/>
      <c r="N2" s="2103"/>
      <c r="O2" s="2103"/>
      <c r="P2" s="2103"/>
      <c r="Q2" s="2103"/>
      <c r="R2" s="2103"/>
    </row>
    <row r="3" spans="1:18" ht="12.75" x14ac:dyDescent="0.2">
      <c r="A3" s="2104" t="s">
        <v>1413</v>
      </c>
      <c r="B3" s="2104"/>
      <c r="C3" s="2104"/>
      <c r="D3" s="2104"/>
      <c r="E3" s="2104"/>
      <c r="F3" s="2104"/>
      <c r="G3" s="2104"/>
      <c r="H3" s="2104"/>
      <c r="I3" s="2104"/>
      <c r="J3" s="2104"/>
      <c r="K3" s="2104"/>
      <c r="L3" s="2104"/>
      <c r="M3" s="2104"/>
      <c r="N3" s="2104"/>
      <c r="O3" s="2104"/>
      <c r="P3" s="2104"/>
      <c r="Q3" s="2104"/>
      <c r="R3" s="2104"/>
    </row>
    <row r="4" spans="1:18" x14ac:dyDescent="0.2">
      <c r="A4" s="2105" t="s">
        <v>1554</v>
      </c>
      <c r="B4" s="2105"/>
      <c r="C4" s="2105"/>
      <c r="D4" s="2105"/>
      <c r="E4" s="2105"/>
      <c r="F4" s="2105"/>
      <c r="G4" s="2105"/>
      <c r="H4" s="2105"/>
      <c r="I4" s="2105"/>
      <c r="J4" s="2105"/>
      <c r="K4" s="2105"/>
      <c r="L4" s="2105"/>
      <c r="M4" s="2105"/>
      <c r="N4" s="2105"/>
      <c r="O4" s="2105"/>
      <c r="P4" s="2105"/>
      <c r="Q4" s="2105"/>
      <c r="R4" s="2105"/>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Smithton CCSD 130</v>
      </c>
      <c r="E7" s="391"/>
      <c r="G7" s="252"/>
      <c r="H7" s="387"/>
      <c r="I7" s="387"/>
      <c r="J7" s="387"/>
      <c r="K7" s="387"/>
      <c r="L7" s="329"/>
      <c r="M7" s="329"/>
      <c r="N7" s="329"/>
      <c r="O7" s="329"/>
      <c r="P7" s="329"/>
    </row>
    <row r="8" spans="1:18" ht="12.75" x14ac:dyDescent="0.2">
      <c r="A8" s="329"/>
      <c r="B8" s="329"/>
      <c r="C8" s="389" t="s">
        <v>1125</v>
      </c>
      <c r="D8" s="392">
        <f>COVER!A13</f>
        <v>50082130004</v>
      </c>
      <c r="E8" s="393"/>
      <c r="G8" s="329"/>
      <c r="H8" s="329"/>
      <c r="I8" s="329"/>
      <c r="J8" s="329"/>
      <c r="K8" s="329"/>
      <c r="L8" s="329"/>
      <c r="M8" s="329"/>
      <c r="N8" s="329"/>
      <c r="O8" s="329"/>
      <c r="P8" s="329"/>
    </row>
    <row r="9" spans="1:18" ht="12.75" x14ac:dyDescent="0.2">
      <c r="A9" s="329"/>
      <c r="B9" s="329"/>
      <c r="C9" s="389" t="s">
        <v>713</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3770450</v>
      </c>
      <c r="I12" s="404"/>
      <c r="J12" s="404"/>
      <c r="K12" s="405">
        <f>TRUNC((H12/H13*100000),5)/100000</f>
        <v>0.92209338629999993</v>
      </c>
      <c r="L12" s="406"/>
      <c r="M12" s="360" t="s">
        <v>1144</v>
      </c>
      <c r="N12" s="360"/>
      <c r="O12" s="407">
        <v>0.35</v>
      </c>
      <c r="P12" s="218"/>
      <c r="Q12" s="218"/>
    </row>
    <row r="13" spans="1:18" s="408" customFormat="1" ht="12.75" x14ac:dyDescent="0.2">
      <c r="A13" s="218"/>
      <c r="B13" s="401"/>
      <c r="C13" s="2101" t="s">
        <v>1324</v>
      </c>
      <c r="D13" s="2102"/>
      <c r="E13" s="218"/>
      <c r="F13" s="409" t="s">
        <v>793</v>
      </c>
      <c r="G13" s="402"/>
      <c r="H13" s="403">
        <f>SUM('Acct Summary 7-8'!C8+'Acct Summary 7-8'!D8+'Acct Summary 7-8'!F8+'Acct Summary 7-8'!I8)+H14</f>
        <v>4089011</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4030556</v>
      </c>
      <c r="I17" s="404"/>
      <c r="J17" s="416"/>
      <c r="K17" s="405">
        <f>TRUNC((H17/H18*100000),5)/100000</f>
        <v>0.98570436709999998</v>
      </c>
      <c r="L17" s="406"/>
      <c r="M17" s="417" t="s">
        <v>1171</v>
      </c>
      <c r="O17" s="418" t="str">
        <f>IF(AND(O16="2", J20 &gt; 2),"1",IF(AND(O16 = "1", J20 &gt; 2),"2",IF(AND(O16="1", J20 &gt;1),"1","0")))</f>
        <v>0</v>
      </c>
      <c r="P17" s="218"/>
    </row>
    <row r="18" spans="1:18" s="408" customFormat="1" ht="11.25" x14ac:dyDescent="0.2">
      <c r="A18" s="218"/>
      <c r="B18" s="401"/>
      <c r="C18" s="2101" t="s">
        <v>1317</v>
      </c>
      <c r="D18" s="2102"/>
      <c r="E18" s="218"/>
      <c r="F18" s="419" t="s">
        <v>794</v>
      </c>
      <c r="G18" s="402"/>
      <c r="H18" s="403">
        <f>SUM('Acct Summary 7-8'!C8+'Acct Summary 7-8'!D8+'Acct Summary 7-8'!F8+'Acct Summary 7-8'!I8)+H19</f>
        <v>4089011</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098" t="s">
        <v>1412</v>
      </c>
      <c r="D24" s="2098"/>
      <c r="E24" s="218"/>
      <c r="F24" s="218" t="s">
        <v>445</v>
      </c>
      <c r="G24" s="402"/>
      <c r="H24" s="403">
        <f>SUM('Assets-Liab 5-6'!C4+'Assets-Liab 5-6'!D4+'Assets-Liab 5-6'!F4+'Assets-Liab 5-6'!I4+'Assets-Liab 5-6'!C5+'Assets-Liab 5-6'!D5+'Assets-Liab 5-6'!F5+'Assets-Liab 5-6'!I5)</f>
        <v>4464043</v>
      </c>
      <c r="I24" s="422"/>
      <c r="J24" s="422"/>
      <c r="K24" s="423">
        <f>TRUNC(((H24/H25*100000)/100000),2)</f>
        <v>398.71</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11195.988890000001</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486539.54151000001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270000</v>
      </c>
      <c r="I32" s="420"/>
      <c r="J32" s="420"/>
      <c r="K32" s="423">
        <f>TRUNC(100-((((H32/H33*100))*100)/100),2)</f>
        <v>96.1</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6929046.1020000009</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9" activePane="bottomLeft" state="frozen"/>
      <selection activeCell="I22" sqref="I22:S22"/>
      <selection pane="bottomLeft" activeCell="I22" sqref="I22:S2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6"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7"/>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8" t="s">
        <v>973</v>
      </c>
      <c r="B3" s="2109"/>
      <c r="C3" s="1559"/>
      <c r="D3" s="1560"/>
      <c r="E3" s="1560"/>
      <c r="F3" s="1560"/>
      <c r="G3" s="1560"/>
      <c r="H3" s="1560"/>
      <c r="I3" s="1560"/>
      <c r="J3" s="1560"/>
      <c r="K3" s="1560"/>
      <c r="L3" s="1560"/>
      <c r="M3" s="1561"/>
      <c r="N3" s="1562"/>
    </row>
    <row r="4" spans="1:14" ht="13.5" customHeight="1" x14ac:dyDescent="0.2">
      <c r="A4" s="463" t="s">
        <v>1651</v>
      </c>
      <c r="B4" s="464"/>
      <c r="C4" s="465">
        <v>1119429</v>
      </c>
      <c r="D4" s="466">
        <v>525959</v>
      </c>
      <c r="E4" s="466">
        <v>116778</v>
      </c>
      <c r="F4" s="466">
        <v>339472</v>
      </c>
      <c r="G4" s="466">
        <v>409875</v>
      </c>
      <c r="H4" s="466"/>
      <c r="I4" s="466">
        <v>14157</v>
      </c>
      <c r="J4" s="467">
        <v>275234</v>
      </c>
      <c r="K4" s="466">
        <v>358330</v>
      </c>
      <c r="L4" s="466">
        <v>86599</v>
      </c>
      <c r="M4" s="468"/>
      <c r="N4" s="469"/>
    </row>
    <row r="5" spans="1:14" x14ac:dyDescent="0.2">
      <c r="A5" s="463" t="s">
        <v>992</v>
      </c>
      <c r="B5" s="470">
        <v>120</v>
      </c>
      <c r="C5" s="465">
        <v>873349</v>
      </c>
      <c r="D5" s="466">
        <v>776587</v>
      </c>
      <c r="E5" s="466"/>
      <c r="F5" s="466">
        <v>311948</v>
      </c>
      <c r="G5" s="466"/>
      <c r="H5" s="466"/>
      <c r="I5" s="466">
        <v>503142</v>
      </c>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1992778</v>
      </c>
      <c r="D13" s="1737">
        <f t="shared" ref="D13:L13" si="0">SUM(D4:D12)</f>
        <v>1302546</v>
      </c>
      <c r="E13" s="1737">
        <f t="shared" si="0"/>
        <v>116778</v>
      </c>
      <c r="F13" s="1737">
        <f t="shared" si="0"/>
        <v>651420</v>
      </c>
      <c r="G13" s="1737">
        <f t="shared" si="0"/>
        <v>409875</v>
      </c>
      <c r="H13" s="1737">
        <f t="shared" si="0"/>
        <v>0</v>
      </c>
      <c r="I13" s="1737">
        <f t="shared" si="0"/>
        <v>517299</v>
      </c>
      <c r="J13" s="1737">
        <f t="shared" si="0"/>
        <v>275234</v>
      </c>
      <c r="K13" s="1737">
        <f t="shared" si="0"/>
        <v>358330</v>
      </c>
      <c r="L13" s="1737">
        <f t="shared" si="0"/>
        <v>86599</v>
      </c>
      <c r="M13" s="468"/>
      <c r="N13" s="469"/>
    </row>
    <row r="14" spans="1:14" ht="18" customHeight="1" thickTop="1" x14ac:dyDescent="0.2">
      <c r="A14" s="2110" t="s">
        <v>147</v>
      </c>
      <c r="B14" s="2111"/>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688913</v>
      </c>
      <c r="N16" s="484"/>
    </row>
    <row r="17" spans="1:14" s="485" customFormat="1" ht="12.75" customHeight="1" x14ac:dyDescent="0.2">
      <c r="A17" s="482" t="s">
        <v>1403</v>
      </c>
      <c r="B17" s="483">
        <v>230</v>
      </c>
      <c r="C17" s="477"/>
      <c r="D17" s="477"/>
      <c r="E17" s="477"/>
      <c r="F17" s="477"/>
      <c r="G17" s="477"/>
      <c r="H17" s="477"/>
      <c r="I17" s="477"/>
      <c r="J17" s="477"/>
      <c r="K17" s="477"/>
      <c r="L17" s="477"/>
      <c r="M17" s="467">
        <v>2981688</v>
      </c>
      <c r="N17" s="484"/>
    </row>
    <row r="18" spans="1:14" s="485" customFormat="1" ht="12.75" customHeight="1" x14ac:dyDescent="0.2">
      <c r="A18" s="482" t="s">
        <v>1404</v>
      </c>
      <c r="B18" s="483">
        <v>240</v>
      </c>
      <c r="C18" s="477"/>
      <c r="D18" s="477"/>
      <c r="E18" s="477"/>
      <c r="F18" s="477"/>
      <c r="G18" s="477"/>
      <c r="H18" s="477"/>
      <c r="I18" s="477"/>
      <c r="J18" s="477"/>
      <c r="K18" s="477"/>
      <c r="L18" s="477"/>
      <c r="M18" s="467"/>
      <c r="N18" s="484"/>
    </row>
    <row r="19" spans="1:14" s="485" customFormat="1" ht="12.75" customHeight="1" x14ac:dyDescent="0.2">
      <c r="A19" s="482" t="s">
        <v>1405</v>
      </c>
      <c r="B19" s="483">
        <v>250</v>
      </c>
      <c r="C19" s="477"/>
      <c r="D19" s="477"/>
      <c r="E19" s="477"/>
      <c r="F19" s="477"/>
      <c r="G19" s="477"/>
      <c r="H19" s="477"/>
      <c r="I19" s="477"/>
      <c r="J19" s="477"/>
      <c r="K19" s="477"/>
      <c r="L19" s="477"/>
      <c r="M19" s="467">
        <v>68735</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116778</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153222</v>
      </c>
    </row>
    <row r="23" spans="1:14" ht="13.5" customHeight="1" thickBot="1" x14ac:dyDescent="0.25">
      <c r="A23" s="1736" t="s">
        <v>643</v>
      </c>
      <c r="B23" s="1741"/>
      <c r="C23" s="468"/>
      <c r="D23" s="468"/>
      <c r="E23" s="468"/>
      <c r="F23" s="468"/>
      <c r="G23" s="468"/>
      <c r="H23" s="468"/>
      <c r="I23" s="468"/>
      <c r="J23" s="468"/>
      <c r="K23" s="468"/>
      <c r="L23" s="468"/>
      <c r="M23" s="1688">
        <f>SUM(M15:M22)</f>
        <v>3739336</v>
      </c>
      <c r="N23" s="1688">
        <f>SUM(N21:N22)</f>
        <v>270000</v>
      </c>
    </row>
    <row r="24" spans="1:14" ht="18" customHeight="1" thickTop="1" x14ac:dyDescent="0.2">
      <c r="A24" s="2112" t="s">
        <v>598</v>
      </c>
      <c r="B24" s="2113"/>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v>562673</v>
      </c>
      <c r="D32" s="492">
        <v>83566</v>
      </c>
      <c r="E32" s="474">
        <v>45070</v>
      </c>
      <c r="F32" s="474">
        <v>33426</v>
      </c>
      <c r="G32" s="474">
        <v>49944</v>
      </c>
      <c r="H32" s="474"/>
      <c r="I32" s="474">
        <v>13928</v>
      </c>
      <c r="J32" s="474">
        <v>109220</v>
      </c>
      <c r="K32" s="479">
        <v>13928</v>
      </c>
      <c r="L32" s="468"/>
      <c r="M32" s="468"/>
      <c r="N32" s="468"/>
    </row>
    <row r="33" spans="1:14" ht="13.5" customHeight="1" x14ac:dyDescent="0.2">
      <c r="A33" s="493" t="s">
        <v>303</v>
      </c>
      <c r="B33" s="491">
        <v>493</v>
      </c>
      <c r="C33" s="467"/>
      <c r="D33" s="467"/>
      <c r="E33" s="467"/>
      <c r="F33" s="467"/>
      <c r="G33" s="467"/>
      <c r="H33" s="467"/>
      <c r="I33" s="467"/>
      <c r="J33" s="467"/>
      <c r="K33" s="467"/>
      <c r="L33" s="467">
        <v>86599</v>
      </c>
      <c r="M33" s="468"/>
      <c r="N33" s="469"/>
    </row>
    <row r="34" spans="1:14" ht="13.5" customHeight="1" thickBot="1" x14ac:dyDescent="0.25">
      <c r="A34" s="1738" t="s">
        <v>654</v>
      </c>
      <c r="B34" s="1739"/>
      <c r="C34" s="1740">
        <f>SUM(C25:C33)</f>
        <v>562673</v>
      </c>
      <c r="D34" s="1740">
        <f t="shared" ref="D34:K34" si="1">SUM(D25:D33)</f>
        <v>83566</v>
      </c>
      <c r="E34" s="1740">
        <f t="shared" si="1"/>
        <v>45070</v>
      </c>
      <c r="F34" s="1740">
        <f t="shared" si="1"/>
        <v>33426</v>
      </c>
      <c r="G34" s="1740">
        <f t="shared" si="1"/>
        <v>49944</v>
      </c>
      <c r="H34" s="1740">
        <f t="shared" si="1"/>
        <v>0</v>
      </c>
      <c r="I34" s="1740">
        <f t="shared" si="1"/>
        <v>13928</v>
      </c>
      <c r="J34" s="1740">
        <f t="shared" si="1"/>
        <v>109220</v>
      </c>
      <c r="K34" s="1740">
        <f t="shared" si="1"/>
        <v>13928</v>
      </c>
      <c r="L34" s="1721">
        <f>SUM(L33)</f>
        <v>86599</v>
      </c>
      <c r="M34" s="468"/>
      <c r="N34" s="480"/>
    </row>
    <row r="35" spans="1:14" ht="18" customHeight="1" thickTop="1" x14ac:dyDescent="0.2">
      <c r="A35" s="2114" t="s">
        <v>529</v>
      </c>
      <c r="B35" s="2115"/>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270000</v>
      </c>
    </row>
    <row r="37" spans="1:14" ht="13.5" thickBot="1" x14ac:dyDescent="0.25">
      <c r="A37" s="1736" t="s">
        <v>653</v>
      </c>
      <c r="B37" s="1741"/>
      <c r="C37" s="477"/>
      <c r="D37" s="477"/>
      <c r="E37" s="477"/>
      <c r="F37" s="477"/>
      <c r="G37" s="477"/>
      <c r="H37" s="477"/>
      <c r="I37" s="477"/>
      <c r="J37" s="477"/>
      <c r="K37" s="477"/>
      <c r="L37" s="480"/>
      <c r="M37" s="468"/>
      <c r="N37" s="1688">
        <f>SUM(N36:N36)</f>
        <v>270000</v>
      </c>
    </row>
    <row r="38" spans="1:14" s="329" customFormat="1" ht="13.5" customHeight="1" thickTop="1" x14ac:dyDescent="0.2">
      <c r="A38" s="496" t="s">
        <v>420</v>
      </c>
      <c r="B38" s="483">
        <v>714</v>
      </c>
      <c r="C38" s="466"/>
      <c r="D38" s="466"/>
      <c r="E38" s="466">
        <v>71708</v>
      </c>
      <c r="F38" s="466">
        <v>617994</v>
      </c>
      <c r="G38" s="466">
        <v>359931</v>
      </c>
      <c r="H38" s="466"/>
      <c r="I38" s="466"/>
      <c r="J38" s="467">
        <v>166014</v>
      </c>
      <c r="K38" s="466">
        <v>344402</v>
      </c>
      <c r="L38" s="481"/>
      <c r="M38" s="497"/>
      <c r="N38" s="497"/>
    </row>
    <row r="39" spans="1:14" s="329" customFormat="1" ht="13.5" customHeight="1" x14ac:dyDescent="0.2">
      <c r="A39" s="496" t="s">
        <v>342</v>
      </c>
      <c r="B39" s="483">
        <v>730</v>
      </c>
      <c r="C39" s="466">
        <v>1430105</v>
      </c>
      <c r="D39" s="466">
        <v>1218980</v>
      </c>
      <c r="E39" s="466"/>
      <c r="F39" s="466"/>
      <c r="G39" s="466"/>
      <c r="H39" s="466"/>
      <c r="I39" s="466">
        <v>503371</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3739336</v>
      </c>
      <c r="N40" s="497"/>
    </row>
    <row r="41" spans="1:14" ht="13.5" customHeight="1" thickBot="1" x14ac:dyDescent="0.25">
      <c r="A41" s="1736" t="s">
        <v>655</v>
      </c>
      <c r="B41" s="1706"/>
      <c r="C41" s="1688">
        <f>(SUM(C34,C37,C38,C39))</f>
        <v>1992778</v>
      </c>
      <c r="D41" s="1688">
        <f t="shared" ref="D41:L41" si="2">SUM(D34,D37,D38:D39)</f>
        <v>1302546</v>
      </c>
      <c r="E41" s="1688">
        <f t="shared" si="2"/>
        <v>116778</v>
      </c>
      <c r="F41" s="1688">
        <f t="shared" si="2"/>
        <v>651420</v>
      </c>
      <c r="G41" s="1688">
        <f t="shared" si="2"/>
        <v>409875</v>
      </c>
      <c r="H41" s="1688">
        <f t="shared" si="2"/>
        <v>0</v>
      </c>
      <c r="I41" s="1688">
        <f t="shared" si="2"/>
        <v>517299</v>
      </c>
      <c r="J41" s="1688">
        <f t="shared" si="2"/>
        <v>275234</v>
      </c>
      <c r="K41" s="1688">
        <f t="shared" si="2"/>
        <v>358330</v>
      </c>
      <c r="L41" s="1688">
        <f t="shared" si="2"/>
        <v>86599</v>
      </c>
      <c r="M41" s="1688">
        <f>SUM(M40)</f>
        <v>3739336</v>
      </c>
      <c r="N41" s="1688">
        <f>SUM(N37)</f>
        <v>270000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3" activePane="bottomLeft" state="frozen"/>
      <selection activeCell="I22" sqref="I22:S22"/>
      <selection pane="bottomLeft" activeCell="I22" sqref="I22:S22"/>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4"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5"/>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6" t="s">
        <v>1175</v>
      </c>
      <c r="B3" s="2137"/>
      <c r="C3" s="1573"/>
      <c r="D3" s="1574"/>
      <c r="E3" s="1574"/>
      <c r="F3" s="1574"/>
      <c r="G3" s="1574"/>
      <c r="H3" s="1574"/>
      <c r="I3" s="1574"/>
      <c r="J3" s="1574"/>
      <c r="K3" s="1575"/>
      <c r="L3" s="506"/>
    </row>
    <row r="4" spans="1:13" ht="15.75" customHeight="1" x14ac:dyDescent="0.2">
      <c r="A4" s="1928" t="s">
        <v>1499</v>
      </c>
      <c r="B4" s="1929">
        <v>1000</v>
      </c>
      <c r="C4" s="1742">
        <f>'Revenues 9-14'!C109</f>
        <v>2105546</v>
      </c>
      <c r="D4" s="1742">
        <f>'Revenues 9-14'!D109</f>
        <v>336114</v>
      </c>
      <c r="E4" s="1742">
        <f>'Revenues 9-14'!E109</f>
        <v>163024</v>
      </c>
      <c r="F4" s="1742">
        <f>'Revenues 9-14'!F109</f>
        <v>119780</v>
      </c>
      <c r="G4" s="1742">
        <f>'Revenues 9-14'!G109</f>
        <v>217322</v>
      </c>
      <c r="H4" s="1742">
        <f>'Revenues 9-14'!H109</f>
        <v>0</v>
      </c>
      <c r="I4" s="1742">
        <f>'Revenues 9-14'!I109</f>
        <v>51259</v>
      </c>
      <c r="J4" s="1742">
        <f>'Revenues 9-14'!J109</f>
        <v>348354</v>
      </c>
      <c r="K4" s="1742">
        <f>'Revenues 9-14'!K109</f>
        <v>48116</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1189421</v>
      </c>
      <c r="D6" s="1743">
        <f>'Revenues 9-14'!D170</f>
        <v>0</v>
      </c>
      <c r="E6" s="1743">
        <f>'Revenues 9-14'!E170</f>
        <v>0</v>
      </c>
      <c r="F6" s="1743">
        <f>'Revenues 9-14'!F170</f>
        <v>60423</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226468</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3521435</v>
      </c>
      <c r="D8" s="1688">
        <f t="shared" ref="D8:K8" si="0">SUM(D4:D7)</f>
        <v>336114</v>
      </c>
      <c r="E8" s="1688">
        <f t="shared" si="0"/>
        <v>163024</v>
      </c>
      <c r="F8" s="1688">
        <f t="shared" si="0"/>
        <v>180203</v>
      </c>
      <c r="G8" s="1688">
        <f t="shared" si="0"/>
        <v>217322</v>
      </c>
      <c r="H8" s="1688">
        <f t="shared" si="0"/>
        <v>0</v>
      </c>
      <c r="I8" s="1688">
        <f t="shared" si="0"/>
        <v>51259</v>
      </c>
      <c r="J8" s="1688">
        <f t="shared" si="0"/>
        <v>348354</v>
      </c>
      <c r="K8" s="1688">
        <f t="shared" si="0"/>
        <v>48116</v>
      </c>
      <c r="L8" s="347"/>
    </row>
    <row r="9" spans="1:13" ht="15.75" thickTop="1" x14ac:dyDescent="0.2">
      <c r="A9" s="514" t="s">
        <v>1653</v>
      </c>
      <c r="B9" s="515">
        <v>3998</v>
      </c>
      <c r="C9" s="481">
        <v>1818763</v>
      </c>
      <c r="D9" s="516"/>
      <c r="E9" s="481"/>
      <c r="F9" s="481"/>
      <c r="G9" s="517"/>
      <c r="H9" s="481"/>
      <c r="I9" s="509" t="s">
        <v>1169</v>
      </c>
      <c r="J9" s="478"/>
      <c r="K9" s="481"/>
      <c r="L9" s="347"/>
    </row>
    <row r="10" spans="1:13" s="519" customFormat="1" ht="13.5" thickBot="1" x14ac:dyDescent="0.25">
      <c r="A10" s="1736" t="s">
        <v>1173</v>
      </c>
      <c r="B10" s="1709"/>
      <c r="C10" s="1688">
        <f>SUM(C8:C9)</f>
        <v>5340198</v>
      </c>
      <c r="D10" s="1688">
        <f t="shared" ref="D10:K10" si="1">SUM(D8:D9)</f>
        <v>336114</v>
      </c>
      <c r="E10" s="1688">
        <f t="shared" si="1"/>
        <v>163024</v>
      </c>
      <c r="F10" s="1688">
        <f t="shared" si="1"/>
        <v>180203</v>
      </c>
      <c r="G10" s="1688">
        <f t="shared" si="1"/>
        <v>217322</v>
      </c>
      <c r="H10" s="1688">
        <f t="shared" si="1"/>
        <v>0</v>
      </c>
      <c r="I10" s="1688">
        <f t="shared" si="1"/>
        <v>51259</v>
      </c>
      <c r="J10" s="1688">
        <f t="shared" si="1"/>
        <v>348354</v>
      </c>
      <c r="K10" s="1688">
        <f t="shared" si="1"/>
        <v>48116</v>
      </c>
      <c r="L10" s="518"/>
    </row>
    <row r="11" spans="1:13" s="519" customFormat="1" ht="16.7" customHeight="1" thickTop="1" x14ac:dyDescent="0.2">
      <c r="A11" s="2110" t="s">
        <v>1176</v>
      </c>
      <c r="B11" s="2111"/>
      <c r="C11" s="1570"/>
      <c r="D11" s="1571"/>
      <c r="E11" s="1571"/>
      <c r="F11" s="1571"/>
      <c r="G11" s="1571"/>
      <c r="H11" s="1571"/>
      <c r="I11" s="1571"/>
      <c r="J11" s="1571"/>
      <c r="K11" s="1572"/>
      <c r="L11" s="518"/>
    </row>
    <row r="12" spans="1:13" ht="15.75" customHeight="1" x14ac:dyDescent="0.2">
      <c r="A12" s="1576" t="s">
        <v>456</v>
      </c>
      <c r="B12" s="1578">
        <v>1000</v>
      </c>
      <c r="C12" s="1742">
        <f>'Expenditures 15-22'!K33</f>
        <v>2451049</v>
      </c>
      <c r="D12" s="520" t="s">
        <v>1169</v>
      </c>
      <c r="E12" s="468" t="s">
        <v>1169</v>
      </c>
      <c r="F12" s="468" t="s">
        <v>1169</v>
      </c>
      <c r="G12" s="1742">
        <f>'Expenditures 15-22'!K229</f>
        <v>46776</v>
      </c>
      <c r="H12" s="521"/>
      <c r="I12" s="468" t="s">
        <v>1169</v>
      </c>
      <c r="J12" s="468" t="s">
        <v>1169</v>
      </c>
      <c r="K12" s="521" t="s">
        <v>1169</v>
      </c>
      <c r="L12" s="347"/>
    </row>
    <row r="13" spans="1:13" ht="15.75" customHeight="1" x14ac:dyDescent="0.2">
      <c r="A13" s="1576" t="s">
        <v>457</v>
      </c>
      <c r="B13" s="1578">
        <v>2000</v>
      </c>
      <c r="C13" s="1743">
        <f>'Expenditures 15-22'!K74</f>
        <v>947030</v>
      </c>
      <c r="D13" s="1743">
        <f>'Expenditures 15-22'!K129</f>
        <v>325051</v>
      </c>
      <c r="E13" s="469" t="s">
        <v>1169</v>
      </c>
      <c r="F13" s="1743">
        <f>'Expenditures 15-22'!K184</f>
        <v>132742</v>
      </c>
      <c r="G13" s="1743">
        <f>'Expenditures 15-22'!K279</f>
        <v>95680</v>
      </c>
      <c r="H13" s="1743">
        <f>'Expenditures 15-22'!K303</f>
        <v>0</v>
      </c>
      <c r="I13" s="468" t="s">
        <v>1169</v>
      </c>
      <c r="J13" s="1743">
        <f>'Expenditures 15-22'!K330</f>
        <v>343384</v>
      </c>
      <c r="K13" s="1747">
        <f>'Expenditures 15-22'!K352</f>
        <v>0</v>
      </c>
      <c r="L13" s="347"/>
    </row>
    <row r="14" spans="1:13" ht="15.75" customHeight="1" x14ac:dyDescent="0.2">
      <c r="A14" s="1576" t="s">
        <v>449</v>
      </c>
      <c r="B14" s="1578">
        <v>3000</v>
      </c>
      <c r="C14" s="1743">
        <f>'Expenditures 15-22'!K75</f>
        <v>23871</v>
      </c>
      <c r="D14" s="1743">
        <f>'Expenditures 15-22'!K130</f>
        <v>0</v>
      </c>
      <c r="E14" s="520" t="s">
        <v>1169</v>
      </c>
      <c r="F14" s="1743">
        <f>'Expenditures 15-22'!K185</f>
        <v>0</v>
      </c>
      <c r="G14" s="1743">
        <f>'Expenditures 15-22'!K280</f>
        <v>2034</v>
      </c>
      <c r="H14" s="512"/>
      <c r="I14" s="468" t="s">
        <v>1169</v>
      </c>
      <c r="J14" s="468" t="s">
        <v>1169</v>
      </c>
      <c r="K14" s="512" t="s">
        <v>1169</v>
      </c>
      <c r="L14" s="347"/>
    </row>
    <row r="15" spans="1:13" ht="15.75" customHeight="1" x14ac:dyDescent="0.2">
      <c r="A15" s="1576" t="s">
        <v>107</v>
      </c>
      <c r="B15" s="1578">
        <v>4000</v>
      </c>
      <c r="C15" s="1743">
        <f>'Expenditures 15-22'!K102</f>
        <v>150813</v>
      </c>
      <c r="D15" s="1743">
        <f>'Expenditures 15-22'!K139</f>
        <v>0</v>
      </c>
      <c r="E15" s="1743">
        <f>'Expenditures 15-22'!K160</f>
        <v>0</v>
      </c>
      <c r="F15" s="1743">
        <f>'Expenditures 15-22'!K196</f>
        <v>0</v>
      </c>
      <c r="G15" s="1743">
        <f>'Expenditures 15-22'!K285</f>
        <v>278</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163283</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3572763</v>
      </c>
      <c r="D17" s="1688">
        <f t="shared" si="2"/>
        <v>325051</v>
      </c>
      <c r="E17" s="1688">
        <f t="shared" si="2"/>
        <v>163283</v>
      </c>
      <c r="F17" s="1688">
        <f t="shared" si="2"/>
        <v>132742</v>
      </c>
      <c r="G17" s="1688">
        <f t="shared" si="2"/>
        <v>144768</v>
      </c>
      <c r="H17" s="1688">
        <f t="shared" si="2"/>
        <v>0</v>
      </c>
      <c r="I17" s="468"/>
      <c r="J17" s="1688">
        <f>SUM(J12:J16)</f>
        <v>343384</v>
      </c>
      <c r="K17" s="1688">
        <f>SUM(K12:K16)</f>
        <v>0</v>
      </c>
      <c r="L17" s="347"/>
    </row>
    <row r="18" spans="1:12" ht="15" customHeight="1" thickTop="1" x14ac:dyDescent="0.2">
      <c r="A18" s="1744" t="s">
        <v>1654</v>
      </c>
      <c r="B18" s="1745">
        <v>4180</v>
      </c>
      <c r="C18" s="1742">
        <f t="shared" ref="C18:H18" si="3">C9</f>
        <v>1818763</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5391526</v>
      </c>
      <c r="D19" s="1688">
        <f t="shared" si="4"/>
        <v>325051</v>
      </c>
      <c r="E19" s="1688">
        <f t="shared" si="4"/>
        <v>163283</v>
      </c>
      <c r="F19" s="1688">
        <f t="shared" si="4"/>
        <v>132742</v>
      </c>
      <c r="G19" s="1688">
        <f t="shared" si="4"/>
        <v>144768</v>
      </c>
      <c r="H19" s="1688">
        <f t="shared" si="4"/>
        <v>0</v>
      </c>
      <c r="I19" s="468"/>
      <c r="J19" s="1688">
        <f>SUM(J17:J18)</f>
        <v>343384</v>
      </c>
      <c r="K19" s="1688">
        <f>SUM(K17:K18)</f>
        <v>0</v>
      </c>
      <c r="L19" s="347"/>
    </row>
    <row r="20" spans="1:12" ht="16.5" thickTop="1" thickBot="1" x14ac:dyDescent="0.25">
      <c r="A20" s="2126" t="s">
        <v>1655</v>
      </c>
      <c r="B20" s="2127"/>
      <c r="C20" s="1746">
        <f>C8-C17</f>
        <v>-51328</v>
      </c>
      <c r="D20" s="1746">
        <f t="shared" ref="D20:K20" si="5">D8-D17</f>
        <v>11063</v>
      </c>
      <c r="E20" s="1746">
        <f t="shared" si="5"/>
        <v>-259</v>
      </c>
      <c r="F20" s="1746">
        <f t="shared" si="5"/>
        <v>47461</v>
      </c>
      <c r="G20" s="1746">
        <f t="shared" si="5"/>
        <v>72554</v>
      </c>
      <c r="H20" s="1746">
        <f t="shared" si="5"/>
        <v>0</v>
      </c>
      <c r="I20" s="1746">
        <f t="shared" si="5"/>
        <v>51259</v>
      </c>
      <c r="J20" s="1746">
        <f t="shared" si="5"/>
        <v>4970</v>
      </c>
      <c r="K20" s="1746">
        <f t="shared" si="5"/>
        <v>48116</v>
      </c>
      <c r="L20" s="347"/>
    </row>
    <row r="21" spans="1:12" ht="16.7" customHeight="1" thickTop="1" x14ac:dyDescent="0.2">
      <c r="A21" s="2138" t="s">
        <v>595</v>
      </c>
      <c r="B21" s="2139"/>
      <c r="C21" s="1570"/>
      <c r="D21" s="1571"/>
      <c r="E21" s="1571"/>
      <c r="F21" s="1571"/>
      <c r="G21" s="1571"/>
      <c r="H21" s="1571"/>
      <c r="I21" s="1571"/>
      <c r="J21" s="1571"/>
      <c r="K21" s="1572"/>
      <c r="L21" s="524"/>
    </row>
    <row r="22" spans="1:12" ht="15.75" customHeight="1" collapsed="1" x14ac:dyDescent="0.2">
      <c r="A22" s="2134" t="s">
        <v>596</v>
      </c>
      <c r="B22" s="2135"/>
      <c r="C22" s="477"/>
      <c r="D22" s="477"/>
      <c r="E22" s="477"/>
      <c r="F22" s="477"/>
      <c r="G22" s="477"/>
      <c r="H22" s="477"/>
      <c r="I22" s="477"/>
      <c r="J22" s="477"/>
      <c r="K22" s="477"/>
      <c r="L22" s="347"/>
    </row>
    <row r="23" spans="1:12" s="485" customFormat="1" ht="15.75" customHeight="1" x14ac:dyDescent="0.2">
      <c r="A23" s="2130" t="s">
        <v>293</v>
      </c>
      <c r="B23" s="2131"/>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2" t="s">
        <v>981</v>
      </c>
      <c r="B32" s="2133"/>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40" t="s">
        <v>374</v>
      </c>
      <c r="B44" s="2141"/>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4" t="s">
        <v>108</v>
      </c>
      <c r="B45" s="2135"/>
      <c r="C45" s="528"/>
      <c r="D45" s="528"/>
      <c r="E45" s="528"/>
      <c r="F45" s="528"/>
      <c r="G45" s="528"/>
      <c r="H45" s="528"/>
      <c r="I45" s="528"/>
      <c r="J45" s="528"/>
      <c r="K45" s="528"/>
      <c r="L45" s="347"/>
    </row>
    <row r="46" spans="1:12" s="485" customFormat="1" ht="15.75" customHeight="1" x14ac:dyDescent="0.2">
      <c r="A46" s="2142" t="s">
        <v>109</v>
      </c>
      <c r="B46" s="2143"/>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6" t="s">
        <v>440</v>
      </c>
      <c r="B76" s="2117"/>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8" t="s">
        <v>1177</v>
      </c>
      <c r="B77" s="2119"/>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2" t="s">
        <v>597</v>
      </c>
      <c r="B78" s="2123"/>
      <c r="C78" s="1702">
        <f t="shared" ref="C78:K78" si="9">C20+C77</f>
        <v>-51328</v>
      </c>
      <c r="D78" s="1702">
        <f t="shared" si="9"/>
        <v>11063</v>
      </c>
      <c r="E78" s="1702">
        <f t="shared" si="9"/>
        <v>-259</v>
      </c>
      <c r="F78" s="1702">
        <f t="shared" si="9"/>
        <v>47461</v>
      </c>
      <c r="G78" s="1702">
        <f t="shared" si="9"/>
        <v>72554</v>
      </c>
      <c r="H78" s="1702">
        <f t="shared" si="9"/>
        <v>0</v>
      </c>
      <c r="I78" s="1702">
        <f t="shared" si="9"/>
        <v>51259</v>
      </c>
      <c r="J78" s="1702">
        <f t="shared" si="9"/>
        <v>4970</v>
      </c>
      <c r="K78" s="1702">
        <f t="shared" si="9"/>
        <v>48116</v>
      </c>
      <c r="L78" s="533"/>
    </row>
    <row r="79" spans="1:12" ht="13.5" thickTop="1" x14ac:dyDescent="0.2">
      <c r="A79" s="1494" t="s">
        <v>1949</v>
      </c>
      <c r="B79" s="534"/>
      <c r="C79" s="478">
        <v>1481433</v>
      </c>
      <c r="D79" s="535">
        <v>1207917</v>
      </c>
      <c r="E79" s="535">
        <v>71967</v>
      </c>
      <c r="F79" s="535">
        <v>570533</v>
      </c>
      <c r="G79" s="535">
        <v>287377</v>
      </c>
      <c r="H79" s="535"/>
      <c r="I79" s="535">
        <v>452112</v>
      </c>
      <c r="J79" s="535">
        <v>161044</v>
      </c>
      <c r="K79" s="535">
        <v>296286</v>
      </c>
      <c r="L79" s="347"/>
    </row>
    <row r="80" spans="1:12" x14ac:dyDescent="0.2">
      <c r="A80" s="2128" t="s">
        <v>1795</v>
      </c>
      <c r="B80" s="2129"/>
      <c r="C80" s="467"/>
      <c r="D80" s="467"/>
      <c r="E80" s="467"/>
      <c r="F80" s="467"/>
      <c r="G80" s="467"/>
      <c r="H80" s="467"/>
      <c r="I80" s="467"/>
      <c r="J80" s="467"/>
      <c r="K80" s="467"/>
      <c r="L80" s="347"/>
    </row>
    <row r="81" spans="1:12" ht="13.5" thickBot="1" x14ac:dyDescent="0.25">
      <c r="A81" s="2120" t="s">
        <v>1950</v>
      </c>
      <c r="B81" s="2121"/>
      <c r="C81" s="1688">
        <f>(SUM(C78:C80))</f>
        <v>1430105</v>
      </c>
      <c r="D81" s="1688">
        <f>SUM(D78:D80)</f>
        <v>1218980</v>
      </c>
      <c r="E81" s="1688">
        <f t="shared" ref="E81:K81" si="10">SUM(E78:E80)</f>
        <v>71708</v>
      </c>
      <c r="F81" s="1688">
        <f t="shared" si="10"/>
        <v>617994</v>
      </c>
      <c r="G81" s="1688">
        <f t="shared" si="10"/>
        <v>359931</v>
      </c>
      <c r="H81" s="1688">
        <f t="shared" si="10"/>
        <v>0</v>
      </c>
      <c r="I81" s="1688">
        <f t="shared" si="10"/>
        <v>503371</v>
      </c>
      <c r="J81" s="1688">
        <f t="shared" si="10"/>
        <v>166014</v>
      </c>
      <c r="K81" s="1688">
        <f t="shared" si="10"/>
        <v>344402</v>
      </c>
      <c r="L81" s="347"/>
    </row>
    <row r="82" spans="1:12" ht="0.75" customHeight="1" thickTop="1" thickBot="1" x14ac:dyDescent="0.25">
      <c r="A82" s="536" t="s">
        <v>343</v>
      </c>
      <c r="B82" s="537"/>
      <c r="C82" s="538">
        <f>(C81-C79)</f>
        <v>-51328</v>
      </c>
      <c r="D82" s="538">
        <f t="shared" ref="D82:K82" si="11">(D81-D79)</f>
        <v>11063</v>
      </c>
      <c r="E82" s="538">
        <f t="shared" si="11"/>
        <v>-259</v>
      </c>
      <c r="F82" s="538">
        <f t="shared" si="11"/>
        <v>47461</v>
      </c>
      <c r="G82" s="538">
        <f t="shared" si="11"/>
        <v>72554</v>
      </c>
      <c r="H82" s="538">
        <f t="shared" si="11"/>
        <v>0</v>
      </c>
      <c r="I82" s="538">
        <f t="shared" si="11"/>
        <v>51259</v>
      </c>
      <c r="J82" s="538">
        <f t="shared" si="11"/>
        <v>4970</v>
      </c>
      <c r="K82" s="538">
        <f t="shared" si="11"/>
        <v>48116</v>
      </c>
    </row>
    <row r="83" spans="1:12" ht="14.25" hidden="1" thickTop="1" thickBot="1" x14ac:dyDescent="0.25">
      <c r="A83" s="539" t="s">
        <v>344</v>
      </c>
      <c r="B83" s="464"/>
      <c r="C83" s="540">
        <f>C82/C81</f>
        <v>-3.5891070935350898E-2</v>
      </c>
      <c r="D83" s="540">
        <f t="shared" ref="D83:K83" si="12">D82/D81</f>
        <v>9.0756206008302028E-3</v>
      </c>
      <c r="E83" s="540">
        <f t="shared" si="12"/>
        <v>-3.6118703631393989E-3</v>
      </c>
      <c r="F83" s="540">
        <f t="shared" si="12"/>
        <v>7.6798480244144762E-2</v>
      </c>
      <c r="G83" s="540">
        <f t="shared" si="12"/>
        <v>0.20157752458110026</v>
      </c>
      <c r="H83" s="540" t="e">
        <f t="shared" si="12"/>
        <v>#DIV/0!</v>
      </c>
      <c r="I83" s="540">
        <f t="shared" si="12"/>
        <v>0.10183145234826797</v>
      </c>
      <c r="J83" s="540">
        <f t="shared" si="12"/>
        <v>2.9937234209163083E-2</v>
      </c>
      <c r="K83" s="540">
        <f t="shared" si="12"/>
        <v>0.13970882863630293</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40" activePane="bottomLeft" state="frozen"/>
      <selection activeCell="I22" sqref="I22:S22"/>
      <selection pane="bottomLeft" activeCell="C263" sqref="C263"/>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4" t="s">
        <v>1802</v>
      </c>
      <c r="B1" s="452"/>
      <c r="C1" s="453" t="s">
        <v>425</v>
      </c>
      <c r="D1" s="453" t="s">
        <v>426</v>
      </c>
      <c r="E1" s="453" t="s">
        <v>427</v>
      </c>
      <c r="F1" s="453" t="s">
        <v>428</v>
      </c>
      <c r="G1" s="453" t="s">
        <v>429</v>
      </c>
      <c r="H1" s="453" t="s">
        <v>430</v>
      </c>
      <c r="I1" s="453" t="s">
        <v>431</v>
      </c>
      <c r="J1" s="453" t="s">
        <v>432</v>
      </c>
      <c r="K1" s="453" t="s">
        <v>756</v>
      </c>
    </row>
    <row r="2" spans="1:12" ht="36" x14ac:dyDescent="0.2">
      <c r="A2" s="2125"/>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1922395</v>
      </c>
      <c r="D5" s="481">
        <v>240300</v>
      </c>
      <c r="E5" s="466">
        <v>162827</v>
      </c>
      <c r="F5" s="548">
        <v>115343</v>
      </c>
      <c r="G5" s="466">
        <v>84778</v>
      </c>
      <c r="H5" s="466"/>
      <c r="I5" s="466">
        <v>48059</v>
      </c>
      <c r="J5" s="467">
        <v>342764</v>
      </c>
      <c r="K5" s="466">
        <v>48059</v>
      </c>
    </row>
    <row r="6" spans="1:12" ht="15" x14ac:dyDescent="0.2">
      <c r="A6" s="463" t="s">
        <v>1662</v>
      </c>
      <c r="B6" s="470">
        <v>1130</v>
      </c>
      <c r="C6" s="466"/>
      <c r="D6" s="466">
        <v>48059</v>
      </c>
      <c r="E6" s="475"/>
      <c r="F6" s="475"/>
      <c r="G6" s="468"/>
      <c r="H6" s="468"/>
      <c r="I6" s="468"/>
      <c r="J6" s="468"/>
      <c r="K6" s="468"/>
    </row>
    <row r="7" spans="1:12" x14ac:dyDescent="0.2">
      <c r="A7" s="463" t="s">
        <v>110</v>
      </c>
      <c r="B7" s="549">
        <v>1140</v>
      </c>
      <c r="C7" s="466">
        <v>19225</v>
      </c>
      <c r="D7" s="466"/>
      <c r="E7" s="468"/>
      <c r="F7" s="467"/>
      <c r="G7" s="467"/>
      <c r="H7" s="467"/>
      <c r="I7" s="468"/>
      <c r="J7" s="468"/>
      <c r="K7" s="468"/>
    </row>
    <row r="8" spans="1:12" x14ac:dyDescent="0.2">
      <c r="A8" s="463" t="s">
        <v>413</v>
      </c>
      <c r="B8" s="470">
        <v>1150</v>
      </c>
      <c r="C8" s="475"/>
      <c r="D8" s="475"/>
      <c r="E8" s="477"/>
      <c r="F8" s="477"/>
      <c r="G8" s="481">
        <v>128706</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1941620</v>
      </c>
      <c r="D12" s="1707">
        <f t="shared" si="0"/>
        <v>288359</v>
      </c>
      <c r="E12" s="1707">
        <f t="shared" si="0"/>
        <v>162827</v>
      </c>
      <c r="F12" s="1707">
        <f t="shared" si="0"/>
        <v>115343</v>
      </c>
      <c r="G12" s="1707">
        <f t="shared" si="0"/>
        <v>213484</v>
      </c>
      <c r="H12" s="1707">
        <f t="shared" si="0"/>
        <v>0</v>
      </c>
      <c r="I12" s="1707">
        <f t="shared" si="0"/>
        <v>48059</v>
      </c>
      <c r="J12" s="1707">
        <f t="shared" si="0"/>
        <v>342764</v>
      </c>
      <c r="K12" s="1688">
        <f t="shared" si="0"/>
        <v>48059</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2353</v>
      </c>
      <c r="D14" s="466">
        <v>349</v>
      </c>
      <c r="E14" s="466">
        <v>197</v>
      </c>
      <c r="F14" s="466">
        <v>140</v>
      </c>
      <c r="G14" s="466">
        <v>259</v>
      </c>
      <c r="H14" s="466"/>
      <c r="I14" s="466">
        <v>58</v>
      </c>
      <c r="J14" s="467">
        <v>415</v>
      </c>
      <c r="K14" s="466">
        <v>57</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c r="D16" s="466">
        <v>14316</v>
      </c>
      <c r="E16" s="466"/>
      <c r="F16" s="466"/>
      <c r="G16" s="466">
        <v>3579</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2353</v>
      </c>
      <c r="D18" s="1710">
        <f t="shared" ref="D18:K18" si="1">SUM(D14:D17)</f>
        <v>14665</v>
      </c>
      <c r="E18" s="1710">
        <f t="shared" si="1"/>
        <v>197</v>
      </c>
      <c r="F18" s="1710">
        <f t="shared" si="1"/>
        <v>140</v>
      </c>
      <c r="G18" s="1710">
        <f t="shared" si="1"/>
        <v>3838</v>
      </c>
      <c r="H18" s="1710">
        <f t="shared" si="1"/>
        <v>0</v>
      </c>
      <c r="I18" s="1710">
        <f t="shared" si="1"/>
        <v>58</v>
      </c>
      <c r="J18" s="1710">
        <f t="shared" si="1"/>
        <v>415</v>
      </c>
      <c r="K18" s="1711">
        <f t="shared" si="1"/>
        <v>57</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v>5621</v>
      </c>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5621</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21949</v>
      </c>
      <c r="D65" s="466">
        <v>12002</v>
      </c>
      <c r="E65" s="466"/>
      <c r="F65" s="467">
        <v>4297</v>
      </c>
      <c r="G65" s="466"/>
      <c r="H65" s="466"/>
      <c r="I65" s="466">
        <v>3142</v>
      </c>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21949</v>
      </c>
      <c r="D67" s="1688">
        <f t="shared" ref="D67:K67" si="2">SUM(D65:D66)</f>
        <v>12002</v>
      </c>
      <c r="E67" s="1688">
        <f t="shared" si="2"/>
        <v>0</v>
      </c>
      <c r="F67" s="1688">
        <f t="shared" si="2"/>
        <v>4297</v>
      </c>
      <c r="G67" s="1688">
        <f t="shared" si="2"/>
        <v>0</v>
      </c>
      <c r="H67" s="1688">
        <f t="shared" si="2"/>
        <v>0</v>
      </c>
      <c r="I67" s="1688">
        <f t="shared" si="2"/>
        <v>3142</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14449</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14449</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41632</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41632</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50159</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50159</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v>8428</v>
      </c>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19335</v>
      </c>
      <c r="D107" s="466">
        <v>21088</v>
      </c>
      <c r="E107" s="466"/>
      <c r="F107" s="466"/>
      <c r="G107" s="466"/>
      <c r="H107" s="466"/>
      <c r="I107" s="466"/>
      <c r="J107" s="467">
        <v>5175</v>
      </c>
      <c r="K107" s="466"/>
    </row>
    <row r="108" spans="1:12" ht="12.75" customHeight="1" thickBot="1" x14ac:dyDescent="0.25">
      <c r="A108" s="1708" t="s">
        <v>487</v>
      </c>
      <c r="B108" s="1712"/>
      <c r="C108" s="1707">
        <f>SUM(C95:C107)</f>
        <v>27763</v>
      </c>
      <c r="D108" s="1707">
        <f t="shared" ref="D108:K108" si="3">SUM(D95:D107)</f>
        <v>21088</v>
      </c>
      <c r="E108" s="1707">
        <f t="shared" si="3"/>
        <v>0</v>
      </c>
      <c r="F108" s="1707">
        <f t="shared" si="3"/>
        <v>0</v>
      </c>
      <c r="G108" s="1707">
        <f t="shared" si="3"/>
        <v>0</v>
      </c>
      <c r="H108" s="1707">
        <f t="shared" si="3"/>
        <v>0</v>
      </c>
      <c r="I108" s="1707">
        <f t="shared" si="3"/>
        <v>0</v>
      </c>
      <c r="J108" s="1707">
        <f t="shared" si="3"/>
        <v>5175</v>
      </c>
      <c r="K108" s="1688">
        <f t="shared" si="3"/>
        <v>0</v>
      </c>
    </row>
    <row r="109" spans="1:12" ht="14.25" thickTop="1" thickBot="1" x14ac:dyDescent="0.25">
      <c r="A109" s="1713" t="s">
        <v>248</v>
      </c>
      <c r="B109" s="1714" t="s">
        <v>570</v>
      </c>
      <c r="C109" s="1715">
        <f t="shared" ref="C109:K109" si="4">SUM(C12,C18,C40,C63,C67,C75,C82,C93,C108,)</f>
        <v>2105546</v>
      </c>
      <c r="D109" s="1715">
        <f t="shared" si="4"/>
        <v>336114</v>
      </c>
      <c r="E109" s="1715">
        <f t="shared" si="4"/>
        <v>163024</v>
      </c>
      <c r="F109" s="1715">
        <f t="shared" si="4"/>
        <v>119780</v>
      </c>
      <c r="G109" s="1715">
        <f t="shared" si="4"/>
        <v>217322</v>
      </c>
      <c r="H109" s="1715">
        <f t="shared" si="4"/>
        <v>0</v>
      </c>
      <c r="I109" s="1715">
        <f t="shared" si="4"/>
        <v>51259</v>
      </c>
      <c r="J109" s="1715">
        <f t="shared" si="4"/>
        <v>348354</v>
      </c>
      <c r="K109" s="1702">
        <f t="shared" si="4"/>
        <v>48116</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1189071</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1189071</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0</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350</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34425</v>
      </c>
      <c r="G152" s="467"/>
      <c r="H152" s="468"/>
      <c r="I152" s="468"/>
      <c r="J152" s="468"/>
      <c r="K152" s="468"/>
    </row>
    <row r="153" spans="1:11" ht="12.75" customHeight="1" x14ac:dyDescent="0.2">
      <c r="A153" s="463" t="s">
        <v>1057</v>
      </c>
      <c r="B153" s="562">
        <v>3510</v>
      </c>
      <c r="C153" s="551"/>
      <c r="D153" s="466"/>
      <c r="E153" s="561"/>
      <c r="F153" s="466">
        <v>25998</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60423</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c r="D168" s="580"/>
      <c r="E168" s="580"/>
      <c r="F168" s="580"/>
      <c r="G168" s="581"/>
      <c r="H168" s="582"/>
      <c r="I168" s="581"/>
      <c r="J168" s="581"/>
      <c r="K168" s="582"/>
    </row>
    <row r="169" spans="1:11" ht="12.75" customHeight="1" thickTop="1" thickBot="1" x14ac:dyDescent="0.25">
      <c r="A169" s="2144" t="s">
        <v>398</v>
      </c>
      <c r="B169" s="2145"/>
      <c r="C169" s="1722">
        <f t="shared" ref="C169:K169" si="6">SUM(C132,C141,C145,C146:C150,C155,C156:C167,C168)</f>
        <v>350</v>
      </c>
      <c r="D169" s="1722">
        <f t="shared" si="6"/>
        <v>0</v>
      </c>
      <c r="E169" s="1722">
        <f t="shared" si="6"/>
        <v>0</v>
      </c>
      <c r="F169" s="1722">
        <f t="shared" si="6"/>
        <v>60423</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1189421</v>
      </c>
      <c r="D170" s="1715">
        <f t="shared" si="7"/>
        <v>0</v>
      </c>
      <c r="E170" s="1715">
        <f t="shared" si="7"/>
        <v>0</v>
      </c>
      <c r="F170" s="1715">
        <f t="shared" si="7"/>
        <v>60423</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6" t="s">
        <v>1492</v>
      </c>
      <c r="B172" s="2147"/>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0" t="s">
        <v>1665</v>
      </c>
      <c r="B175" s="2151"/>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4" t="s">
        <v>1664</v>
      </c>
      <c r="B176" s="2155"/>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2" t="s">
        <v>785</v>
      </c>
      <c r="B181" s="2153"/>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8" t="s">
        <v>1803</v>
      </c>
      <c r="B182" s="2149"/>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30654</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30654</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59768</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59768</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v>11752</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11752</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96483</v>
      </c>
      <c r="D213" s="466"/>
      <c r="E213" s="468"/>
      <c r="F213" s="466"/>
      <c r="G213" s="466"/>
      <c r="H213" s="468"/>
      <c r="I213" s="468"/>
      <c r="J213" s="468"/>
      <c r="K213" s="468"/>
    </row>
    <row r="214" spans="1:11" ht="12.75" customHeight="1" x14ac:dyDescent="0.2">
      <c r="A214" s="463" t="s">
        <v>1054</v>
      </c>
      <c r="B214" s="470">
        <v>4625</v>
      </c>
      <c r="C214" s="551">
        <v>6671</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103154</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8877</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4604</v>
      </c>
      <c r="D263" s="576"/>
      <c r="E263" s="468"/>
      <c r="F263" s="576"/>
      <c r="G263" s="576"/>
      <c r="H263" s="468"/>
      <c r="I263" s="468"/>
      <c r="J263" s="468"/>
      <c r="K263" s="468"/>
    </row>
    <row r="264" spans="1:11" ht="12.75" customHeight="1" thickTop="1" thickBot="1" x14ac:dyDescent="0.25">
      <c r="A264" s="463" t="s">
        <v>377</v>
      </c>
      <c r="B264" s="470">
        <v>4992</v>
      </c>
      <c r="C264" s="575">
        <v>7659</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226468</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226468</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3521435</v>
      </c>
      <c r="D268" s="1715">
        <f t="shared" si="12"/>
        <v>336114</v>
      </c>
      <c r="E268" s="1715">
        <f t="shared" si="12"/>
        <v>163024</v>
      </c>
      <c r="F268" s="1715">
        <f t="shared" si="12"/>
        <v>180203</v>
      </c>
      <c r="G268" s="1715">
        <f t="shared" si="12"/>
        <v>217322</v>
      </c>
      <c r="H268" s="1715">
        <f t="shared" si="12"/>
        <v>0</v>
      </c>
      <c r="I268" s="1715">
        <f t="shared" si="12"/>
        <v>51259</v>
      </c>
      <c r="J268" s="1715">
        <f t="shared" si="12"/>
        <v>348354</v>
      </c>
      <c r="K268" s="1702">
        <f t="shared" si="12"/>
        <v>48116</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57" activePane="bottomLeft" state="frozen"/>
      <selection activeCell="I22" sqref="I22:S22"/>
      <selection pane="bottomLeft" activeCell="I22" sqref="I22:S22"/>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4"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6"/>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2" t="s">
        <v>297</v>
      </c>
      <c r="B3" s="2163"/>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1562126</v>
      </c>
      <c r="D5" s="466">
        <v>329019</v>
      </c>
      <c r="E5" s="466">
        <v>6387</v>
      </c>
      <c r="F5" s="466">
        <v>17746</v>
      </c>
      <c r="G5" s="466"/>
      <c r="H5" s="466"/>
      <c r="I5" s="467"/>
      <c r="J5" s="467"/>
      <c r="K5" s="1671">
        <f>SUM(C5:J5)</f>
        <v>1915278</v>
      </c>
      <c r="L5" s="466">
        <v>1936577</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c r="D7" s="467"/>
      <c r="E7" s="467"/>
      <c r="F7" s="467"/>
      <c r="G7" s="467"/>
      <c r="H7" s="467"/>
      <c r="I7" s="467"/>
      <c r="J7" s="467"/>
      <c r="K7" s="1671">
        <f t="shared" ref="K7:K32" si="0">SUM(C7:J7)</f>
        <v>0</v>
      </c>
      <c r="L7" s="466"/>
    </row>
    <row r="8" spans="1:14" x14ac:dyDescent="0.2">
      <c r="A8" s="1504" t="s">
        <v>164</v>
      </c>
      <c r="B8" s="614">
        <v>1200</v>
      </c>
      <c r="C8" s="466">
        <v>271449</v>
      </c>
      <c r="D8" s="466">
        <v>29153</v>
      </c>
      <c r="E8" s="466"/>
      <c r="F8" s="466">
        <v>1454</v>
      </c>
      <c r="G8" s="466"/>
      <c r="H8" s="466"/>
      <c r="I8" s="467"/>
      <c r="J8" s="467"/>
      <c r="K8" s="1671">
        <f t="shared" si="0"/>
        <v>302056</v>
      </c>
      <c r="L8" s="466">
        <v>303500</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146117</v>
      </c>
      <c r="D10" s="466">
        <v>38533</v>
      </c>
      <c r="E10" s="466">
        <v>375</v>
      </c>
      <c r="F10" s="466">
        <v>20261</v>
      </c>
      <c r="G10" s="466"/>
      <c r="H10" s="466"/>
      <c r="I10" s="467"/>
      <c r="J10" s="467"/>
      <c r="K10" s="1671">
        <f t="shared" si="0"/>
        <v>205286</v>
      </c>
      <c r="L10" s="466">
        <v>207793</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c r="D13" s="466"/>
      <c r="E13" s="466"/>
      <c r="F13" s="466"/>
      <c r="G13" s="466"/>
      <c r="H13" s="466"/>
      <c r="I13" s="467"/>
      <c r="J13" s="467"/>
      <c r="K13" s="1671">
        <f t="shared" si="0"/>
        <v>0</v>
      </c>
      <c r="L13" s="466"/>
    </row>
    <row r="14" spans="1:14" x14ac:dyDescent="0.2">
      <c r="A14" s="1504" t="s">
        <v>963</v>
      </c>
      <c r="B14" s="614">
        <v>1500</v>
      </c>
      <c r="C14" s="466">
        <v>25925</v>
      </c>
      <c r="D14" s="466">
        <v>2053</v>
      </c>
      <c r="E14" s="466"/>
      <c r="F14" s="466">
        <v>451</v>
      </c>
      <c r="G14" s="466"/>
      <c r="H14" s="466"/>
      <c r="I14" s="467"/>
      <c r="J14" s="467"/>
      <c r="K14" s="1671">
        <f t="shared" si="0"/>
        <v>28429</v>
      </c>
      <c r="L14" s="466">
        <v>31375</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c r="D17" s="467"/>
      <c r="E17" s="467"/>
      <c r="F17" s="467"/>
      <c r="G17" s="467"/>
      <c r="H17" s="467"/>
      <c r="I17" s="467"/>
      <c r="J17" s="467"/>
      <c r="K17" s="1671">
        <f t="shared" si="0"/>
        <v>0</v>
      </c>
      <c r="L17" s="466"/>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2005617</v>
      </c>
      <c r="D33" s="1670">
        <f t="shared" ref="D33:L33" si="1">SUM(D5:D32)</f>
        <v>398758</v>
      </c>
      <c r="E33" s="1670">
        <f t="shared" si="1"/>
        <v>6762</v>
      </c>
      <c r="F33" s="1670">
        <f t="shared" si="1"/>
        <v>39912</v>
      </c>
      <c r="G33" s="1670">
        <f t="shared" si="1"/>
        <v>0</v>
      </c>
      <c r="H33" s="1670">
        <f t="shared" si="1"/>
        <v>0</v>
      </c>
      <c r="I33" s="1670">
        <f t="shared" si="1"/>
        <v>0</v>
      </c>
      <c r="J33" s="1670">
        <f t="shared" si="1"/>
        <v>0</v>
      </c>
      <c r="K33" s="1670">
        <f t="shared" si="1"/>
        <v>2451049</v>
      </c>
      <c r="L33" s="1670">
        <f t="shared" si="1"/>
        <v>2479245</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36779</v>
      </c>
      <c r="D36" s="481">
        <v>9678</v>
      </c>
      <c r="E36" s="481"/>
      <c r="F36" s="481">
        <v>280</v>
      </c>
      <c r="G36" s="481"/>
      <c r="H36" s="481"/>
      <c r="I36" s="467"/>
      <c r="J36" s="467"/>
      <c r="K36" s="1671">
        <f t="shared" ref="K36:K41" si="2">SUM(C36:J36)</f>
        <v>46737</v>
      </c>
      <c r="L36" s="466">
        <v>47300</v>
      </c>
    </row>
    <row r="37" spans="1:14" x14ac:dyDescent="0.2">
      <c r="A37" s="1504" t="s">
        <v>1090</v>
      </c>
      <c r="B37" s="614">
        <v>2120</v>
      </c>
      <c r="C37" s="466"/>
      <c r="D37" s="466"/>
      <c r="E37" s="466"/>
      <c r="F37" s="466">
        <v>513</v>
      </c>
      <c r="G37" s="466"/>
      <c r="H37" s="466"/>
      <c r="I37" s="467"/>
      <c r="J37" s="467"/>
      <c r="K37" s="1671">
        <f t="shared" si="2"/>
        <v>513</v>
      </c>
      <c r="L37" s="466">
        <v>1000</v>
      </c>
    </row>
    <row r="38" spans="1:14" x14ac:dyDescent="0.2">
      <c r="A38" s="1504" t="s">
        <v>198</v>
      </c>
      <c r="B38" s="614">
        <v>2130</v>
      </c>
      <c r="C38" s="466">
        <v>7417</v>
      </c>
      <c r="D38" s="466">
        <v>4</v>
      </c>
      <c r="E38" s="466">
        <v>12392</v>
      </c>
      <c r="F38" s="466">
        <v>1076</v>
      </c>
      <c r="G38" s="466"/>
      <c r="H38" s="466"/>
      <c r="I38" s="467"/>
      <c r="J38" s="467"/>
      <c r="K38" s="1671">
        <f t="shared" si="2"/>
        <v>20889</v>
      </c>
      <c r="L38" s="466">
        <v>22464</v>
      </c>
    </row>
    <row r="39" spans="1:14" x14ac:dyDescent="0.2">
      <c r="A39" s="1504" t="s">
        <v>199</v>
      </c>
      <c r="B39" s="614">
        <v>2140</v>
      </c>
      <c r="C39" s="466"/>
      <c r="D39" s="466"/>
      <c r="E39" s="466">
        <v>40092</v>
      </c>
      <c r="F39" s="466"/>
      <c r="G39" s="466"/>
      <c r="H39" s="466"/>
      <c r="I39" s="467"/>
      <c r="J39" s="467"/>
      <c r="K39" s="1671">
        <f t="shared" si="2"/>
        <v>40092</v>
      </c>
      <c r="L39" s="466">
        <v>41000</v>
      </c>
    </row>
    <row r="40" spans="1:14" x14ac:dyDescent="0.2">
      <c r="A40" s="1504" t="s">
        <v>200</v>
      </c>
      <c r="B40" s="614">
        <v>2150</v>
      </c>
      <c r="C40" s="466">
        <v>57385</v>
      </c>
      <c r="D40" s="466">
        <v>14333</v>
      </c>
      <c r="E40" s="466"/>
      <c r="F40" s="466">
        <v>364</v>
      </c>
      <c r="G40" s="466"/>
      <c r="H40" s="466"/>
      <c r="I40" s="467"/>
      <c r="J40" s="467"/>
      <c r="K40" s="1671">
        <f t="shared" si="2"/>
        <v>72082</v>
      </c>
      <c r="L40" s="466">
        <v>75264</v>
      </c>
    </row>
    <row r="41" spans="1:14" x14ac:dyDescent="0.2">
      <c r="A41" s="1504" t="s">
        <v>1669</v>
      </c>
      <c r="B41" s="614">
        <v>2190</v>
      </c>
      <c r="C41" s="466"/>
      <c r="D41" s="466"/>
      <c r="E41" s="466"/>
      <c r="F41" s="466">
        <v>933</v>
      </c>
      <c r="G41" s="466"/>
      <c r="H41" s="466"/>
      <c r="I41" s="467"/>
      <c r="J41" s="467"/>
      <c r="K41" s="1671">
        <f t="shared" si="2"/>
        <v>933</v>
      </c>
      <c r="L41" s="466">
        <v>1700</v>
      </c>
    </row>
    <row r="42" spans="1:14" ht="12.75" customHeight="1" thickBot="1" x14ac:dyDescent="0.25">
      <c r="A42" s="1668" t="s">
        <v>560</v>
      </c>
      <c r="B42" s="1669" t="s">
        <v>716</v>
      </c>
      <c r="C42" s="1670">
        <f>SUM(C36:C41)</f>
        <v>101581</v>
      </c>
      <c r="D42" s="1670">
        <f t="shared" ref="D42:L42" si="3">SUM(D36:D41)</f>
        <v>24015</v>
      </c>
      <c r="E42" s="1670">
        <f t="shared" si="3"/>
        <v>52484</v>
      </c>
      <c r="F42" s="1670">
        <f t="shared" si="3"/>
        <v>3166</v>
      </c>
      <c r="G42" s="1670">
        <f t="shared" si="3"/>
        <v>0</v>
      </c>
      <c r="H42" s="1670">
        <f t="shared" si="3"/>
        <v>0</v>
      </c>
      <c r="I42" s="1670">
        <f t="shared" si="3"/>
        <v>0</v>
      </c>
      <c r="J42" s="1670">
        <f t="shared" si="3"/>
        <v>0</v>
      </c>
      <c r="K42" s="1670">
        <f t="shared" si="3"/>
        <v>181246</v>
      </c>
      <c r="L42" s="1670">
        <f t="shared" si="3"/>
        <v>188728</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v>3920</v>
      </c>
      <c r="E44" s="481">
        <v>17957</v>
      </c>
      <c r="F44" s="481">
        <v>697</v>
      </c>
      <c r="G44" s="481"/>
      <c r="H44" s="481"/>
      <c r="I44" s="467"/>
      <c r="J44" s="467"/>
      <c r="K44" s="1672">
        <f>SUM(C44:J44)</f>
        <v>22574</v>
      </c>
      <c r="L44" s="481">
        <v>19986</v>
      </c>
    </row>
    <row r="45" spans="1:14" x14ac:dyDescent="0.2">
      <c r="A45" s="1504" t="s">
        <v>815</v>
      </c>
      <c r="B45" s="614">
        <v>2220</v>
      </c>
      <c r="C45" s="466"/>
      <c r="D45" s="466"/>
      <c r="E45" s="466">
        <v>1176</v>
      </c>
      <c r="F45" s="466">
        <v>1456</v>
      </c>
      <c r="G45" s="466"/>
      <c r="H45" s="466"/>
      <c r="I45" s="467"/>
      <c r="J45" s="467"/>
      <c r="K45" s="1672">
        <f>SUM(C45:J45)</f>
        <v>2632</v>
      </c>
      <c r="L45" s="466">
        <v>1950</v>
      </c>
    </row>
    <row r="46" spans="1:14" x14ac:dyDescent="0.2">
      <c r="A46" s="1504" t="s">
        <v>816</v>
      </c>
      <c r="B46" s="614">
        <v>2230</v>
      </c>
      <c r="C46" s="466"/>
      <c r="D46" s="466"/>
      <c r="E46" s="466">
        <v>12981</v>
      </c>
      <c r="F46" s="466"/>
      <c r="G46" s="466"/>
      <c r="H46" s="466"/>
      <c r="I46" s="467"/>
      <c r="J46" s="467"/>
      <c r="K46" s="1672">
        <f>SUM(C46:J46)</f>
        <v>12981</v>
      </c>
      <c r="L46" s="466">
        <v>13000</v>
      </c>
    </row>
    <row r="47" spans="1:14" ht="12.75" customHeight="1" thickBot="1" x14ac:dyDescent="0.25">
      <c r="A47" s="1668" t="s">
        <v>561</v>
      </c>
      <c r="B47" s="1669" t="s">
        <v>32</v>
      </c>
      <c r="C47" s="1670">
        <f>SUM(C44:C46)</f>
        <v>0</v>
      </c>
      <c r="D47" s="1670">
        <f t="shared" ref="D47:K47" si="4">SUM(D44:D46)</f>
        <v>3920</v>
      </c>
      <c r="E47" s="1670">
        <f t="shared" si="4"/>
        <v>32114</v>
      </c>
      <c r="F47" s="1670">
        <f t="shared" si="4"/>
        <v>2153</v>
      </c>
      <c r="G47" s="1670">
        <f t="shared" si="4"/>
        <v>0</v>
      </c>
      <c r="H47" s="1670">
        <f t="shared" si="4"/>
        <v>0</v>
      </c>
      <c r="I47" s="1670">
        <f t="shared" si="4"/>
        <v>0</v>
      </c>
      <c r="J47" s="1670">
        <f t="shared" si="4"/>
        <v>0</v>
      </c>
      <c r="K47" s="1670">
        <f t="shared" si="4"/>
        <v>38187</v>
      </c>
      <c r="L47" s="1670">
        <f>SUM(L44:L46)</f>
        <v>34936</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1204</v>
      </c>
      <c r="D49" s="481"/>
      <c r="E49" s="481">
        <v>17595</v>
      </c>
      <c r="F49" s="481">
        <v>3675</v>
      </c>
      <c r="G49" s="481"/>
      <c r="H49" s="481">
        <v>2434</v>
      </c>
      <c r="I49" s="467"/>
      <c r="J49" s="467"/>
      <c r="K49" s="1672">
        <f>SUM(C49:J49)</f>
        <v>24908</v>
      </c>
      <c r="L49" s="481">
        <v>26257</v>
      </c>
    </row>
    <row r="50" spans="1:14" x14ac:dyDescent="0.2">
      <c r="A50" s="1504" t="s">
        <v>818</v>
      </c>
      <c r="B50" s="614">
        <v>2320</v>
      </c>
      <c r="C50" s="466">
        <v>99705</v>
      </c>
      <c r="D50" s="466">
        <v>12880</v>
      </c>
      <c r="E50" s="466">
        <v>2612</v>
      </c>
      <c r="F50" s="466">
        <v>1588</v>
      </c>
      <c r="G50" s="466"/>
      <c r="H50" s="466">
        <v>1644</v>
      </c>
      <c r="I50" s="467"/>
      <c r="J50" s="467"/>
      <c r="K50" s="1672">
        <f>SUM(C50:J50)</f>
        <v>118429</v>
      </c>
      <c r="L50" s="466">
        <v>120220</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100909</v>
      </c>
      <c r="D53" s="1670">
        <f t="shared" ref="D53:L53" si="5">SUM(D49:D52)</f>
        <v>12880</v>
      </c>
      <c r="E53" s="1670">
        <f t="shared" si="5"/>
        <v>20207</v>
      </c>
      <c r="F53" s="1670">
        <f t="shared" si="5"/>
        <v>5263</v>
      </c>
      <c r="G53" s="1670">
        <f t="shared" si="5"/>
        <v>0</v>
      </c>
      <c r="H53" s="1670">
        <f t="shared" si="5"/>
        <v>4078</v>
      </c>
      <c r="I53" s="1670">
        <f t="shared" si="5"/>
        <v>0</v>
      </c>
      <c r="J53" s="1670">
        <f t="shared" si="5"/>
        <v>0</v>
      </c>
      <c r="K53" s="1670">
        <f t="shared" si="5"/>
        <v>143337</v>
      </c>
      <c r="L53" s="1670">
        <f t="shared" si="5"/>
        <v>146477</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156175</v>
      </c>
      <c r="D55" s="481">
        <v>18034</v>
      </c>
      <c r="E55" s="481">
        <v>3659</v>
      </c>
      <c r="F55" s="481">
        <v>10367</v>
      </c>
      <c r="G55" s="481"/>
      <c r="H55" s="481">
        <v>390</v>
      </c>
      <c r="I55" s="467"/>
      <c r="J55" s="467"/>
      <c r="K55" s="1672">
        <f>SUM(C55:J55)</f>
        <v>188625</v>
      </c>
      <c r="L55" s="481">
        <v>190750</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156175</v>
      </c>
      <c r="D57" s="1674">
        <f t="shared" ref="D57:K57" si="6">SUM(D55:D56)</f>
        <v>18034</v>
      </c>
      <c r="E57" s="1674">
        <f t="shared" si="6"/>
        <v>3659</v>
      </c>
      <c r="F57" s="1674">
        <f t="shared" si="6"/>
        <v>10367</v>
      </c>
      <c r="G57" s="1674">
        <f t="shared" si="6"/>
        <v>0</v>
      </c>
      <c r="H57" s="1674">
        <f t="shared" si="6"/>
        <v>390</v>
      </c>
      <c r="I57" s="1674">
        <f t="shared" si="6"/>
        <v>0</v>
      </c>
      <c r="J57" s="1674">
        <f t="shared" si="6"/>
        <v>0</v>
      </c>
      <c r="K57" s="1674">
        <f t="shared" si="6"/>
        <v>188625</v>
      </c>
      <c r="L57" s="1670">
        <f>SUM(L55:L56)</f>
        <v>190750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68840</v>
      </c>
      <c r="D60" s="466">
        <v>17019</v>
      </c>
      <c r="E60" s="466">
        <v>160</v>
      </c>
      <c r="F60" s="466">
        <v>7006</v>
      </c>
      <c r="G60" s="466"/>
      <c r="H60" s="466">
        <v>750</v>
      </c>
      <c r="I60" s="467"/>
      <c r="J60" s="467"/>
      <c r="K60" s="1672">
        <f t="shared" si="7"/>
        <v>93775</v>
      </c>
      <c r="L60" s="466">
        <v>94320</v>
      </c>
      <c r="M60" s="609"/>
      <c r="N60" s="609"/>
    </row>
    <row r="61" spans="1:14" s="343" customFormat="1" x14ac:dyDescent="0.2">
      <c r="A61" s="1504" t="s">
        <v>197</v>
      </c>
      <c r="B61" s="614">
        <v>2540</v>
      </c>
      <c r="C61" s="466">
        <v>151660</v>
      </c>
      <c r="D61" s="466">
        <v>23841</v>
      </c>
      <c r="E61" s="466">
        <v>600</v>
      </c>
      <c r="F61" s="466"/>
      <c r="G61" s="466"/>
      <c r="H61" s="466"/>
      <c r="I61" s="467"/>
      <c r="J61" s="467"/>
      <c r="K61" s="1672">
        <f t="shared" si="7"/>
        <v>176101</v>
      </c>
      <c r="L61" s="466">
        <v>180800</v>
      </c>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23133</v>
      </c>
      <c r="D63" s="466">
        <v>4</v>
      </c>
      <c r="E63" s="466">
        <v>657</v>
      </c>
      <c r="F63" s="466">
        <v>213</v>
      </c>
      <c r="G63" s="466"/>
      <c r="H63" s="466"/>
      <c r="I63" s="467"/>
      <c r="J63" s="467"/>
      <c r="K63" s="1672">
        <f t="shared" si="7"/>
        <v>24007</v>
      </c>
      <c r="L63" s="466">
        <v>28116</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243633</v>
      </c>
      <c r="D65" s="1670">
        <f t="shared" ref="D65:L65" si="8">SUM(D59:D64)</f>
        <v>40864</v>
      </c>
      <c r="E65" s="1670">
        <f t="shared" si="8"/>
        <v>1417</v>
      </c>
      <c r="F65" s="1670">
        <f t="shared" si="8"/>
        <v>7219</v>
      </c>
      <c r="G65" s="1670">
        <f t="shared" si="8"/>
        <v>0</v>
      </c>
      <c r="H65" s="1670">
        <f t="shared" si="8"/>
        <v>750</v>
      </c>
      <c r="I65" s="1670">
        <f t="shared" si="8"/>
        <v>0</v>
      </c>
      <c r="J65" s="1670">
        <f t="shared" si="8"/>
        <v>0</v>
      </c>
      <c r="K65" s="1670">
        <f t="shared" si="8"/>
        <v>293883</v>
      </c>
      <c r="L65" s="1670">
        <f t="shared" si="8"/>
        <v>303236</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v>16100</v>
      </c>
      <c r="F68" s="466"/>
      <c r="G68" s="466"/>
      <c r="H68" s="466"/>
      <c r="I68" s="467"/>
      <c r="J68" s="467"/>
      <c r="K68" s="1672">
        <f>SUM(C68:J68)</f>
        <v>16100</v>
      </c>
      <c r="L68" s="466">
        <v>16500</v>
      </c>
      <c r="M68" s="609"/>
      <c r="N68" s="609"/>
    </row>
    <row r="69" spans="1:14" s="343" customFormat="1" x14ac:dyDescent="0.2">
      <c r="A69" s="1504" t="s">
        <v>1061</v>
      </c>
      <c r="B69" s="614">
        <v>2630</v>
      </c>
      <c r="C69" s="466">
        <v>57370</v>
      </c>
      <c r="D69" s="466">
        <v>3473</v>
      </c>
      <c r="E69" s="466">
        <v>24809</v>
      </c>
      <c r="F69" s="466"/>
      <c r="G69" s="466"/>
      <c r="H69" s="466"/>
      <c r="I69" s="467"/>
      <c r="J69" s="467"/>
      <c r="K69" s="1672">
        <f>SUM(C69:J69)</f>
        <v>85652</v>
      </c>
      <c r="L69" s="466">
        <v>91200</v>
      </c>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57370</v>
      </c>
      <c r="D72" s="1670">
        <f t="shared" ref="D72:K72" si="9">SUM(D67:D71)</f>
        <v>3473</v>
      </c>
      <c r="E72" s="1670">
        <f t="shared" si="9"/>
        <v>40909</v>
      </c>
      <c r="F72" s="1670">
        <f t="shared" si="9"/>
        <v>0</v>
      </c>
      <c r="G72" s="1670">
        <f t="shared" si="9"/>
        <v>0</v>
      </c>
      <c r="H72" s="1670">
        <f t="shared" si="9"/>
        <v>0</v>
      </c>
      <c r="I72" s="1670">
        <f t="shared" si="9"/>
        <v>0</v>
      </c>
      <c r="J72" s="1670">
        <f t="shared" si="9"/>
        <v>0</v>
      </c>
      <c r="K72" s="1670">
        <f t="shared" si="9"/>
        <v>101752</v>
      </c>
      <c r="L72" s="1670">
        <f>SUM(L67:L71)</f>
        <v>107700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v>700</v>
      </c>
      <c r="M73" s="609"/>
      <c r="N73" s="609"/>
    </row>
    <row r="74" spans="1:14" ht="12.75" customHeight="1" thickTop="1" thickBot="1" x14ac:dyDescent="0.25">
      <c r="A74" s="1668" t="s">
        <v>811</v>
      </c>
      <c r="B74" s="1676">
        <v>2000</v>
      </c>
      <c r="C74" s="1677">
        <f>SUM(C42,C47,C53,C57,C65,C72,C73)</f>
        <v>659668</v>
      </c>
      <c r="D74" s="1677">
        <f t="shared" ref="D74:K74" si="10">SUM(D42,D47,D53,D57,D65,D72,D73)</f>
        <v>103186</v>
      </c>
      <c r="E74" s="1677">
        <f t="shared" si="10"/>
        <v>150790</v>
      </c>
      <c r="F74" s="1677">
        <f t="shared" si="10"/>
        <v>28168</v>
      </c>
      <c r="G74" s="1677">
        <f t="shared" si="10"/>
        <v>0</v>
      </c>
      <c r="H74" s="1677">
        <f t="shared" si="10"/>
        <v>5218</v>
      </c>
      <c r="I74" s="1677">
        <f t="shared" si="10"/>
        <v>0</v>
      </c>
      <c r="J74" s="1677">
        <f t="shared" si="10"/>
        <v>0</v>
      </c>
      <c r="K74" s="1677">
        <f t="shared" si="10"/>
        <v>947030</v>
      </c>
      <c r="L74" s="1677">
        <f>SUM(L42,L47,L53,L57,L65,L72,L73)</f>
        <v>972527</v>
      </c>
    </row>
    <row r="75" spans="1:14" s="259" customFormat="1" ht="15.75" customHeight="1" thickTop="1" thickBot="1" x14ac:dyDescent="0.25">
      <c r="A75" s="1610" t="s">
        <v>47</v>
      </c>
      <c r="B75" s="1611" t="s">
        <v>575</v>
      </c>
      <c r="C75" s="573">
        <v>17213</v>
      </c>
      <c r="D75" s="573"/>
      <c r="E75" s="573">
        <v>1710</v>
      </c>
      <c r="F75" s="573">
        <v>4948</v>
      </c>
      <c r="G75" s="573"/>
      <c r="H75" s="573"/>
      <c r="I75" s="531"/>
      <c r="J75" s="531"/>
      <c r="K75" s="1670">
        <f>SUM(C75:J75)</f>
        <v>23871</v>
      </c>
      <c r="L75" s="576">
        <v>31244</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v>10350</v>
      </c>
      <c r="F79" s="616"/>
      <c r="G79" s="616"/>
      <c r="H79" s="466"/>
      <c r="I79" s="477"/>
      <c r="J79" s="477"/>
      <c r="K79" s="1671">
        <f t="shared" si="11"/>
        <v>10350</v>
      </c>
      <c r="L79" s="466">
        <v>12100</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10350</v>
      </c>
      <c r="F84" s="616"/>
      <c r="G84" s="616"/>
      <c r="H84" s="1670">
        <f>SUM(H78:H83)</f>
        <v>0</v>
      </c>
      <c r="I84" s="477"/>
      <c r="J84" s="477"/>
      <c r="K84" s="1670">
        <f>SUM(K78:K83)</f>
        <v>10350</v>
      </c>
      <c r="L84" s="1670">
        <f>SUM(L78:L83)</f>
        <v>12100</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v>140463</v>
      </c>
      <c r="I86" s="477"/>
      <c r="J86" s="477"/>
      <c r="K86" s="1677">
        <f t="shared" ref="K86:K98" si="12">H86</f>
        <v>140463</v>
      </c>
      <c r="L86" s="530">
        <v>142233</v>
      </c>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140463</v>
      </c>
      <c r="I92" s="477"/>
      <c r="J92" s="477"/>
      <c r="K92" s="1677">
        <f t="shared" si="12"/>
        <v>140463</v>
      </c>
      <c r="L92" s="1670">
        <f>SUM(L85:L91)</f>
        <v>142233</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10350</v>
      </c>
      <c r="F102" s="616"/>
      <c r="G102" s="616"/>
      <c r="H102" s="1677">
        <f>SUM(H84,H92,H100,H101)</f>
        <v>140463</v>
      </c>
      <c r="I102" s="477"/>
      <c r="J102" s="477"/>
      <c r="K102" s="1677">
        <f>SUM(K84,K92,K100,K101)</f>
        <v>150813</v>
      </c>
      <c r="L102" s="1677">
        <f>SUM(L84,L92,L100,L101)</f>
        <v>154333</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2682498</v>
      </c>
      <c r="D114" s="1670">
        <f t="shared" ref="D114:K114" si="13">SUM(D33,D74,D75,D102,D112,D113)</f>
        <v>501944</v>
      </c>
      <c r="E114" s="1670">
        <f t="shared" si="13"/>
        <v>169612</v>
      </c>
      <c r="F114" s="1670">
        <f t="shared" si="13"/>
        <v>73028</v>
      </c>
      <c r="G114" s="1670">
        <f t="shared" si="13"/>
        <v>0</v>
      </c>
      <c r="H114" s="1670">
        <f>SUM(H33,H74,H75,H102,H112,H113)</f>
        <v>145681</v>
      </c>
      <c r="I114" s="1670">
        <f t="shared" si="13"/>
        <v>0</v>
      </c>
      <c r="J114" s="1670">
        <f t="shared" si="13"/>
        <v>0</v>
      </c>
      <c r="K114" s="1670">
        <f t="shared" si="13"/>
        <v>3572763</v>
      </c>
      <c r="L114" s="1670">
        <f>SUM(L33,L74,L75,L102,L112,L113)</f>
        <v>3637349</v>
      </c>
    </row>
    <row r="115" spans="1:14" ht="13.5" thickTop="1" x14ac:dyDescent="0.2">
      <c r="A115" s="2181" t="s">
        <v>996</v>
      </c>
      <c r="B115" s="2182"/>
      <c r="C115" s="618"/>
      <c r="D115" s="618"/>
      <c r="E115" s="618"/>
      <c r="F115" s="618"/>
      <c r="G115" s="618"/>
      <c r="H115" s="618"/>
      <c r="I115" s="618"/>
      <c r="J115" s="618"/>
      <c r="K115" s="1684">
        <f>'Revenues 9-14'!C268-'Expenditures 15-22'!K114</f>
        <v>-51328</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9" t="s">
        <v>296</v>
      </c>
      <c r="B117" s="2160"/>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c r="D124" s="466"/>
      <c r="E124" s="466">
        <v>84918</v>
      </c>
      <c r="F124" s="466">
        <v>116941</v>
      </c>
      <c r="G124" s="466">
        <v>123192</v>
      </c>
      <c r="H124" s="466"/>
      <c r="I124" s="467"/>
      <c r="J124" s="467"/>
      <c r="K124" s="1670">
        <f>SUM(C124:J124)</f>
        <v>325051</v>
      </c>
      <c r="L124" s="466">
        <v>353350</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0</v>
      </c>
      <c r="D127" s="1670">
        <f t="shared" ref="D127:L127" si="14">SUM(D122:D126)</f>
        <v>0</v>
      </c>
      <c r="E127" s="1670">
        <f t="shared" si="14"/>
        <v>84918</v>
      </c>
      <c r="F127" s="1670">
        <f t="shared" si="14"/>
        <v>116941</v>
      </c>
      <c r="G127" s="1670">
        <f t="shared" si="14"/>
        <v>123192</v>
      </c>
      <c r="H127" s="1670">
        <f t="shared" si="14"/>
        <v>0</v>
      </c>
      <c r="I127" s="1670">
        <f t="shared" si="14"/>
        <v>0</v>
      </c>
      <c r="J127" s="1670">
        <f t="shared" si="14"/>
        <v>0</v>
      </c>
      <c r="K127" s="1670">
        <f t="shared" si="14"/>
        <v>325051</v>
      </c>
      <c r="L127" s="1670">
        <f t="shared" si="14"/>
        <v>353350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0</v>
      </c>
      <c r="D129" s="1677">
        <f t="shared" ref="D129:L129" si="15">SUM(D120,D127,D128)</f>
        <v>0</v>
      </c>
      <c r="E129" s="1677">
        <f t="shared" si="15"/>
        <v>84918</v>
      </c>
      <c r="F129" s="1677">
        <f t="shared" si="15"/>
        <v>116941</v>
      </c>
      <c r="G129" s="1677">
        <f t="shared" si="15"/>
        <v>123192</v>
      </c>
      <c r="H129" s="1677">
        <f t="shared" si="15"/>
        <v>0</v>
      </c>
      <c r="I129" s="1677">
        <f t="shared" si="15"/>
        <v>0</v>
      </c>
      <c r="J129" s="1677">
        <f t="shared" si="15"/>
        <v>0</v>
      </c>
      <c r="K129" s="1677">
        <f t="shared" si="15"/>
        <v>325051</v>
      </c>
      <c r="L129" s="1677">
        <f t="shared" si="15"/>
        <v>353350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1" t="s">
        <v>620</v>
      </c>
      <c r="B151" s="2153"/>
      <c r="C151" s="1670">
        <f>SUM(C129,C130,C139,C149,C150)</f>
        <v>0</v>
      </c>
      <c r="D151" s="1670">
        <f t="shared" ref="D151:K151" si="16">SUM(D129,D130,D139,D149,D150)</f>
        <v>0</v>
      </c>
      <c r="E151" s="1670">
        <f t="shared" si="16"/>
        <v>84918</v>
      </c>
      <c r="F151" s="1670">
        <f t="shared" si="16"/>
        <v>116941</v>
      </c>
      <c r="G151" s="1670">
        <f t="shared" si="16"/>
        <v>123192</v>
      </c>
      <c r="H151" s="1670">
        <f t="shared" si="16"/>
        <v>0</v>
      </c>
      <c r="I151" s="1670">
        <f t="shared" si="16"/>
        <v>0</v>
      </c>
      <c r="J151" s="1670">
        <f t="shared" si="16"/>
        <v>0</v>
      </c>
      <c r="K151" s="1670">
        <f t="shared" si="16"/>
        <v>325051</v>
      </c>
      <c r="L151" s="1670">
        <f>SUM(L129,L130,L139,L149,L150)</f>
        <v>353350</v>
      </c>
    </row>
    <row r="152" spans="1:14" ht="12.75" customHeight="1" thickTop="1" x14ac:dyDescent="0.2">
      <c r="A152" s="2174" t="s">
        <v>1178</v>
      </c>
      <c r="B152" s="2175"/>
      <c r="C152" s="618"/>
      <c r="D152" s="618"/>
      <c r="E152" s="618"/>
      <c r="F152" s="618"/>
      <c r="G152" s="618"/>
      <c r="H152" s="618"/>
      <c r="I152" s="618"/>
      <c r="J152" s="616"/>
      <c r="K152" s="1684">
        <f>'Revenues 9-14'!D268-'Expenditures 15-22'!K151</f>
        <v>11063</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9" t="s">
        <v>621</v>
      </c>
      <c r="B154" s="2161"/>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13283</v>
      </c>
      <c r="I169" s="616"/>
      <c r="J169" s="616"/>
      <c r="K169" s="1671">
        <f>SUM(C169:H169)</f>
        <v>13283</v>
      </c>
      <c r="L169" s="656">
        <v>13282</v>
      </c>
    </row>
    <row r="170" spans="1:14" ht="33.75" customHeight="1" x14ac:dyDescent="0.2">
      <c r="A170" s="669" t="s">
        <v>1670</v>
      </c>
      <c r="B170" s="671" t="s">
        <v>31</v>
      </c>
      <c r="C170" s="616"/>
      <c r="D170" s="616"/>
      <c r="E170" s="616"/>
      <c r="F170" s="616"/>
      <c r="G170" s="616"/>
      <c r="H170" s="569">
        <v>150000</v>
      </c>
      <c r="I170" s="616"/>
      <c r="J170" s="616"/>
      <c r="K170" s="1671">
        <f>SUM(C170:J170)</f>
        <v>150000</v>
      </c>
      <c r="L170" s="569">
        <v>150000</v>
      </c>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163283</v>
      </c>
      <c r="I172" s="638"/>
      <c r="J172" s="616"/>
      <c r="K172" s="1677">
        <f>SUM(K168,K169,K170,K171)</f>
        <v>163283</v>
      </c>
      <c r="L172" s="1677">
        <f>SUM(L168,L169,L170,L171)</f>
        <v>163282</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163283</v>
      </c>
      <c r="I174" s="638"/>
      <c r="J174" s="616"/>
      <c r="K174" s="1677">
        <f>SUM(K160,K172,K173)</f>
        <v>163283</v>
      </c>
      <c r="L174" s="1677">
        <f>SUM(L160,L172,L173)</f>
        <v>163282</v>
      </c>
    </row>
    <row r="175" spans="1:14" ht="13.5" thickTop="1" x14ac:dyDescent="0.2">
      <c r="A175" s="2181" t="s">
        <v>996</v>
      </c>
      <c r="B175" s="2182"/>
      <c r="C175" s="616"/>
      <c r="D175" s="616"/>
      <c r="E175" s="616"/>
      <c r="F175" s="616"/>
      <c r="G175" s="616"/>
      <c r="H175" s="618"/>
      <c r="I175" s="616"/>
      <c r="J175" s="616"/>
      <c r="K175" s="1684">
        <f>'Revenues 9-14'!E268-'Expenditures 15-22'!K174</f>
        <v>-259</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60130</v>
      </c>
      <c r="D182" s="466"/>
      <c r="E182" s="466">
        <v>54327</v>
      </c>
      <c r="F182" s="466">
        <v>18285</v>
      </c>
      <c r="G182" s="466"/>
      <c r="H182" s="466"/>
      <c r="I182" s="467"/>
      <c r="J182" s="467"/>
      <c r="K182" s="1671">
        <f>SUM(C182:J182)</f>
        <v>132742</v>
      </c>
      <c r="L182" s="466">
        <v>149008</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60130</v>
      </c>
      <c r="D184" s="1677">
        <f t="shared" ref="D184:J184" si="17">SUM(D180,D182,D183)</f>
        <v>0</v>
      </c>
      <c r="E184" s="1677">
        <f t="shared" si="17"/>
        <v>54327</v>
      </c>
      <c r="F184" s="1677">
        <f t="shared" si="17"/>
        <v>18285</v>
      </c>
      <c r="G184" s="1677">
        <f t="shared" si="17"/>
        <v>0</v>
      </c>
      <c r="H184" s="1677">
        <f t="shared" si="17"/>
        <v>0</v>
      </c>
      <c r="I184" s="1677">
        <f t="shared" si="17"/>
        <v>0</v>
      </c>
      <c r="J184" s="1677">
        <f t="shared" si="17"/>
        <v>0</v>
      </c>
      <c r="K184" s="1677">
        <f>SUM(K180,K182,K183)</f>
        <v>132742</v>
      </c>
      <c r="L184" s="1677">
        <f>SUM(L180, L182:L183)</f>
        <v>149008</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60130</v>
      </c>
      <c r="D210" s="1670">
        <f>SUM(D184,D185)</f>
        <v>0</v>
      </c>
      <c r="E210" s="1670">
        <f>SUM(E184,E185,E196)</f>
        <v>54327</v>
      </c>
      <c r="F210" s="1670">
        <f>SUM(F184,F185)</f>
        <v>18285</v>
      </c>
      <c r="G210" s="1670">
        <f>SUM(G184,G185)</f>
        <v>0</v>
      </c>
      <c r="H210" s="1670">
        <f>SUM(H184,H185,H196,H208,H209)</f>
        <v>0</v>
      </c>
      <c r="I210" s="1670">
        <f>SUM(I184,I185)</f>
        <v>0</v>
      </c>
      <c r="J210" s="1670">
        <f>SUM(J184,J185)</f>
        <v>0</v>
      </c>
      <c r="K210" s="1671">
        <f>SUM(K184,K185,K196,K208,K209)</f>
        <v>132742</v>
      </c>
      <c r="L210" s="1670">
        <f>SUM(L184,L185,L196,L208,L209)</f>
        <v>149008</v>
      </c>
    </row>
    <row r="211" spans="1:14" ht="13.5" thickTop="1" x14ac:dyDescent="0.2">
      <c r="A211" s="2181" t="s">
        <v>996</v>
      </c>
      <c r="B211" s="2182"/>
      <c r="C211" s="618"/>
      <c r="D211" s="618"/>
      <c r="E211" s="618"/>
      <c r="F211" s="618"/>
      <c r="G211" s="618"/>
      <c r="H211" s="618"/>
      <c r="I211" s="616"/>
      <c r="J211" s="616"/>
      <c r="K211" s="1684">
        <f>'Revenues 9-14'!F268-'Expenditures 15-22'!K210</f>
        <v>47461</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6" t="s">
        <v>965</v>
      </c>
      <c r="B213" s="2177"/>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21964</v>
      </c>
      <c r="E215" s="616"/>
      <c r="F215" s="616"/>
      <c r="G215" s="616"/>
      <c r="H215" s="616"/>
      <c r="I215" s="616"/>
      <c r="J215" s="616"/>
      <c r="K215" s="1671">
        <f>D215</f>
        <v>21964</v>
      </c>
      <c r="L215" s="466">
        <v>24000</v>
      </c>
    </row>
    <row r="216" spans="1:14" x14ac:dyDescent="0.2">
      <c r="A216" s="1504" t="s">
        <v>163</v>
      </c>
      <c r="B216" s="614" t="s">
        <v>967</v>
      </c>
      <c r="C216" s="616"/>
      <c r="D216" s="467"/>
      <c r="E216" s="616"/>
      <c r="F216" s="616"/>
      <c r="G216" s="616"/>
      <c r="H216" s="616"/>
      <c r="I216" s="616"/>
      <c r="J216" s="616"/>
      <c r="K216" s="1671">
        <f t="shared" ref="K216:K228" si="19">D216</f>
        <v>0</v>
      </c>
      <c r="L216" s="466"/>
    </row>
    <row r="217" spans="1:14" x14ac:dyDescent="0.2">
      <c r="A217" s="1504" t="s">
        <v>164</v>
      </c>
      <c r="B217" s="614">
        <v>1200</v>
      </c>
      <c r="C217" s="616"/>
      <c r="D217" s="466">
        <v>19705</v>
      </c>
      <c r="E217" s="616"/>
      <c r="F217" s="616"/>
      <c r="G217" s="616"/>
      <c r="H217" s="616"/>
      <c r="I217" s="616"/>
      <c r="J217" s="616"/>
      <c r="K217" s="1671">
        <f t="shared" si="19"/>
        <v>19705</v>
      </c>
      <c r="L217" s="466">
        <v>23000</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3367</v>
      </c>
      <c r="E219" s="616"/>
      <c r="F219" s="616"/>
      <c r="G219" s="616"/>
      <c r="H219" s="616"/>
      <c r="I219" s="616"/>
      <c r="J219" s="616"/>
      <c r="K219" s="1671">
        <f t="shared" si="19"/>
        <v>3367</v>
      </c>
      <c r="L219" s="466">
        <v>6500</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c r="E222" s="616"/>
      <c r="F222" s="616"/>
      <c r="G222" s="616"/>
      <c r="H222" s="616"/>
      <c r="I222" s="616"/>
      <c r="J222" s="616"/>
      <c r="K222" s="1671">
        <f t="shared" si="19"/>
        <v>0</v>
      </c>
      <c r="L222" s="466"/>
    </row>
    <row r="223" spans="1:14" x14ac:dyDescent="0.2">
      <c r="A223" s="1504" t="s">
        <v>963</v>
      </c>
      <c r="B223" s="614">
        <v>1500</v>
      </c>
      <c r="C223" s="616"/>
      <c r="D223" s="466">
        <v>1740</v>
      </c>
      <c r="E223" s="616"/>
      <c r="F223" s="616"/>
      <c r="G223" s="616"/>
      <c r="H223" s="616"/>
      <c r="I223" s="616"/>
      <c r="J223" s="616"/>
      <c r="K223" s="1671">
        <f t="shared" si="19"/>
        <v>1740</v>
      </c>
      <c r="L223" s="466">
        <v>2600</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c r="E226" s="616"/>
      <c r="F226" s="616"/>
      <c r="G226" s="616"/>
      <c r="H226" s="616"/>
      <c r="I226" s="616"/>
      <c r="J226" s="616"/>
      <c r="K226" s="1671">
        <f t="shared" si="19"/>
        <v>0</v>
      </c>
      <c r="L226" s="466"/>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46776</v>
      </c>
      <c r="E229" s="616"/>
      <c r="F229" s="616"/>
      <c r="G229" s="616"/>
      <c r="H229" s="616"/>
      <c r="I229" s="616"/>
      <c r="J229" s="616"/>
      <c r="K229" s="1670">
        <f>SUM(K215:K228)</f>
        <v>46776</v>
      </c>
      <c r="L229" s="1670">
        <f>SUM(L215:L228)</f>
        <v>56100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v>516</v>
      </c>
      <c r="E233" s="616"/>
      <c r="F233" s="616"/>
      <c r="G233" s="616"/>
      <c r="H233" s="616"/>
      <c r="I233" s="616"/>
      <c r="J233" s="616"/>
      <c r="K233" s="1671">
        <f t="shared" si="20"/>
        <v>516</v>
      </c>
      <c r="L233" s="466">
        <v>700</v>
      </c>
    </row>
    <row r="234" spans="1:12" x14ac:dyDescent="0.2">
      <c r="A234" s="1504" t="s">
        <v>198</v>
      </c>
      <c r="B234" s="614">
        <v>2130</v>
      </c>
      <c r="C234" s="616"/>
      <c r="D234" s="466">
        <v>1323</v>
      </c>
      <c r="E234" s="616"/>
      <c r="F234" s="616"/>
      <c r="G234" s="616"/>
      <c r="H234" s="616"/>
      <c r="I234" s="616"/>
      <c r="J234" s="616"/>
      <c r="K234" s="1671">
        <f t="shared" si="20"/>
        <v>1323</v>
      </c>
      <c r="L234" s="466">
        <v>1800</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c r="E236" s="616"/>
      <c r="F236" s="616"/>
      <c r="G236" s="616"/>
      <c r="H236" s="616"/>
      <c r="I236" s="616"/>
      <c r="J236" s="616"/>
      <c r="K236" s="1671">
        <f t="shared" si="20"/>
        <v>0</v>
      </c>
      <c r="L236" s="466">
        <v>600</v>
      </c>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1839</v>
      </c>
      <c r="E238" s="616"/>
      <c r="F238" s="616"/>
      <c r="G238" s="616"/>
      <c r="H238" s="616"/>
      <c r="I238" s="616"/>
      <c r="J238" s="616"/>
      <c r="K238" s="1670">
        <f>SUM(K232:K237)</f>
        <v>1839</v>
      </c>
      <c r="L238" s="1670">
        <f>SUM(L232:L237)</f>
        <v>3100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v>9575</v>
      </c>
      <c r="E241" s="616"/>
      <c r="F241" s="616"/>
      <c r="G241" s="616"/>
      <c r="H241" s="616"/>
      <c r="I241" s="616"/>
      <c r="J241" s="616"/>
      <c r="K241" s="1672">
        <f>D241</f>
        <v>9575</v>
      </c>
      <c r="L241" s="466">
        <v>10700</v>
      </c>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9575</v>
      </c>
      <c r="E243" s="616"/>
      <c r="F243" s="616"/>
      <c r="G243" s="616"/>
      <c r="H243" s="616"/>
      <c r="I243" s="616"/>
      <c r="J243" s="616"/>
      <c r="K243" s="1670">
        <f>SUM(K240:K242)</f>
        <v>9575</v>
      </c>
      <c r="L243" s="1670">
        <f>SUM(L240:L242)</f>
        <v>10700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199</v>
      </c>
      <c r="E245" s="616"/>
      <c r="F245" s="616"/>
      <c r="G245" s="616"/>
      <c r="H245" s="616"/>
      <c r="I245" s="616"/>
      <c r="J245" s="616"/>
      <c r="K245" s="1672">
        <f>D245</f>
        <v>199</v>
      </c>
      <c r="L245" s="481">
        <v>270</v>
      </c>
    </row>
    <row r="246" spans="1:12" x14ac:dyDescent="0.2">
      <c r="A246" s="1504" t="s">
        <v>818</v>
      </c>
      <c r="B246" s="614">
        <v>2320</v>
      </c>
      <c r="C246" s="616"/>
      <c r="D246" s="466">
        <v>1384</v>
      </c>
      <c r="E246" s="616"/>
      <c r="F246" s="616"/>
      <c r="G246" s="616"/>
      <c r="H246" s="616"/>
      <c r="I246" s="616"/>
      <c r="J246" s="616"/>
      <c r="K246" s="1672">
        <f t="shared" ref="K246:K256" si="21">D246</f>
        <v>1384</v>
      </c>
      <c r="L246" s="466">
        <v>1600</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v>19706</v>
      </c>
      <c r="E254" s="616"/>
      <c r="F254" s="616"/>
      <c r="G254" s="616"/>
      <c r="H254" s="616"/>
      <c r="I254" s="616"/>
      <c r="J254" s="616"/>
      <c r="K254" s="1672">
        <f t="shared" si="21"/>
        <v>19706</v>
      </c>
      <c r="L254" s="466">
        <v>21000</v>
      </c>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21289</v>
      </c>
      <c r="E257" s="616"/>
      <c r="F257" s="616"/>
      <c r="G257" s="616"/>
      <c r="H257" s="616"/>
      <c r="I257" s="616"/>
      <c r="J257" s="616"/>
      <c r="K257" s="1670">
        <f>SUM(K245:K256)</f>
        <v>21289</v>
      </c>
      <c r="L257" s="1670">
        <f>SUM(L245:L256)</f>
        <v>22870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15943</v>
      </c>
      <c r="E259" s="616"/>
      <c r="F259" s="616"/>
      <c r="G259" s="616"/>
      <c r="H259" s="616"/>
      <c r="I259" s="616"/>
      <c r="J259" s="616"/>
      <c r="K259" s="1672">
        <f>D259</f>
        <v>15943</v>
      </c>
      <c r="L259" s="481">
        <v>21000</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15943</v>
      </c>
      <c r="E261" s="616"/>
      <c r="F261" s="616"/>
      <c r="G261" s="616"/>
      <c r="H261" s="616"/>
      <c r="I261" s="616"/>
      <c r="J261" s="616"/>
      <c r="K261" s="1670">
        <f>SUM(K259:K260)</f>
        <v>15943</v>
      </c>
      <c r="L261" s="1670">
        <f>SUM(L259:L260)</f>
        <v>21000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10665</v>
      </c>
      <c r="E264" s="616"/>
      <c r="F264" s="616"/>
      <c r="G264" s="616"/>
      <c r="H264" s="616"/>
      <c r="I264" s="616"/>
      <c r="J264" s="616"/>
      <c r="K264" s="1672">
        <f t="shared" ref="K264:K269" si="22">D264</f>
        <v>10665</v>
      </c>
      <c r="L264" s="466">
        <v>12000</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23859</v>
      </c>
      <c r="E266" s="616"/>
      <c r="F266" s="616"/>
      <c r="G266" s="616"/>
      <c r="H266" s="616"/>
      <c r="I266" s="616"/>
      <c r="J266" s="616"/>
      <c r="K266" s="1672">
        <f t="shared" si="22"/>
        <v>23859</v>
      </c>
      <c r="L266" s="466">
        <v>27500</v>
      </c>
    </row>
    <row r="267" spans="1:14" x14ac:dyDescent="0.2">
      <c r="A267" s="1504" t="s">
        <v>953</v>
      </c>
      <c r="B267" s="614">
        <v>2550</v>
      </c>
      <c r="C267" s="616"/>
      <c r="D267" s="466">
        <v>8807</v>
      </c>
      <c r="E267" s="616"/>
      <c r="F267" s="616"/>
      <c r="G267" s="616"/>
      <c r="H267" s="616"/>
      <c r="I267" s="616"/>
      <c r="J267" s="616"/>
      <c r="K267" s="1672">
        <f t="shared" si="22"/>
        <v>8807</v>
      </c>
      <c r="L267" s="466">
        <v>12300</v>
      </c>
    </row>
    <row r="268" spans="1:14" x14ac:dyDescent="0.2">
      <c r="A268" s="1504" t="s">
        <v>100</v>
      </c>
      <c r="B268" s="614">
        <v>2560</v>
      </c>
      <c r="C268" s="616"/>
      <c r="D268" s="466">
        <v>3703</v>
      </c>
      <c r="E268" s="616"/>
      <c r="F268" s="616"/>
      <c r="G268" s="616"/>
      <c r="H268" s="616"/>
      <c r="I268" s="616"/>
      <c r="J268" s="616"/>
      <c r="K268" s="1672">
        <f t="shared" si="22"/>
        <v>3703</v>
      </c>
      <c r="L268" s="466">
        <v>6950</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47034</v>
      </c>
      <c r="E270" s="616"/>
      <c r="F270" s="616"/>
      <c r="G270" s="616"/>
      <c r="H270" s="616"/>
      <c r="I270" s="616"/>
      <c r="J270" s="616"/>
      <c r="K270" s="1670">
        <f>SUM(K263:K269)</f>
        <v>47034</v>
      </c>
      <c r="L270" s="1670">
        <f>SUM(L263:L269)</f>
        <v>58750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95680</v>
      </c>
      <c r="E279" s="616"/>
      <c r="F279" s="616"/>
      <c r="G279" s="616"/>
      <c r="H279" s="616"/>
      <c r="I279" s="616"/>
      <c r="J279" s="616"/>
      <c r="K279" s="1677">
        <f>SUM(K238,K243,K257,K261,K270,K277,K278)</f>
        <v>95680</v>
      </c>
      <c r="L279" s="1677">
        <f>SUM(L238,L243,L257,L261,L270,L277,L278)</f>
        <v>116420</v>
      </c>
    </row>
    <row r="280" spans="1:12" ht="15.75" customHeight="1" thickTop="1" thickBot="1" x14ac:dyDescent="0.25">
      <c r="A280" s="1624" t="s">
        <v>875</v>
      </c>
      <c r="B280" s="1613">
        <v>3000</v>
      </c>
      <c r="C280" s="616"/>
      <c r="D280" s="576">
        <v>2034</v>
      </c>
      <c r="E280" s="616"/>
      <c r="F280" s="616"/>
      <c r="G280" s="616"/>
      <c r="H280" s="616"/>
      <c r="I280" s="616"/>
      <c r="J280" s="616"/>
      <c r="K280" s="1679">
        <f>D280</f>
        <v>2034</v>
      </c>
      <c r="L280" s="576">
        <v>3300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v>278</v>
      </c>
      <c r="E283" s="616"/>
      <c r="F283" s="616"/>
      <c r="G283" s="616"/>
      <c r="H283" s="616"/>
      <c r="I283" s="616"/>
      <c r="J283" s="616"/>
      <c r="K283" s="1671">
        <f>D283</f>
        <v>278</v>
      </c>
      <c r="L283" s="466">
        <v>1750</v>
      </c>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278</v>
      </c>
      <c r="E285" s="616"/>
      <c r="F285" s="616"/>
      <c r="G285" s="616"/>
      <c r="H285" s="616"/>
      <c r="I285" s="616"/>
      <c r="J285" s="616"/>
      <c r="K285" s="1670">
        <f>SUM(K282:K284)</f>
        <v>278</v>
      </c>
      <c r="L285" s="1670">
        <f>SUM(L282:L284)</f>
        <v>1750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2" t="s">
        <v>505</v>
      </c>
      <c r="B295" s="2173"/>
      <c r="C295" s="616"/>
      <c r="D295" s="1670">
        <f>SUM(D229,D279,D280,D285)</f>
        <v>144768</v>
      </c>
      <c r="E295" s="616"/>
      <c r="F295" s="616"/>
      <c r="G295" s="616"/>
      <c r="H295" s="1670">
        <f>H293</f>
        <v>0</v>
      </c>
      <c r="I295" s="616"/>
      <c r="J295" s="616"/>
      <c r="K295" s="1670">
        <f>SUM(K229,K279,K280,K285,K293,K294)</f>
        <v>144768</v>
      </c>
      <c r="L295" s="1670">
        <f>SUM(L229,L279,L280,L285,L293,L294)</f>
        <v>177570</v>
      </c>
    </row>
    <row r="296" spans="1:14" ht="13.5" thickTop="1" x14ac:dyDescent="0.2">
      <c r="A296" s="2181" t="s">
        <v>996</v>
      </c>
      <c r="B296" s="2182"/>
      <c r="C296" s="616"/>
      <c r="D296" s="618"/>
      <c r="E296" s="616"/>
      <c r="F296" s="616"/>
      <c r="G296" s="616"/>
      <c r="H296" s="687"/>
      <c r="I296" s="616"/>
      <c r="J296" s="616"/>
      <c r="K296" s="1684">
        <f>'Revenues 9-14'!G268-'Expenditures 15-22'!K295</f>
        <v>72554</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4" t="s">
        <v>143</v>
      </c>
      <c r="B298" s="2158"/>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69" t="s">
        <v>277</v>
      </c>
      <c r="B312" s="2170"/>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65" t="s">
        <v>996</v>
      </c>
      <c r="B313" s="2166"/>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8" t="s">
        <v>149</v>
      </c>
      <c r="B315" s="2179"/>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0" t="s">
        <v>898</v>
      </c>
      <c r="B317" s="2179"/>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v>23813</v>
      </c>
      <c r="F320" s="467"/>
      <c r="G320" s="467"/>
      <c r="H320" s="467"/>
      <c r="I320" s="467"/>
      <c r="J320" s="467"/>
      <c r="K320" s="1671">
        <f t="shared" ref="K320:K327" si="24">SUM(C320:J320)</f>
        <v>23813</v>
      </c>
      <c r="L320" s="467">
        <v>23000</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c r="D323" s="467"/>
      <c r="E323" s="467">
        <v>5435</v>
      </c>
      <c r="F323" s="467"/>
      <c r="G323" s="467"/>
      <c r="H323" s="467"/>
      <c r="I323" s="467"/>
      <c r="J323" s="467"/>
      <c r="K323" s="1671">
        <f t="shared" si="24"/>
        <v>5435</v>
      </c>
      <c r="L323" s="467">
        <v>22000</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229312</v>
      </c>
      <c r="D325" s="467">
        <v>29050</v>
      </c>
      <c r="E325" s="467">
        <v>18835</v>
      </c>
      <c r="F325" s="467">
        <v>491</v>
      </c>
      <c r="G325" s="467"/>
      <c r="H325" s="467"/>
      <c r="I325" s="467"/>
      <c r="J325" s="467"/>
      <c r="K325" s="1671">
        <f t="shared" si="24"/>
        <v>277688</v>
      </c>
      <c r="L325" s="467">
        <v>264600</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10060</v>
      </c>
      <c r="F327" s="467"/>
      <c r="G327" s="467"/>
      <c r="H327" s="467"/>
      <c r="I327" s="467"/>
      <c r="J327" s="467"/>
      <c r="K327" s="1671">
        <f t="shared" si="24"/>
        <v>10060</v>
      </c>
      <c r="L327" s="467">
        <v>11000</v>
      </c>
      <c r="M327" s="665"/>
      <c r="N327" s="665"/>
    </row>
    <row r="328" spans="1:14" s="674" customFormat="1" x14ac:dyDescent="0.2">
      <c r="A328" s="1520" t="s">
        <v>472</v>
      </c>
      <c r="B328" s="690" t="s">
        <v>1132</v>
      </c>
      <c r="C328" s="474"/>
      <c r="D328" s="474"/>
      <c r="E328" s="474">
        <v>26388</v>
      </c>
      <c r="F328" s="474"/>
      <c r="G328" s="474"/>
      <c r="H328" s="474"/>
      <c r="I328" s="474"/>
      <c r="J328" s="474"/>
      <c r="K328" s="1699">
        <f>SUM(C328:J328)</f>
        <v>26388</v>
      </c>
      <c r="L328" s="474">
        <v>26500</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229312</v>
      </c>
      <c r="D330" s="1670">
        <f t="shared" ref="D330:J330" si="25">SUM(D319:D329)</f>
        <v>29050</v>
      </c>
      <c r="E330" s="1670">
        <f t="shared" si="25"/>
        <v>84531</v>
      </c>
      <c r="F330" s="1670">
        <f t="shared" si="25"/>
        <v>491</v>
      </c>
      <c r="G330" s="1670">
        <f t="shared" si="25"/>
        <v>0</v>
      </c>
      <c r="H330" s="1670">
        <f t="shared" si="25"/>
        <v>0</v>
      </c>
      <c r="I330" s="1670">
        <f t="shared" si="25"/>
        <v>0</v>
      </c>
      <c r="J330" s="1670">
        <f t="shared" si="25"/>
        <v>0</v>
      </c>
      <c r="K330" s="1670">
        <f>SUM(K319:K329)</f>
        <v>343384</v>
      </c>
      <c r="L330" s="1670">
        <f>SUM(L319:L329)</f>
        <v>347100</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229312</v>
      </c>
      <c r="D342" s="1670">
        <f>SUM(D330)</f>
        <v>29050</v>
      </c>
      <c r="E342" s="1670">
        <f>SUM(E330)</f>
        <v>84531</v>
      </c>
      <c r="F342" s="1670">
        <f>SUM(F330)</f>
        <v>491</v>
      </c>
      <c r="G342" s="1670">
        <f>SUM(G330)</f>
        <v>0</v>
      </c>
      <c r="H342" s="1670">
        <f>SUM(H330,H334,H340)</f>
        <v>0</v>
      </c>
      <c r="I342" s="1670">
        <f>SUM(I330)</f>
        <v>0</v>
      </c>
      <c r="J342" s="1670">
        <f>SUM(J330)</f>
        <v>0</v>
      </c>
      <c r="K342" s="1670">
        <f>SUM(K330,K334,K340)</f>
        <v>343384</v>
      </c>
      <c r="L342" s="1677">
        <f>SUM(L330,L340,L341)</f>
        <v>347100</v>
      </c>
    </row>
    <row r="343" spans="1:14" ht="12.75" customHeight="1" thickTop="1" x14ac:dyDescent="0.2">
      <c r="A343" s="2167" t="s">
        <v>996</v>
      </c>
      <c r="B343" s="2168"/>
      <c r="C343" s="616"/>
      <c r="D343" s="616"/>
      <c r="E343" s="616"/>
      <c r="F343" s="616"/>
      <c r="G343" s="616"/>
      <c r="H343" s="616"/>
      <c r="I343" s="616"/>
      <c r="J343" s="616"/>
      <c r="K343" s="1684">
        <f>'Revenues 9-14'!J268-'Expenditures 15-22'!K342</f>
        <v>4970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7" t="s">
        <v>966</v>
      </c>
      <c r="B345" s="2158"/>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0</v>
      </c>
    </row>
    <row r="368" spans="1:14" ht="13.5" thickTop="1" x14ac:dyDescent="0.2">
      <c r="A368" s="2181" t="s">
        <v>996</v>
      </c>
      <c r="B368" s="2182"/>
      <c r="C368" s="654"/>
      <c r="D368" s="654"/>
      <c r="E368" s="626"/>
      <c r="F368" s="626"/>
      <c r="G368" s="626"/>
      <c r="H368" s="626"/>
      <c r="I368" s="626"/>
      <c r="J368" s="623"/>
      <c r="K368" s="1671">
        <f>'Revenues 9-14'!K268-'Expenditures 15-22'!K367</f>
        <v>48116</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I22" sqref="I22:S22"/>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3" t="s">
        <v>1802</v>
      </c>
      <c r="B2" s="1528" t="s">
        <v>1951</v>
      </c>
      <c r="C2" s="714" t="s">
        <v>1952</v>
      </c>
      <c r="D2" s="714" t="s">
        <v>1953</v>
      </c>
      <c r="E2" s="714" t="s">
        <v>1954</v>
      </c>
      <c r="F2" s="714" t="s">
        <v>1955</v>
      </c>
    </row>
    <row r="3" spans="1:6" ht="12" customHeight="1" x14ac:dyDescent="0.2">
      <c r="A3" s="2184"/>
      <c r="B3" s="1525"/>
      <c r="C3" s="1526"/>
      <c r="D3" s="1527" t="s">
        <v>256</v>
      </c>
      <c r="E3" s="1526"/>
      <c r="F3" s="1527" t="s">
        <v>257</v>
      </c>
    </row>
    <row r="4" spans="1:6" ht="13.7" customHeight="1" x14ac:dyDescent="0.2">
      <c r="A4" s="715" t="s">
        <v>1155</v>
      </c>
      <c r="B4" s="1749">
        <f>'Revenues 9-14'!C5</f>
        <v>1922395</v>
      </c>
      <c r="C4" s="1524"/>
      <c r="D4" s="1752">
        <f>B4-C4</f>
        <v>1922395</v>
      </c>
      <c r="E4" s="1524">
        <v>2008419</v>
      </c>
      <c r="F4" s="1752">
        <f>E4-C4</f>
        <v>2008419</v>
      </c>
    </row>
    <row r="5" spans="1:6" ht="13.7" customHeight="1" x14ac:dyDescent="0.2">
      <c r="A5" s="715" t="s">
        <v>870</v>
      </c>
      <c r="B5" s="1750">
        <f>'Revenues 9-14'!D5</f>
        <v>240300</v>
      </c>
      <c r="C5" s="585"/>
      <c r="D5" s="1753">
        <f t="shared" ref="D5:D18" si="0">B5-C5</f>
        <v>240300</v>
      </c>
      <c r="E5" s="585">
        <v>251052</v>
      </c>
      <c r="F5" s="1753">
        <f>E5-C5</f>
        <v>251052</v>
      </c>
    </row>
    <row r="6" spans="1:6" ht="13.7" customHeight="1" x14ac:dyDescent="0.2">
      <c r="A6" s="715" t="s">
        <v>411</v>
      </c>
      <c r="B6" s="1750">
        <f>'Revenues 9-14'!E5</f>
        <v>162827</v>
      </c>
      <c r="C6" s="585"/>
      <c r="D6" s="1753">
        <f t="shared" si="0"/>
        <v>162827</v>
      </c>
      <c r="E6" s="585">
        <v>162481</v>
      </c>
      <c r="F6" s="1753">
        <f t="shared" ref="F6:F18" si="1">E6-C6</f>
        <v>162481</v>
      </c>
    </row>
    <row r="7" spans="1:6" ht="13.7" customHeight="1" x14ac:dyDescent="0.2">
      <c r="A7" s="715" t="s">
        <v>155</v>
      </c>
      <c r="B7" s="1750">
        <f>'Revenues 9-14'!F5</f>
        <v>115343</v>
      </c>
      <c r="C7" s="585"/>
      <c r="D7" s="1753">
        <f t="shared" si="0"/>
        <v>115343</v>
      </c>
      <c r="E7" s="585">
        <v>120508</v>
      </c>
      <c r="F7" s="1753">
        <f t="shared" si="1"/>
        <v>120508</v>
      </c>
    </row>
    <row r="8" spans="1:6" ht="13.7" customHeight="1" x14ac:dyDescent="0.2">
      <c r="A8" s="715" t="s">
        <v>1179</v>
      </c>
      <c r="B8" s="1750">
        <f>'Revenues 9-14'!G5</f>
        <v>84778</v>
      </c>
      <c r="C8" s="585"/>
      <c r="D8" s="1753">
        <f t="shared" si="0"/>
        <v>84778</v>
      </c>
      <c r="E8" s="585">
        <v>80035</v>
      </c>
      <c r="F8" s="1753">
        <f t="shared" si="1"/>
        <v>80035</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48059</v>
      </c>
      <c r="C10" s="585"/>
      <c r="D10" s="1753">
        <f t="shared" si="0"/>
        <v>48059</v>
      </c>
      <c r="E10" s="585">
        <v>50210</v>
      </c>
      <c r="F10" s="1753">
        <f t="shared" si="1"/>
        <v>50210</v>
      </c>
    </row>
    <row r="11" spans="1:6" x14ac:dyDescent="0.2">
      <c r="A11" s="715" t="s">
        <v>409</v>
      </c>
      <c r="B11" s="1750">
        <f>'Revenues 9-14'!J5</f>
        <v>342764</v>
      </c>
      <c r="C11" s="585"/>
      <c r="D11" s="1753">
        <f t="shared" si="0"/>
        <v>342764</v>
      </c>
      <c r="E11" s="585">
        <v>393751</v>
      </c>
      <c r="F11" s="1753">
        <f t="shared" si="1"/>
        <v>393751</v>
      </c>
    </row>
    <row r="12" spans="1:6" ht="13.7" customHeight="1" x14ac:dyDescent="0.2">
      <c r="A12" s="715" t="s">
        <v>157</v>
      </c>
      <c r="B12" s="1750">
        <f>'Revenues 9-14'!K5</f>
        <v>48059</v>
      </c>
      <c r="C12" s="585"/>
      <c r="D12" s="1753">
        <f t="shared" si="0"/>
        <v>48059</v>
      </c>
      <c r="E12" s="585">
        <v>50210</v>
      </c>
      <c r="F12" s="1753">
        <f t="shared" si="1"/>
        <v>50210</v>
      </c>
    </row>
    <row r="13" spans="1:6" ht="13.7" customHeight="1" x14ac:dyDescent="0.2">
      <c r="A13" s="715" t="s">
        <v>936</v>
      </c>
      <c r="B13" s="1750">
        <f>SUM('Revenues 9-14'!C6:D6)</f>
        <v>48059</v>
      </c>
      <c r="C13" s="585"/>
      <c r="D13" s="1753">
        <f t="shared" si="0"/>
        <v>48059</v>
      </c>
      <c r="E13" s="585">
        <v>50210</v>
      </c>
      <c r="F13" s="1753">
        <f t="shared" si="1"/>
        <v>50210</v>
      </c>
    </row>
    <row r="14" spans="1:6" ht="13.7" customHeight="1" x14ac:dyDescent="0.2">
      <c r="A14" s="715" t="s">
        <v>410</v>
      </c>
      <c r="B14" s="1750">
        <f>SUM('Revenues 9-14'!C7:D7,'Revenues 9-14'!F7:H7)</f>
        <v>19225</v>
      </c>
      <c r="C14" s="585"/>
      <c r="D14" s="1753">
        <f t="shared" si="0"/>
        <v>19225</v>
      </c>
      <c r="E14" s="585">
        <v>20084</v>
      </c>
      <c r="F14" s="1753">
        <f t="shared" si="1"/>
        <v>20084</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128706</v>
      </c>
      <c r="C16" s="585"/>
      <c r="D16" s="1753">
        <f t="shared" si="0"/>
        <v>128706</v>
      </c>
      <c r="E16" s="585">
        <v>100019</v>
      </c>
      <c r="F16" s="1753">
        <f t="shared" si="1"/>
        <v>100019</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3160515</v>
      </c>
      <c r="C19" s="1751">
        <f>SUM(C4:C18)</f>
        <v>0</v>
      </c>
      <c r="D19" s="1751">
        <f>SUM(D4:D18)</f>
        <v>3160515</v>
      </c>
      <c r="E19" s="1751">
        <f>SUM(E4:E18)</f>
        <v>3286979</v>
      </c>
      <c r="F19" s="1751">
        <f>SUM(F4:F18)</f>
        <v>3286979</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9" colorId="8" zoomScale="110" zoomScaleNormal="110" workbookViewId="0">
      <selection activeCell="I22" sqref="I22:S2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9" t="s">
        <v>629</v>
      </c>
      <c r="B1" s="2190"/>
      <c r="C1" s="721"/>
    </row>
    <row r="2" spans="1:7" ht="33.75" x14ac:dyDescent="0.2">
      <c r="A2" s="2198" t="s">
        <v>1802</v>
      </c>
      <c r="B2" s="2199"/>
      <c r="C2" s="1884" t="s">
        <v>1956</v>
      </c>
      <c r="D2" s="723" t="s">
        <v>1957</v>
      </c>
      <c r="E2" s="723" t="s">
        <v>1958</v>
      </c>
      <c r="F2" s="1884" t="s">
        <v>1959</v>
      </c>
    </row>
    <row r="3" spans="1:7" ht="15.75" customHeight="1" x14ac:dyDescent="0.2">
      <c r="A3" s="2202" t="s">
        <v>1114</v>
      </c>
      <c r="B3" s="2203"/>
      <c r="C3" s="2191"/>
      <c r="D3" s="2192"/>
      <c r="E3" s="2192"/>
      <c r="F3" s="2193"/>
    </row>
    <row r="4" spans="1:7" ht="12.75" customHeight="1" thickBot="1" x14ac:dyDescent="0.25">
      <c r="A4" s="2200" t="s">
        <v>630</v>
      </c>
      <c r="B4" s="2201"/>
      <c r="C4" s="581"/>
      <c r="D4" s="581"/>
      <c r="E4" s="581"/>
      <c r="F4" s="1755">
        <f>SUM(C4+D4)-E4</f>
        <v>0</v>
      </c>
    </row>
    <row r="5" spans="1:7" ht="15.75" customHeight="1" thickTop="1" x14ac:dyDescent="0.2">
      <c r="A5" s="2185" t="s">
        <v>1110</v>
      </c>
      <c r="B5" s="2186"/>
      <c r="C5" s="2194"/>
      <c r="D5" s="2195"/>
      <c r="E5" s="2195"/>
      <c r="F5" s="2196"/>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7" t="s">
        <v>631</v>
      </c>
      <c r="B15" s="2188"/>
      <c r="C15" s="1755">
        <f>SUM(C6:C14)</f>
        <v>0</v>
      </c>
      <c r="D15" s="1755">
        <f>SUM(D6:D14)</f>
        <v>0</v>
      </c>
      <c r="E15" s="1755">
        <f>SUM(E6:E14)</f>
        <v>0</v>
      </c>
      <c r="F15" s="1755">
        <f>SUM(F6:F14)</f>
        <v>0</v>
      </c>
      <c r="G15" s="552"/>
    </row>
    <row r="16" spans="1:7" s="202" customFormat="1" ht="15.75" customHeight="1" thickTop="1" x14ac:dyDescent="0.2">
      <c r="A16" s="2197" t="s">
        <v>1111</v>
      </c>
      <c r="B16" s="2186"/>
      <c r="C16" s="2194"/>
      <c r="D16" s="2195"/>
      <c r="E16" s="2195"/>
      <c r="F16" s="2196"/>
    </row>
    <row r="17" spans="1:11" ht="12.75" customHeight="1" thickBot="1" x14ac:dyDescent="0.25">
      <c r="A17" s="2210" t="s">
        <v>64</v>
      </c>
      <c r="B17" s="2211"/>
      <c r="C17" s="726"/>
      <c r="D17" s="585"/>
      <c r="E17" s="726"/>
      <c r="F17" s="1755">
        <f>SUM(C17+D17)-E17</f>
        <v>0</v>
      </c>
    </row>
    <row r="18" spans="1:11" ht="12.75" customHeight="1" thickTop="1" thickBot="1" x14ac:dyDescent="0.25">
      <c r="A18" s="2210" t="s">
        <v>6</v>
      </c>
      <c r="B18" s="2211"/>
      <c r="C18" s="726"/>
      <c r="D18" s="585"/>
      <c r="E18" s="726"/>
      <c r="F18" s="1755">
        <f>SUM(C18+D18)-E18</f>
        <v>0</v>
      </c>
    </row>
    <row r="19" spans="1:11" ht="12.75" customHeight="1" thickTop="1" thickBot="1" x14ac:dyDescent="0.25">
      <c r="A19" s="2210" t="s">
        <v>388</v>
      </c>
      <c r="B19" s="2211"/>
      <c r="C19" s="726"/>
      <c r="D19" s="585"/>
      <c r="E19" s="726"/>
      <c r="F19" s="1755">
        <f>SUM(C19+D19)-E19</f>
        <v>0</v>
      </c>
    </row>
    <row r="20" spans="1:11" ht="12.75" customHeight="1" thickTop="1" thickBot="1" x14ac:dyDescent="0.25">
      <c r="A20" s="2210" t="s">
        <v>448</v>
      </c>
      <c r="B20" s="2211"/>
      <c r="C20" s="726"/>
      <c r="D20" s="585"/>
      <c r="E20" s="726"/>
      <c r="F20" s="1755">
        <f>SUM(C20+D20)-E20</f>
        <v>0</v>
      </c>
    </row>
    <row r="21" spans="1:11" ht="14.25" thickTop="1" thickBot="1" x14ac:dyDescent="0.25">
      <c r="A21" s="2187" t="s">
        <v>632</v>
      </c>
      <c r="B21" s="2188"/>
      <c r="C21" s="1755">
        <f>SUM(C17:C20)</f>
        <v>0</v>
      </c>
      <c r="D21" s="1755">
        <f>SUM(D17:D20)</f>
        <v>0</v>
      </c>
      <c r="E21" s="1755">
        <f>SUM(E17:E20)</f>
        <v>0</v>
      </c>
      <c r="F21" s="1755">
        <f>SUM(F17:F20)</f>
        <v>0</v>
      </c>
      <c r="G21" s="552"/>
    </row>
    <row r="22" spans="1:11" ht="15.75" customHeight="1" thickTop="1" x14ac:dyDescent="0.2">
      <c r="A22" s="2212" t="s">
        <v>1112</v>
      </c>
      <c r="B22" s="2186"/>
      <c r="C22" s="2194"/>
      <c r="D22" s="2195"/>
      <c r="E22" s="2195"/>
      <c r="F22" s="2196"/>
    </row>
    <row r="23" spans="1:11" ht="13.5" thickBot="1" x14ac:dyDescent="0.25">
      <c r="A23" s="2200" t="s">
        <v>633</v>
      </c>
      <c r="B23" s="2201"/>
      <c r="C23" s="581"/>
      <c r="D23" s="581"/>
      <c r="E23" s="581"/>
      <c r="F23" s="1755">
        <f>SUM(C23+D23)-E23</f>
        <v>0</v>
      </c>
      <c r="G23" s="552"/>
    </row>
    <row r="24" spans="1:11" ht="15.75" customHeight="1" thickTop="1" x14ac:dyDescent="0.2">
      <c r="A24" s="2212" t="s">
        <v>1113</v>
      </c>
      <c r="B24" s="2186"/>
      <c r="C24" s="2194"/>
      <c r="D24" s="2195"/>
      <c r="E24" s="2195"/>
      <c r="F24" s="2196"/>
    </row>
    <row r="25" spans="1:11" ht="13.5" thickBot="1" x14ac:dyDescent="0.25">
      <c r="A25" s="2200" t="s">
        <v>634</v>
      </c>
      <c r="B25" s="2201"/>
      <c r="C25" s="581"/>
      <c r="D25" s="581"/>
      <c r="E25" s="581"/>
      <c r="F25" s="1755">
        <f>SUM(C25+D25)-E25</f>
        <v>0</v>
      </c>
      <c r="G25" s="552"/>
    </row>
    <row r="26" spans="1:11" ht="15.75" customHeight="1" thickTop="1" x14ac:dyDescent="0.2">
      <c r="A26" s="2185" t="s">
        <v>657</v>
      </c>
      <c r="B26" s="2186"/>
      <c r="C26" s="727"/>
      <c r="D26" s="727"/>
      <c r="E26" s="727"/>
      <c r="F26" s="728"/>
    </row>
    <row r="27" spans="1:11" ht="13.5" thickBot="1" x14ac:dyDescent="0.25">
      <c r="A27" s="2187" t="s">
        <v>1070</v>
      </c>
      <c r="B27" s="2188"/>
      <c r="C27" s="585"/>
      <c r="D27" s="585"/>
      <c r="E27" s="585"/>
      <c r="F27" s="1755">
        <f>SUM(C27+D27)-E27</f>
        <v>0</v>
      </c>
      <c r="G27" s="552"/>
    </row>
    <row r="28" spans="1:11" ht="7.5" customHeight="1" thickTop="1" x14ac:dyDescent="0.2">
      <c r="A28" s="593"/>
    </row>
    <row r="29" spans="1:11" ht="23.25" customHeight="1" x14ac:dyDescent="0.2">
      <c r="A29" s="2213" t="s">
        <v>582</v>
      </c>
      <c r="B29" s="2190"/>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2084</v>
      </c>
      <c r="B31" s="733">
        <v>39934</v>
      </c>
      <c r="C31" s="734">
        <v>1345000</v>
      </c>
      <c r="D31" s="735">
        <v>1</v>
      </c>
      <c r="E31" s="734">
        <v>420000</v>
      </c>
      <c r="F31" s="734"/>
      <c r="G31" s="734"/>
      <c r="H31" s="734">
        <v>150000</v>
      </c>
      <c r="I31" s="1756">
        <f>((E31+F31)-H31)+G31</f>
        <v>270000</v>
      </c>
      <c r="J31" s="734">
        <v>153222</v>
      </c>
      <c r="K31" s="736"/>
    </row>
    <row r="32" spans="1:11" ht="12" customHeight="1" x14ac:dyDescent="0.2">
      <c r="A32" s="732"/>
      <c r="B32" s="733"/>
      <c r="C32" s="734"/>
      <c r="D32" s="735"/>
      <c r="E32" s="734"/>
      <c r="F32" s="734"/>
      <c r="G32" s="734"/>
      <c r="H32" s="734"/>
      <c r="I32" s="1756">
        <f>((E32+F32)-H32)+G32</f>
        <v>0</v>
      </c>
      <c r="J32" s="734"/>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1345000</v>
      </c>
      <c r="D49" s="745"/>
      <c r="E49" s="1756">
        <f t="shared" ref="E49:J49" si="2">SUM(E31:E48)</f>
        <v>420000</v>
      </c>
      <c r="F49" s="1756">
        <f t="shared" si="2"/>
        <v>0</v>
      </c>
      <c r="G49" s="1756">
        <f t="shared" si="2"/>
        <v>0</v>
      </c>
      <c r="H49" s="1756">
        <f t="shared" si="2"/>
        <v>150000</v>
      </c>
      <c r="I49" s="1756">
        <f t="shared" si="2"/>
        <v>270000</v>
      </c>
      <c r="J49" s="1756">
        <f t="shared" si="2"/>
        <v>153222</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4" t="s">
        <v>584</v>
      </c>
      <c r="C52" s="2205"/>
      <c r="D52" s="2205"/>
      <c r="E52" s="749" t="s">
        <v>845</v>
      </c>
      <c r="F52" s="2206"/>
      <c r="G52" s="2207"/>
      <c r="H52" s="736"/>
      <c r="I52" s="736"/>
      <c r="J52" s="746"/>
    </row>
    <row r="53" spans="1:11" ht="11.25" customHeight="1" x14ac:dyDescent="0.2">
      <c r="A53" s="750" t="s">
        <v>913</v>
      </c>
      <c r="B53" s="751" t="s">
        <v>951</v>
      </c>
      <c r="C53" s="746"/>
      <c r="D53" s="737"/>
      <c r="E53" s="749" t="s">
        <v>497</v>
      </c>
      <c r="F53" s="2208"/>
      <c r="G53" s="2209"/>
      <c r="H53" s="736"/>
      <c r="I53" s="736"/>
      <c r="J53" s="746"/>
    </row>
    <row r="54" spans="1:11" ht="11.25" customHeight="1" x14ac:dyDescent="0.2">
      <c r="A54" s="752" t="s">
        <v>914</v>
      </c>
      <c r="B54" s="747" t="s">
        <v>952</v>
      </c>
      <c r="C54" s="746"/>
      <c r="D54" s="737"/>
      <c r="E54" s="749" t="s">
        <v>498</v>
      </c>
      <c r="F54" s="2208"/>
      <c r="G54" s="2209"/>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I22" sqref="I22:S2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8" t="s">
        <v>856</v>
      </c>
      <c r="B1" s="2239"/>
      <c r="C1" s="2239"/>
      <c r="D1" s="2239"/>
      <c r="E1" s="2239"/>
      <c r="F1" s="2239"/>
      <c r="G1" s="2240"/>
      <c r="H1" s="1530"/>
      <c r="I1" s="760"/>
      <c r="J1" s="433"/>
    </row>
    <row r="2" spans="1:11" ht="26.25" x14ac:dyDescent="0.2">
      <c r="A2" s="2217" t="s">
        <v>1677</v>
      </c>
      <c r="B2" s="2218"/>
      <c r="C2" s="2218"/>
      <c r="D2" s="2218"/>
      <c r="E2" s="2219"/>
      <c r="F2" s="761" t="s">
        <v>904</v>
      </c>
      <c r="G2" s="762" t="s">
        <v>1674</v>
      </c>
      <c r="H2" s="762" t="s">
        <v>410</v>
      </c>
      <c r="I2" s="762" t="s">
        <v>1158</v>
      </c>
      <c r="J2" s="762" t="s">
        <v>1812</v>
      </c>
      <c r="K2" s="762" t="s">
        <v>138</v>
      </c>
    </row>
    <row r="3" spans="1:11" x14ac:dyDescent="0.2">
      <c r="A3" s="2220" t="s">
        <v>1964</v>
      </c>
      <c r="B3" s="2221"/>
      <c r="C3" s="2221"/>
      <c r="D3" s="2221"/>
      <c r="E3" s="2222"/>
      <c r="F3" s="763"/>
      <c r="G3" s="764"/>
      <c r="H3" s="764"/>
      <c r="I3" s="764"/>
      <c r="J3" s="765"/>
      <c r="K3" s="765"/>
    </row>
    <row r="4" spans="1:11" x14ac:dyDescent="0.2">
      <c r="A4" s="2223" t="s">
        <v>369</v>
      </c>
      <c r="B4" s="2224"/>
      <c r="C4" s="2224"/>
      <c r="D4" s="2224"/>
      <c r="E4" s="2205"/>
      <c r="F4" s="766"/>
      <c r="G4" s="767"/>
      <c r="H4" s="768"/>
      <c r="I4" s="767"/>
      <c r="J4" s="769"/>
      <c r="K4" s="769"/>
    </row>
    <row r="5" spans="1:11" x14ac:dyDescent="0.2">
      <c r="A5" s="2241" t="s">
        <v>1069</v>
      </c>
      <c r="B5" s="2214"/>
      <c r="C5" s="2214"/>
      <c r="D5" s="2214"/>
      <c r="E5" s="2242"/>
      <c r="F5" s="770" t="s">
        <v>848</v>
      </c>
      <c r="G5" s="771"/>
      <c r="H5" s="764">
        <v>19225</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41" t="s">
        <v>1813</v>
      </c>
      <c r="B10" s="2214"/>
      <c r="C10" s="2214"/>
      <c r="D10" s="2214"/>
      <c r="E10" s="2243"/>
      <c r="F10" s="783" t="s">
        <v>862</v>
      </c>
      <c r="G10" s="782"/>
      <c r="H10" s="784"/>
      <c r="I10" s="764"/>
      <c r="J10" s="765"/>
      <c r="K10" s="765"/>
    </row>
    <row r="11" spans="1:11" x14ac:dyDescent="0.2">
      <c r="A11" s="2241" t="s">
        <v>160</v>
      </c>
      <c r="B11" s="2214"/>
      <c r="C11" s="2214"/>
      <c r="D11" s="2214"/>
      <c r="E11" s="2242"/>
      <c r="F11" s="770" t="s">
        <v>852</v>
      </c>
      <c r="G11" s="771"/>
      <c r="H11" s="764"/>
      <c r="I11" s="764"/>
      <c r="J11" s="765"/>
      <c r="K11" s="773"/>
    </row>
    <row r="12" spans="1:11" ht="13.5" thickBot="1" x14ac:dyDescent="0.25">
      <c r="A12" s="2231" t="s">
        <v>905</v>
      </c>
      <c r="B12" s="2232"/>
      <c r="C12" s="2232"/>
      <c r="D12" s="2232"/>
      <c r="E12" s="2233"/>
      <c r="F12" s="1757"/>
      <c r="G12" s="1758">
        <f>SUM(G5:G11)</f>
        <v>0</v>
      </c>
      <c r="H12" s="1758">
        <f>SUM(H5:H11)</f>
        <v>19225</v>
      </c>
      <c r="I12" s="1758">
        <f>SUM(I5:I11)</f>
        <v>0</v>
      </c>
      <c r="J12" s="1758">
        <f>SUM(J5:J11)</f>
        <v>0</v>
      </c>
      <c r="K12" s="1758">
        <f>SUM(K5:K11)</f>
        <v>0</v>
      </c>
    </row>
    <row r="13" spans="1:11" ht="13.5" thickTop="1" x14ac:dyDescent="0.2">
      <c r="A13" s="2225" t="s">
        <v>370</v>
      </c>
      <c r="B13" s="2226"/>
      <c r="C13" s="2226"/>
      <c r="D13" s="2226"/>
      <c r="E13" s="2227"/>
      <c r="F13" s="785"/>
      <c r="G13" s="786"/>
      <c r="H13" s="787"/>
      <c r="I13" s="788"/>
      <c r="J13" s="788"/>
      <c r="K13" s="788"/>
    </row>
    <row r="14" spans="1:11" x14ac:dyDescent="0.2">
      <c r="A14" s="2247" t="s">
        <v>456</v>
      </c>
      <c r="B14" s="2247"/>
      <c r="C14" s="2247"/>
      <c r="D14" s="2247"/>
      <c r="E14" s="2248"/>
      <c r="F14" s="789" t="s">
        <v>854</v>
      </c>
      <c r="G14" s="782"/>
      <c r="H14" s="764">
        <v>19225</v>
      </c>
      <c r="I14" s="771"/>
      <c r="J14" s="773"/>
      <c r="K14" s="765"/>
    </row>
    <row r="15" spans="1:11" x14ac:dyDescent="0.2">
      <c r="A15" s="2214" t="s">
        <v>4</v>
      </c>
      <c r="B15" s="2214"/>
      <c r="C15" s="2214"/>
      <c r="D15" s="2214"/>
      <c r="E15" s="2242"/>
      <c r="F15" s="789" t="s">
        <v>855</v>
      </c>
      <c r="G15" s="771"/>
      <c r="H15" s="764"/>
      <c r="I15" s="764"/>
      <c r="J15" s="765"/>
      <c r="K15" s="765"/>
    </row>
    <row r="16" spans="1:11" x14ac:dyDescent="0.2">
      <c r="A16" s="2214" t="s">
        <v>298</v>
      </c>
      <c r="B16" s="2214"/>
      <c r="C16" s="2214"/>
      <c r="D16" s="2214"/>
      <c r="E16" s="2242"/>
      <c r="F16" s="789" t="s">
        <v>923</v>
      </c>
      <c r="G16" s="772"/>
      <c r="H16" s="767"/>
      <c r="I16" s="767"/>
      <c r="J16" s="769"/>
      <c r="K16" s="769"/>
    </row>
    <row r="17" spans="1:11" x14ac:dyDescent="0.2">
      <c r="A17" s="2236" t="s">
        <v>935</v>
      </c>
      <c r="B17" s="2236"/>
      <c r="C17" s="2236"/>
      <c r="D17" s="2236"/>
      <c r="E17" s="2237"/>
      <c r="F17" s="790"/>
      <c r="G17" s="791"/>
      <c r="H17" s="792"/>
      <c r="I17" s="792"/>
      <c r="J17" s="793"/>
      <c r="K17" s="794"/>
    </row>
    <row r="18" spans="1:11" x14ac:dyDescent="0.2">
      <c r="A18" s="2228" t="s">
        <v>368</v>
      </c>
      <c r="B18" s="2229"/>
      <c r="C18" s="2229"/>
      <c r="D18" s="2229"/>
      <c r="E18" s="2230"/>
      <c r="F18" s="789" t="s">
        <v>932</v>
      </c>
      <c r="G18" s="782"/>
      <c r="H18" s="782"/>
      <c r="I18" s="782"/>
      <c r="J18" s="765"/>
      <c r="K18" s="795"/>
    </row>
    <row r="19" spans="1:11" ht="21.75" customHeight="1" x14ac:dyDescent="0.2">
      <c r="A19" s="2249" t="s">
        <v>1809</v>
      </c>
      <c r="B19" s="2249"/>
      <c r="C19" s="2249"/>
      <c r="D19" s="2249"/>
      <c r="E19" s="2250"/>
      <c r="F19" s="789" t="s">
        <v>933</v>
      </c>
      <c r="G19" s="782"/>
      <c r="H19" s="782"/>
      <c r="I19" s="782"/>
      <c r="J19" s="765"/>
      <c r="K19" s="795"/>
    </row>
    <row r="20" spans="1:11" x14ac:dyDescent="0.2">
      <c r="A20" s="2228" t="s">
        <v>1814</v>
      </c>
      <c r="B20" s="2229"/>
      <c r="C20" s="2229"/>
      <c r="D20" s="2229"/>
      <c r="E20" s="2230"/>
      <c r="F20" s="789" t="s">
        <v>934</v>
      </c>
      <c r="G20" s="782"/>
      <c r="H20" s="782"/>
      <c r="I20" s="782"/>
      <c r="J20" s="765"/>
      <c r="K20" s="795"/>
    </row>
    <row r="21" spans="1:11" ht="13.5" thickBot="1" x14ac:dyDescent="0.25">
      <c r="A21" s="2234" t="s">
        <v>638</v>
      </c>
      <c r="B21" s="2234"/>
      <c r="C21" s="2234"/>
      <c r="D21" s="2234"/>
      <c r="E21" s="2234"/>
      <c r="F21" s="1759"/>
      <c r="G21" s="792"/>
      <c r="H21" s="796"/>
      <c r="I21" s="796"/>
      <c r="J21" s="1760">
        <f>SUM(J18:J20)</f>
        <v>0</v>
      </c>
      <c r="K21" s="793"/>
    </row>
    <row r="22" spans="1:11" ht="13.5" thickTop="1" x14ac:dyDescent="0.2">
      <c r="A22" s="2214" t="s">
        <v>1815</v>
      </c>
      <c r="B22" s="2214"/>
      <c r="C22" s="2214"/>
      <c r="D22" s="2214"/>
      <c r="E22" s="2242"/>
      <c r="F22" s="789" t="s">
        <v>862</v>
      </c>
      <c r="G22" s="782"/>
      <c r="H22" s="764"/>
      <c r="I22" s="764"/>
      <c r="J22" s="797"/>
      <c r="K22" s="765"/>
    </row>
    <row r="23" spans="1:11" ht="13.5" thickBot="1" x14ac:dyDescent="0.25">
      <c r="A23" s="2235" t="s">
        <v>906</v>
      </c>
      <c r="B23" s="2234"/>
      <c r="C23" s="2234"/>
      <c r="D23" s="2234"/>
      <c r="E23" s="2234"/>
      <c r="F23" s="1761"/>
      <c r="G23" s="1758">
        <f>SUM(G14:G16,G21,G22)</f>
        <v>0</v>
      </c>
      <c r="H23" s="1758">
        <f>SUM(H14:H16,H21,H22)</f>
        <v>19225</v>
      </c>
      <c r="I23" s="1758">
        <f>SUM(I14:I16,I21,I22)</f>
        <v>0</v>
      </c>
      <c r="J23" s="1758">
        <f>SUM(J14:J16,J21,J22)</f>
        <v>0</v>
      </c>
      <c r="K23" s="1758">
        <f>SUM(K14:K16,K21,K22)</f>
        <v>0</v>
      </c>
    </row>
    <row r="24" spans="1:11" ht="14.25" thickTop="1" thickBot="1" x14ac:dyDescent="0.25">
      <c r="A24" s="2235" t="s">
        <v>1965</v>
      </c>
      <c r="B24" s="2234"/>
      <c r="C24" s="2234"/>
      <c r="D24" s="2234"/>
      <c r="E24" s="2234"/>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4"/>
      <c r="I31" s="2245"/>
      <c r="J31" s="2245"/>
      <c r="K31" s="2245"/>
    </row>
    <row r="32" spans="1:11" x14ac:dyDescent="0.2">
      <c r="A32" s="809"/>
      <c r="B32" s="237"/>
      <c r="C32" s="237"/>
      <c r="D32" s="237"/>
      <c r="E32" s="805"/>
      <c r="F32" s="811" t="s">
        <v>540</v>
      </c>
      <c r="G32" s="764"/>
      <c r="H32" s="2246"/>
      <c r="I32" s="2245"/>
      <c r="J32" s="2245"/>
      <c r="K32" s="2245"/>
    </row>
    <row r="33" spans="1:11" ht="1.5" customHeight="1" x14ac:dyDescent="0.2">
      <c r="A33" s="812" t="s">
        <v>1169</v>
      </c>
      <c r="B33" s="364"/>
      <c r="C33" s="364"/>
      <c r="D33" s="364"/>
      <c r="E33" s="364"/>
      <c r="F33" s="364"/>
      <c r="G33" s="813"/>
      <c r="H33" s="2246"/>
      <c r="I33" s="2245"/>
      <c r="J33" s="2245"/>
      <c r="K33" s="2245"/>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4" t="s">
        <v>541</v>
      </c>
      <c r="B41" s="2215"/>
      <c r="C41" s="2215"/>
      <c r="D41" s="2215"/>
      <c r="E41" s="2215"/>
      <c r="F41" s="2216"/>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I22" sqref="I22:S22"/>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3" t="s">
        <v>1909</v>
      </c>
      <c r="B1" s="2254"/>
      <c r="C1" s="2255"/>
      <c r="D1" s="826"/>
      <c r="E1" s="827"/>
      <c r="F1" s="827"/>
      <c r="G1" s="828"/>
      <c r="H1" s="829"/>
      <c r="I1" s="830"/>
      <c r="J1" s="2251"/>
      <c r="K1" s="2252"/>
      <c r="L1" s="2252"/>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688913</v>
      </c>
      <c r="D5" s="841"/>
      <c r="E5" s="841"/>
      <c r="F5" s="1760">
        <f>(C5+D5)-E5</f>
        <v>688913</v>
      </c>
      <c r="G5" s="837"/>
      <c r="H5" s="842"/>
      <c r="I5" s="842"/>
      <c r="J5" s="842"/>
      <c r="K5" s="793"/>
      <c r="L5" s="1769">
        <f>F5-K5</f>
        <v>688913</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5456879</v>
      </c>
      <c r="D8" s="844">
        <v>51915</v>
      </c>
      <c r="E8" s="844"/>
      <c r="F8" s="1760">
        <f>(C8+D8)-E8</f>
        <v>5508794</v>
      </c>
      <c r="G8" s="843">
        <v>50</v>
      </c>
      <c r="H8" s="765">
        <v>2368844</v>
      </c>
      <c r="I8" s="765">
        <v>158262</v>
      </c>
      <c r="J8" s="765"/>
      <c r="K8" s="1769">
        <f>(H8+I8)-J8</f>
        <v>2527106</v>
      </c>
      <c r="L8" s="1769">
        <f>F8-K8</f>
        <v>2981688</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c r="D10" s="846"/>
      <c r="E10" s="846"/>
      <c r="F10" s="1764">
        <f>(C10+D10)-E10</f>
        <v>0</v>
      </c>
      <c r="G10" s="843">
        <v>20</v>
      </c>
      <c r="H10" s="847"/>
      <c r="I10" s="847"/>
      <c r="J10" s="847"/>
      <c r="K10" s="1769">
        <f>(H10+I10)-J10</f>
        <v>0</v>
      </c>
      <c r="L10" s="1769">
        <f>F10-K10</f>
        <v>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335692</v>
      </c>
      <c r="D12" s="844"/>
      <c r="E12" s="844"/>
      <c r="F12" s="1760">
        <f>(C12+D12)-E12</f>
        <v>335692</v>
      </c>
      <c r="G12" s="843">
        <v>10</v>
      </c>
      <c r="H12" s="765">
        <v>335692</v>
      </c>
      <c r="I12" s="765"/>
      <c r="J12" s="765"/>
      <c r="K12" s="1769">
        <f>(H12+I12)-J12</f>
        <v>335692</v>
      </c>
      <c r="L12" s="1769">
        <f>F12-K12</f>
        <v>0</v>
      </c>
    </row>
    <row r="13" spans="1:14" ht="14.25" thickTop="1" thickBot="1" x14ac:dyDescent="0.25">
      <c r="A13" s="848" t="s">
        <v>1122</v>
      </c>
      <c r="B13" s="840">
        <v>252</v>
      </c>
      <c r="C13" s="844">
        <v>1237158</v>
      </c>
      <c r="D13" s="844">
        <v>20457</v>
      </c>
      <c r="E13" s="844"/>
      <c r="F13" s="1760">
        <f>(C13+D13)-E13</f>
        <v>1257615</v>
      </c>
      <c r="G13" s="843">
        <v>5</v>
      </c>
      <c r="H13" s="765">
        <v>1133258</v>
      </c>
      <c r="I13" s="765">
        <v>55622</v>
      </c>
      <c r="J13" s="765"/>
      <c r="K13" s="1769">
        <f>(H13+I13)-J13</f>
        <v>1188880</v>
      </c>
      <c r="L13" s="1769">
        <f>F13-K13</f>
        <v>68735</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7718642</v>
      </c>
      <c r="D16" s="1760">
        <f>SUM(D3,D5:D6,D8:D10,D12:D15)</f>
        <v>72372</v>
      </c>
      <c r="E16" s="1760">
        <f>SUM(E3,E5:E6,E8:E10,E12:E15)</f>
        <v>0</v>
      </c>
      <c r="F16" s="1760">
        <f>SUM(F3,F5:F6,F8:F10,F12:F15)</f>
        <v>7791014</v>
      </c>
      <c r="G16" s="843"/>
      <c r="H16" s="1760">
        <f>SUM(H3,H6,H8:H10,H12:H14,)</f>
        <v>3837794</v>
      </c>
      <c r="I16" s="1760">
        <f>SUM(I3,I6,I8:I10,I12:I14,)</f>
        <v>213884</v>
      </c>
      <c r="J16" s="1760">
        <f>SUM(J3,J6,J8:J10,J12:J14,)</f>
        <v>0</v>
      </c>
      <c r="K16" s="1760">
        <f>(H16+I16)-J16</f>
        <v>4051678</v>
      </c>
      <c r="L16" s="1760">
        <f>F16-K16</f>
        <v>3739336</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213884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99" activePane="bottomLeft" state="frozen"/>
      <selection activeCell="I22" sqref="I22:S22"/>
      <selection pane="bottomLeft" activeCell="I22" sqref="I22:S22"/>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9" t="s">
        <v>1975</v>
      </c>
      <c r="B1" s="2260"/>
      <c r="C1" s="2260"/>
      <c r="D1" s="2260"/>
      <c r="E1" s="2260"/>
      <c r="F1" s="2261"/>
      <c r="G1" s="855"/>
    </row>
    <row r="2" spans="1:7" ht="15" customHeight="1" thickBot="1" x14ac:dyDescent="0.25">
      <c r="A2" s="2262" t="s">
        <v>477</v>
      </c>
      <c r="B2" s="2263"/>
      <c r="C2" s="2263"/>
      <c r="D2" s="2263"/>
      <c r="E2" s="2263"/>
      <c r="F2" s="2264"/>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5"/>
      <c r="B5" s="2266"/>
      <c r="C5" s="2266"/>
      <c r="D5" s="2266"/>
      <c r="E5" s="2266"/>
      <c r="F5" s="2266"/>
    </row>
    <row r="6" spans="1:7" ht="13.5" customHeight="1" thickBot="1" x14ac:dyDescent="0.25">
      <c r="A6" s="2256" t="s">
        <v>1104</v>
      </c>
      <c r="B6" s="2257"/>
      <c r="C6" s="2257"/>
      <c r="D6" s="2257"/>
      <c r="E6" s="2257"/>
      <c r="F6" s="2258"/>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3572763</v>
      </c>
      <c r="G8" s="865"/>
    </row>
    <row r="9" spans="1:7" x14ac:dyDescent="0.2">
      <c r="A9" s="869" t="s">
        <v>460</v>
      </c>
      <c r="B9" s="870" t="s">
        <v>1877</v>
      </c>
      <c r="C9" s="871"/>
      <c r="D9" s="869" t="s">
        <v>501</v>
      </c>
      <c r="E9" s="868"/>
      <c r="F9" s="1909">
        <f>'Expenditures 15-22'!K151</f>
        <v>325051</v>
      </c>
      <c r="G9" s="872"/>
    </row>
    <row r="10" spans="1:7" x14ac:dyDescent="0.2">
      <c r="A10" s="869" t="s">
        <v>499</v>
      </c>
      <c r="B10" s="870" t="s">
        <v>1878</v>
      </c>
      <c r="C10" s="871"/>
      <c r="D10" s="869" t="s">
        <v>501</v>
      </c>
      <c r="E10" s="868"/>
      <c r="F10" s="1909">
        <f>'Expenditures 15-22'!K174</f>
        <v>163283</v>
      </c>
      <c r="G10" s="872"/>
    </row>
    <row r="11" spans="1:7" x14ac:dyDescent="0.2">
      <c r="A11" s="869" t="s">
        <v>461</v>
      </c>
      <c r="B11" s="870" t="s">
        <v>1879</v>
      </c>
      <c r="C11" s="871"/>
      <c r="D11" s="869" t="s">
        <v>501</v>
      </c>
      <c r="E11" s="868"/>
      <c r="F11" s="1909">
        <f>'Expenditures 15-22'!K210</f>
        <v>132742</v>
      </c>
      <c r="G11" s="872"/>
    </row>
    <row r="12" spans="1:7" x14ac:dyDescent="0.2">
      <c r="A12" s="869" t="s">
        <v>462</v>
      </c>
      <c r="B12" s="870" t="s">
        <v>1880</v>
      </c>
      <c r="C12" s="871"/>
      <c r="D12" s="869" t="s">
        <v>501</v>
      </c>
      <c r="E12" s="868"/>
      <c r="F12" s="1909">
        <f>'Expenditures 15-22'!K295</f>
        <v>144768</v>
      </c>
      <c r="G12" s="872"/>
    </row>
    <row r="13" spans="1:7" x14ac:dyDescent="0.2">
      <c r="A13" s="869" t="s">
        <v>106</v>
      </c>
      <c r="B13" s="870" t="s">
        <v>1881</v>
      </c>
      <c r="C13" s="871"/>
      <c r="D13" s="869" t="s">
        <v>501</v>
      </c>
      <c r="E13" s="868"/>
      <c r="F13" s="1909">
        <f>'Expenditures 15-22'!K342</f>
        <v>343384</v>
      </c>
      <c r="G13" s="873"/>
    </row>
    <row r="14" spans="1:7" ht="12" customHeight="1" thickBot="1" x14ac:dyDescent="0.25">
      <c r="A14" s="1770"/>
      <c r="B14" s="1771"/>
      <c r="C14" s="1772"/>
      <c r="D14" s="1773" t="s">
        <v>501</v>
      </c>
      <c r="E14" s="1774" t="s">
        <v>958</v>
      </c>
      <c r="F14" s="1775">
        <f>SUM(F8:F13)</f>
        <v>4681991</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23871</v>
      </c>
      <c r="G52" s="865"/>
    </row>
    <row r="53" spans="1:7" x14ac:dyDescent="0.2">
      <c r="A53" s="869" t="s">
        <v>459</v>
      </c>
      <c r="B53" s="869" t="s">
        <v>1475</v>
      </c>
      <c r="C53" s="889">
        <f>'Expenditures 15-22'!B102</f>
        <v>4000</v>
      </c>
      <c r="D53" s="888" t="str">
        <f>'Expenditures 15-22'!A102</f>
        <v>Total Payments to Other Govt Units</v>
      </c>
      <c r="E53" s="868"/>
      <c r="F53" s="1913">
        <f>'Expenditures 15-22'!K102</f>
        <v>150813</v>
      </c>
      <c r="G53" s="865"/>
    </row>
    <row r="54" spans="1:7" x14ac:dyDescent="0.2">
      <c r="A54" s="869" t="s">
        <v>459</v>
      </c>
      <c r="B54" s="869" t="s">
        <v>1476</v>
      </c>
      <c r="C54" s="889" t="s">
        <v>982</v>
      </c>
      <c r="D54" s="885" t="s">
        <v>1095</v>
      </c>
      <c r="E54" s="868"/>
      <c r="F54" s="1913">
        <f>'Expenditures 15-22'!G114</f>
        <v>0</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123192</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150000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2034</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278</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450188</v>
      </c>
      <c r="G76" s="865"/>
    </row>
    <row r="77" spans="1:8" s="893" customFormat="1" ht="12" customHeight="1" thickTop="1" thickBot="1" x14ac:dyDescent="0.25">
      <c r="A77" s="1779"/>
      <c r="B77" s="1776"/>
      <c r="C77" s="1772"/>
      <c r="D77" s="1777" t="s">
        <v>1900</v>
      </c>
      <c r="E77" s="1774"/>
      <c r="F77" s="1780">
        <f>(F14-F76)</f>
        <v>4231803</v>
      </c>
      <c r="G77" s="869"/>
    </row>
    <row r="78" spans="1:8" s="893" customFormat="1" ht="12" customHeight="1" thickTop="1" x14ac:dyDescent="0.2">
      <c r="A78" s="1781"/>
      <c r="B78" s="1776"/>
      <c r="C78" s="1772"/>
      <c r="D78" s="1777" t="s">
        <v>2062</v>
      </c>
      <c r="E78" s="1774"/>
      <c r="F78" s="898">
        <v>512.34</v>
      </c>
      <c r="G78" s="899"/>
      <c r="H78" s="869"/>
    </row>
    <row r="79" spans="1:8" s="893" customFormat="1" ht="12" customHeight="1" thickBot="1" x14ac:dyDescent="0.25">
      <c r="A79" s="1782"/>
      <c r="B79" s="1776"/>
      <c r="C79" s="1772"/>
      <c r="D79" s="1777" t="s">
        <v>1901</v>
      </c>
      <c r="E79" s="1774" t="s">
        <v>958</v>
      </c>
      <c r="F79" s="1783">
        <f>IF(F78&gt;0,F77/F78," Complete Line 78")</f>
        <v>8259.7552406604991</v>
      </c>
      <c r="G79" s="869"/>
    </row>
    <row r="80" spans="1:8" s="893" customFormat="1" ht="8.25" customHeight="1" thickTop="1" x14ac:dyDescent="0.2">
      <c r="A80" s="900"/>
      <c r="B80" s="869"/>
      <c r="C80" s="871"/>
      <c r="D80" s="901"/>
      <c r="E80" s="868"/>
      <c r="F80" s="902"/>
      <c r="G80" s="869"/>
    </row>
    <row r="81" spans="1:7" s="893" customFormat="1" ht="12" thickBot="1" x14ac:dyDescent="0.25">
      <c r="A81" s="2256" t="s">
        <v>1105</v>
      </c>
      <c r="B81" s="2257"/>
      <c r="C81" s="2257"/>
      <c r="D81" s="2257"/>
      <c r="E81" s="2257"/>
      <c r="F81" s="2258"/>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14449</v>
      </c>
      <c r="G94" s="912"/>
    </row>
    <row r="95" spans="1:7" x14ac:dyDescent="0.2">
      <c r="A95" s="908" t="s">
        <v>140</v>
      </c>
      <c r="B95" s="908" t="s">
        <v>175</v>
      </c>
      <c r="C95" s="910">
        <v>1700</v>
      </c>
      <c r="D95" s="918" t="str">
        <f>'Revenues 9-14'!A82</f>
        <v>Total District/School Activity Income</v>
      </c>
      <c r="E95" s="906"/>
      <c r="F95" s="1789">
        <f>SUM('Revenues 9-14'!C82,'Revenues 9-14'!D82)</f>
        <v>41632</v>
      </c>
      <c r="G95" s="912"/>
    </row>
    <row r="96" spans="1:7" x14ac:dyDescent="0.2">
      <c r="A96" s="908" t="s">
        <v>459</v>
      </c>
      <c r="B96" s="908" t="s">
        <v>176</v>
      </c>
      <c r="C96" s="910">
        <f>'Revenues 9-14'!B84</f>
        <v>1811</v>
      </c>
      <c r="D96" s="911" t="str">
        <f>'Revenues 9-14'!A84</f>
        <v>Rentals - Regular Textbooks</v>
      </c>
      <c r="E96" s="906"/>
      <c r="F96" s="1789">
        <f>'Revenues 9-14'!C84</f>
        <v>50159</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8428</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0</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0</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350</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0</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60423</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30654</v>
      </c>
      <c r="G125" s="930"/>
    </row>
    <row r="126" spans="1:7" x14ac:dyDescent="0.2">
      <c r="A126" s="927" t="s">
        <v>668</v>
      </c>
      <c r="B126" s="927" t="s">
        <v>2024</v>
      </c>
      <c r="C126" s="932">
        <v>4300</v>
      </c>
      <c r="D126" s="933" t="str">
        <f>'Revenues 9-14'!A204</f>
        <v>Total Title I</v>
      </c>
      <c r="E126" s="906"/>
      <c r="F126" s="1789">
        <f>SUM('Revenues 9-14'!C204,'Revenues 9-14'!D204,'Revenues 9-14'!F204,'Revenues 9-14'!G204)</f>
        <v>59768</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11752</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96483</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6671</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8877</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4604</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7659</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401909</v>
      </c>
    </row>
    <row r="175" spans="1:7" ht="12" customHeight="1" x14ac:dyDescent="0.2">
      <c r="A175" s="1770"/>
      <c r="B175" s="1784"/>
      <c r="C175" s="1785"/>
      <c r="D175" s="1786" t="s">
        <v>2057</v>
      </c>
      <c r="E175" s="1787"/>
      <c r="F175" s="1789">
        <f>'PCTC-OEPP 27-28'!F77-F174</f>
        <v>3829894</v>
      </c>
    </row>
    <row r="176" spans="1:7" ht="12" customHeight="1" x14ac:dyDescent="0.2">
      <c r="A176" s="1770"/>
      <c r="B176" s="1784"/>
      <c r="C176" s="1785"/>
      <c r="D176" s="1786" t="s">
        <v>1817</v>
      </c>
      <c r="E176" s="1787"/>
      <c r="F176" s="1789">
        <f>'Cap Outlay Deprec 26'!I18</f>
        <v>213884</v>
      </c>
    </row>
    <row r="177" spans="1:7" ht="12" customHeight="1" x14ac:dyDescent="0.2">
      <c r="A177" s="1770"/>
      <c r="B177" s="1784"/>
      <c r="C177" s="1785"/>
      <c r="D177" s="1786" t="s">
        <v>2058</v>
      </c>
      <c r="E177" s="1787"/>
      <c r="F177" s="1789">
        <f>F175+F176</f>
        <v>4043778</v>
      </c>
    </row>
    <row r="178" spans="1:7" ht="12" customHeight="1" x14ac:dyDescent="0.2">
      <c r="A178" s="1770"/>
      <c r="B178" s="1790"/>
      <c r="C178" s="1785"/>
      <c r="D178" s="1786" t="str">
        <f>D78</f>
        <v>9 Month ADA from District Average Daily Attendance/Prior General State Aid Inquiry 2018-2019</v>
      </c>
      <c r="E178" s="1787"/>
      <c r="F178" s="1791">
        <f>'PCTC-OEPP 27-28'!F78</f>
        <v>512.34</v>
      </c>
      <c r="G178" s="930"/>
    </row>
    <row r="179" spans="1:7" ht="12" customHeight="1" thickBot="1" x14ac:dyDescent="0.25">
      <c r="A179" s="1770"/>
      <c r="B179" s="1790"/>
      <c r="C179" s="1785"/>
      <c r="D179" s="1786" t="s">
        <v>2059</v>
      </c>
      <c r="E179" s="1787" t="s">
        <v>1545</v>
      </c>
      <c r="F179" s="1792">
        <f>F177/F178</f>
        <v>7892.7626185736026</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topLeftCell="A7" zoomScaleNormal="100" workbookViewId="0">
      <selection activeCell="C35" sqref="C35"/>
    </sheetView>
  </sheetViews>
  <sheetFormatPr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0" t="s">
        <v>1818</v>
      </c>
      <c r="B4" s="2271"/>
      <c r="C4" s="2271"/>
      <c r="D4" s="2271"/>
      <c r="E4" s="2271"/>
      <c r="F4" s="2271"/>
      <c r="G4" s="2272"/>
    </row>
    <row r="5" spans="1:7" x14ac:dyDescent="0.25">
      <c r="A5" s="2273"/>
      <c r="B5" s="2274"/>
      <c r="C5" s="2274"/>
      <c r="D5" s="2274"/>
      <c r="E5" s="2274"/>
      <c r="F5" s="2274"/>
      <c r="G5" s="2275"/>
    </row>
    <row r="6" spans="1:7" ht="18.75" x14ac:dyDescent="0.25">
      <c r="A6" s="1534" t="s">
        <v>1819</v>
      </c>
      <c r="B6" s="1535"/>
      <c r="C6" s="1535"/>
      <c r="D6" s="1535"/>
      <c r="E6" s="1535"/>
      <c r="F6" s="1535"/>
      <c r="G6" s="1536"/>
    </row>
    <row r="7" spans="1:7" ht="30.75" customHeight="1" x14ac:dyDescent="0.25">
      <c r="A7" s="2276" t="s">
        <v>1932</v>
      </c>
      <c r="B7" s="2277"/>
      <c r="C7" s="2277"/>
      <c r="D7" s="2277"/>
      <c r="E7" s="2277"/>
      <c r="F7" s="2277"/>
      <c r="G7" s="2278"/>
    </row>
    <row r="8" spans="1:7" ht="15.75" customHeight="1" x14ac:dyDescent="0.25">
      <c r="A8" s="2279" t="s">
        <v>1907</v>
      </c>
      <c r="B8" s="2280"/>
      <c r="C8" s="2280"/>
      <c r="D8" s="2280"/>
      <c r="E8" s="2280"/>
      <c r="F8" s="2280"/>
      <c r="G8" s="2281"/>
    </row>
    <row r="9" spans="1:7" ht="35.25" customHeight="1" x14ac:dyDescent="0.25">
      <c r="A9" s="2276" t="s">
        <v>1935</v>
      </c>
      <c r="B9" s="2277"/>
      <c r="C9" s="2277"/>
      <c r="D9" s="2277"/>
      <c r="E9" s="2277"/>
      <c r="F9" s="2277"/>
      <c r="G9" s="2278"/>
    </row>
    <row r="10" spans="1:7" ht="15" customHeight="1" x14ac:dyDescent="0.25">
      <c r="A10" s="1537" t="s">
        <v>1820</v>
      </c>
      <c r="B10" s="1538"/>
      <c r="C10" s="1538"/>
      <c r="D10" s="1538"/>
      <c r="E10" s="1538"/>
      <c r="F10" s="1538"/>
      <c r="G10" s="1539"/>
    </row>
    <row r="11" spans="1:7" ht="17.25" customHeight="1" x14ac:dyDescent="0.25">
      <c r="A11" s="2276" t="s">
        <v>1934</v>
      </c>
      <c r="B11" s="2277"/>
      <c r="C11" s="2277"/>
      <c r="D11" s="2277"/>
      <c r="E11" s="2277"/>
      <c r="F11" s="2277"/>
      <c r="G11" s="2278"/>
    </row>
    <row r="12" spans="1:7" ht="15" customHeight="1" x14ac:dyDescent="0.25">
      <c r="A12" s="1537" t="s">
        <v>1825</v>
      </c>
      <c r="B12" s="1538"/>
      <c r="C12" s="1538"/>
      <c r="D12" s="1538"/>
      <c r="E12" s="1538"/>
      <c r="F12" s="1538"/>
      <c r="G12" s="1539"/>
    </row>
    <row r="13" spans="1:7" ht="32.25" customHeight="1" x14ac:dyDescent="0.25">
      <c r="A13" s="2267" t="s">
        <v>1976</v>
      </c>
      <c r="B13" s="2268"/>
      <c r="C13" s="2268"/>
      <c r="D13" s="2268"/>
      <c r="E13" s="2268"/>
      <c r="F13" s="2268"/>
      <c r="G13" s="2269"/>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8" t="s">
        <v>2099</v>
      </c>
      <c r="B17" s="1940" t="s">
        <v>2122</v>
      </c>
      <c r="C17" s="1939" t="s">
        <v>2101</v>
      </c>
      <c r="D17" s="1844">
        <v>11805</v>
      </c>
      <c r="E17" s="1540">
        <f t="shared" ref="E17:E141" si="0">IF(D17&lt;=25000,D17,IF(D17&gt;25000,25000,0))</f>
        <v>11805</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11805</v>
      </c>
      <c r="G17" s="1793">
        <f>IF(F17=0,0,D17-F17)</f>
        <v>0</v>
      </c>
      <c r="H17" s="1647"/>
    </row>
    <row r="18" spans="1:8" x14ac:dyDescent="0.25">
      <c r="A18" s="1938" t="s">
        <v>2100</v>
      </c>
      <c r="B18" s="1940" t="s">
        <v>2122</v>
      </c>
      <c r="C18" s="1939" t="s">
        <v>2102</v>
      </c>
      <c r="D18" s="1844">
        <v>1687</v>
      </c>
      <c r="E18" s="1540">
        <f t="shared" ref="E18:E140" si="2">IF(D18&lt;=25000,D18,IF(D18&gt;25000,25000,0))</f>
        <v>1687</v>
      </c>
      <c r="F18" s="1932">
        <f t="shared" si="1"/>
        <v>1687</v>
      </c>
      <c r="G18" s="1793">
        <f t="shared" ref="G18:G140" si="3">IF(F18=0,0,D18-F18)</f>
        <v>0</v>
      </c>
    </row>
    <row r="19" spans="1:8" x14ac:dyDescent="0.25">
      <c r="A19" s="1938" t="s">
        <v>2100</v>
      </c>
      <c r="B19" s="1940" t="s">
        <v>2122</v>
      </c>
      <c r="C19" s="1939" t="s">
        <v>2103</v>
      </c>
      <c r="D19" s="1844">
        <v>12623</v>
      </c>
      <c r="E19" s="1540">
        <f t="shared" si="2"/>
        <v>12623</v>
      </c>
      <c r="F19" s="1932">
        <f t="shared" si="1"/>
        <v>12623</v>
      </c>
      <c r="G19" s="1793">
        <f t="shared" si="3"/>
        <v>0</v>
      </c>
    </row>
    <row r="20" spans="1:8" x14ac:dyDescent="0.25">
      <c r="A20" s="1938" t="s">
        <v>2100</v>
      </c>
      <c r="B20" s="1940" t="s">
        <v>2122</v>
      </c>
      <c r="C20" s="1939" t="s">
        <v>2104</v>
      </c>
      <c r="D20" s="1844">
        <v>12623</v>
      </c>
      <c r="E20" s="1540">
        <f t="shared" si="2"/>
        <v>12623</v>
      </c>
      <c r="F20" s="1932">
        <f t="shared" si="1"/>
        <v>12623</v>
      </c>
      <c r="G20" s="1793">
        <f t="shared" si="3"/>
        <v>0</v>
      </c>
    </row>
    <row r="21" spans="1:8" x14ac:dyDescent="0.25">
      <c r="A21" s="1938" t="s">
        <v>2105</v>
      </c>
      <c r="B21" s="1940" t="s">
        <v>2123</v>
      </c>
      <c r="C21" s="1939" t="s">
        <v>2106</v>
      </c>
      <c r="D21" s="1844">
        <v>24809</v>
      </c>
      <c r="E21" s="1540">
        <f t="shared" si="2"/>
        <v>24809</v>
      </c>
      <c r="F21" s="1932">
        <f t="shared" si="1"/>
        <v>24809</v>
      </c>
      <c r="G21" s="1793">
        <f t="shared" si="3"/>
        <v>0</v>
      </c>
    </row>
    <row r="22" spans="1:8" x14ac:dyDescent="0.25">
      <c r="A22" s="1938" t="s">
        <v>2107</v>
      </c>
      <c r="B22" s="1940" t="s">
        <v>2124</v>
      </c>
      <c r="C22" s="1939" t="s">
        <v>2114</v>
      </c>
      <c r="D22" s="1844">
        <v>13700</v>
      </c>
      <c r="E22" s="1540">
        <f t="shared" si="2"/>
        <v>13700</v>
      </c>
      <c r="F22" s="1932">
        <f t="shared" si="1"/>
        <v>13700</v>
      </c>
      <c r="G22" s="1793">
        <f t="shared" si="3"/>
        <v>0</v>
      </c>
    </row>
    <row r="23" spans="1:8" x14ac:dyDescent="0.25">
      <c r="A23" s="1938" t="s">
        <v>2108</v>
      </c>
      <c r="B23" s="1940" t="s">
        <v>2124</v>
      </c>
      <c r="C23" s="1939" t="s">
        <v>2109</v>
      </c>
      <c r="D23" s="1844">
        <v>725</v>
      </c>
      <c r="E23" s="1540">
        <f t="shared" si="2"/>
        <v>725</v>
      </c>
      <c r="F23" s="1932">
        <f t="shared" si="1"/>
        <v>725</v>
      </c>
      <c r="G23" s="1793">
        <f t="shared" si="3"/>
        <v>0</v>
      </c>
    </row>
    <row r="24" spans="1:8" x14ac:dyDescent="0.25">
      <c r="A24" s="1938" t="s">
        <v>2108</v>
      </c>
      <c r="B24" s="1940" t="s">
        <v>2124</v>
      </c>
      <c r="C24" s="1939" t="s">
        <v>2110</v>
      </c>
      <c r="D24" s="1844">
        <v>4495</v>
      </c>
      <c r="E24" s="1540">
        <f t="shared" si="2"/>
        <v>4495</v>
      </c>
      <c r="F24" s="1932">
        <f t="shared" si="1"/>
        <v>4495</v>
      </c>
      <c r="G24" s="1793">
        <f t="shared" si="3"/>
        <v>0</v>
      </c>
    </row>
    <row r="25" spans="1:8" x14ac:dyDescent="0.25">
      <c r="A25" s="1938" t="s">
        <v>2107</v>
      </c>
      <c r="B25" s="1940" t="s">
        <v>2124</v>
      </c>
      <c r="C25" s="1939" t="s">
        <v>2111</v>
      </c>
      <c r="D25" s="1844">
        <v>24356</v>
      </c>
      <c r="E25" s="1540">
        <f t="shared" si="2"/>
        <v>24356</v>
      </c>
      <c r="F25" s="1932">
        <f t="shared" si="1"/>
        <v>24356</v>
      </c>
      <c r="G25" s="1793">
        <f t="shared" si="3"/>
        <v>0</v>
      </c>
    </row>
    <row r="26" spans="1:8" x14ac:dyDescent="0.25">
      <c r="A26" s="1938" t="s">
        <v>2108</v>
      </c>
      <c r="B26" s="1940" t="s">
        <v>2124</v>
      </c>
      <c r="C26" s="1939" t="s">
        <v>2112</v>
      </c>
      <c r="D26" s="1844">
        <v>2563</v>
      </c>
      <c r="E26" s="1540">
        <f t="shared" si="2"/>
        <v>2563</v>
      </c>
      <c r="F26" s="1932">
        <f t="shared" si="1"/>
        <v>2563</v>
      </c>
      <c r="G26" s="1793">
        <f t="shared" si="3"/>
        <v>0</v>
      </c>
    </row>
    <row r="27" spans="1:8" x14ac:dyDescent="0.25">
      <c r="A27" s="1938" t="s">
        <v>2108</v>
      </c>
      <c r="B27" s="1940" t="s">
        <v>2124</v>
      </c>
      <c r="C27" s="1939" t="s">
        <v>2113</v>
      </c>
      <c r="D27" s="1844">
        <v>10631</v>
      </c>
      <c r="E27" s="1540">
        <f t="shared" si="2"/>
        <v>10631</v>
      </c>
      <c r="F27" s="1932">
        <f t="shared" si="1"/>
        <v>10631</v>
      </c>
      <c r="G27" s="1793">
        <f t="shared" si="3"/>
        <v>0</v>
      </c>
    </row>
    <row r="28" spans="1:8" x14ac:dyDescent="0.25">
      <c r="A28" s="1938" t="s">
        <v>2108</v>
      </c>
      <c r="B28" s="1940" t="s">
        <v>2124</v>
      </c>
      <c r="C28" s="1939" t="s">
        <v>2113</v>
      </c>
      <c r="D28" s="1844">
        <v>10491</v>
      </c>
      <c r="E28" s="1540">
        <f t="shared" si="2"/>
        <v>10491</v>
      </c>
      <c r="F28" s="1932">
        <f t="shared" si="1"/>
        <v>10491</v>
      </c>
      <c r="G28" s="1793">
        <f t="shared" si="3"/>
        <v>0</v>
      </c>
    </row>
    <row r="29" spans="1:8" x14ac:dyDescent="0.25">
      <c r="A29" s="1938" t="s">
        <v>2119</v>
      </c>
      <c r="B29" s="1940" t="s">
        <v>2125</v>
      </c>
      <c r="C29" s="1939" t="s">
        <v>2115</v>
      </c>
      <c r="D29" s="1844">
        <v>5940</v>
      </c>
      <c r="E29" s="1540">
        <f t="shared" si="2"/>
        <v>5940</v>
      </c>
      <c r="F29" s="1932">
        <f t="shared" si="1"/>
        <v>5940</v>
      </c>
      <c r="G29" s="1793">
        <f t="shared" si="3"/>
        <v>0</v>
      </c>
    </row>
    <row r="30" spans="1:8" x14ac:dyDescent="0.25">
      <c r="A30" s="1938" t="s">
        <v>2119</v>
      </c>
      <c r="B30" s="1940" t="s">
        <v>2125</v>
      </c>
      <c r="C30" s="1939" t="s">
        <v>2116</v>
      </c>
      <c r="D30" s="1844">
        <v>5209</v>
      </c>
      <c r="E30" s="1540">
        <f t="shared" si="2"/>
        <v>5209</v>
      </c>
      <c r="F30" s="1932">
        <f t="shared" si="1"/>
        <v>5209</v>
      </c>
      <c r="G30" s="1793">
        <f t="shared" si="3"/>
        <v>0</v>
      </c>
    </row>
    <row r="31" spans="1:8" x14ac:dyDescent="0.25">
      <c r="A31" s="1938" t="s">
        <v>2120</v>
      </c>
      <c r="B31" s="1940" t="s">
        <v>2126</v>
      </c>
      <c r="C31" s="1939" t="s">
        <v>2117</v>
      </c>
      <c r="D31" s="1844">
        <v>3045</v>
      </c>
      <c r="E31" s="1540">
        <f t="shared" si="2"/>
        <v>3045</v>
      </c>
      <c r="F31" s="1932">
        <f t="shared" si="1"/>
        <v>3045</v>
      </c>
      <c r="G31" s="1793">
        <f t="shared" si="3"/>
        <v>0</v>
      </c>
    </row>
    <row r="32" spans="1:8" x14ac:dyDescent="0.25">
      <c r="A32" s="1938" t="s">
        <v>2120</v>
      </c>
      <c r="B32" s="1940" t="s">
        <v>2126</v>
      </c>
      <c r="C32" s="1939" t="s">
        <v>2118</v>
      </c>
      <c r="D32" s="1844">
        <v>2100</v>
      </c>
      <c r="E32" s="1540">
        <f t="shared" si="2"/>
        <v>2100</v>
      </c>
      <c r="F32" s="1932">
        <f t="shared" si="1"/>
        <v>2100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146802</v>
      </c>
      <c r="E141" s="1541">
        <f t="shared" si="0"/>
        <v>25000</v>
      </c>
      <c r="F141" s="1933">
        <f>SUM(F17:F140)</f>
        <v>146802</v>
      </c>
      <c r="G141" s="1795">
        <f>SUM(G17:G140)</f>
        <v>0</v>
      </c>
    </row>
  </sheetData>
  <sheetProtection sheet="1" selectLockedCells="1"/>
  <mergeCells count="6">
    <mergeCell ref="A13:G13"/>
    <mergeCell ref="A4:G5"/>
    <mergeCell ref="A11:G11"/>
    <mergeCell ref="A7:G7"/>
    <mergeCell ref="A8:G8"/>
    <mergeCell ref="A9:G9"/>
  </mergeCells>
  <pageMargins left="0.2" right="0.2" top="0.5" bottom="0.25" header="0.3" footer="0.3"/>
  <pageSetup scale="82"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A7" colorId="8" zoomScale="110" zoomScaleNormal="110" workbookViewId="0">
      <selection activeCell="I22" sqref="I22:S2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2" t="s">
        <v>1679</v>
      </c>
      <c r="B5" s="2283"/>
      <c r="C5" s="2283"/>
      <c r="D5" s="2283"/>
      <c r="E5" s="2283"/>
      <c r="F5" s="2283"/>
      <c r="G5" s="2284"/>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f>98345+6095</f>
        <v>104440</v>
      </c>
      <c r="F8" s="974"/>
      <c r="G8" s="975"/>
      <c r="H8" s="162"/>
      <c r="I8" s="162"/>
    </row>
    <row r="9" spans="1:9" s="668" customFormat="1" ht="12" customHeight="1" x14ac:dyDescent="0.2">
      <c r="A9" s="970" t="s">
        <v>130</v>
      </c>
      <c r="B9" s="971"/>
      <c r="C9" s="971"/>
      <c r="D9" s="972"/>
      <c r="E9" s="973">
        <f>11505+12354+201859+176101</f>
        <v>401819</v>
      </c>
      <c r="F9" s="974"/>
      <c r="G9" s="975"/>
      <c r="H9" s="162"/>
      <c r="I9" s="162"/>
    </row>
    <row r="10" spans="1:9" s="668" customFormat="1" ht="12" customHeight="1" x14ac:dyDescent="0.2">
      <c r="A10" s="970" t="s">
        <v>1933</v>
      </c>
      <c r="B10" s="971"/>
      <c r="C10" s="976"/>
      <c r="D10" s="972"/>
      <c r="E10" s="973">
        <f>1934+1760+24007</f>
        <v>27701</v>
      </c>
      <c r="F10" s="974"/>
      <c r="G10" s="975"/>
      <c r="H10" s="162"/>
      <c r="I10" s="162"/>
    </row>
    <row r="11" spans="1:9" s="668" customFormat="1" ht="22.5" customHeight="1" x14ac:dyDescent="0.2">
      <c r="A11" s="2287" t="s">
        <v>1977</v>
      </c>
      <c r="B11" s="2288"/>
      <c r="C11" s="2288"/>
      <c r="D11" s="2289"/>
      <c r="E11" s="977"/>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2497825</v>
      </c>
      <c r="F19" s="1799"/>
      <c r="G19" s="1801">
        <f>'Expenditures 15-22'!K33-SUM('Expenditures 15-22'!G33,'Expenditures 15-22'!I33)+'Expenditures 15-22'!D229</f>
        <v>2497825</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183085</v>
      </c>
      <c r="F21" s="1802"/>
      <c r="G21" s="1805">
        <f>'Expenditures 15-22'!K42-SUM('Expenditures 15-22'!G42,'Expenditures 15-22'!I42)+'Expenditures 15-22'!K120-SUM('Expenditures 15-22'!G120,'Expenditures 15-22'!I120)+'Expenditures 15-22'!K180-SUM('Expenditures 15-22'!G180,'Expenditures 15-22'!I180)+'Expenditures 15-22'!D238</f>
        <v>183085</v>
      </c>
      <c r="H21" s="987"/>
      <c r="I21" s="162"/>
    </row>
    <row r="22" spans="1:9" s="668" customFormat="1" ht="12" customHeight="1" x14ac:dyDescent="0.2">
      <c r="A22" s="994" t="s">
        <v>564</v>
      </c>
      <c r="B22" s="995"/>
      <c r="C22" s="993">
        <v>2200</v>
      </c>
      <c r="D22" s="1802"/>
      <c r="E22" s="1804">
        <f>'Expenditures 15-22'!K47-SUM('Expenditures 15-22'!G47,'Expenditures 15-22'!I47)+'Expenditures 15-22'!D243</f>
        <v>47762</v>
      </c>
      <c r="F22" s="1802"/>
      <c r="G22" s="1805">
        <f>'Expenditures 15-22'!K47-SUM('Expenditures 15-22'!G47,'Expenditures 15-22'!I47)+'Expenditures 15-22'!D243</f>
        <v>47762</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508010</v>
      </c>
      <c r="F23" s="1802"/>
      <c r="G23" s="1804">
        <f>'Expenditures 15-22'!K53-SUM('Expenditures 15-22'!G53,'Expenditures 15-22'!I53)+'Expenditures 15-22'!D257+'Expenditures 15-22'!K330-SUM('Expenditures 15-22'!G330,'Expenditures 15-22'!I330)</f>
        <v>508010</v>
      </c>
      <c r="H23" s="987"/>
      <c r="I23" s="162"/>
    </row>
    <row r="24" spans="1:9" s="668" customFormat="1" ht="12" customHeight="1" x14ac:dyDescent="0.2">
      <c r="A24" s="994" t="s">
        <v>566</v>
      </c>
      <c r="B24" s="995"/>
      <c r="C24" s="993">
        <v>2400</v>
      </c>
      <c r="D24" s="1802"/>
      <c r="E24" s="1804">
        <f>'Expenditures 15-22'!K57-SUM('Expenditures 15-22'!G57,'Expenditures 15-22'!I57)+'Expenditures 15-22'!D261</f>
        <v>204568</v>
      </c>
      <c r="F24" s="1802"/>
      <c r="G24" s="1805">
        <f>'Expenditures 15-22'!K57-SUM('Expenditures 15-22'!G57,'Expenditures 15-22'!I57)+'Expenditures 15-22'!D261</f>
        <v>204568</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0</v>
      </c>
      <c r="E27" s="1804">
        <f>E8</f>
        <v>104440</v>
      </c>
      <c r="F27" s="1804">
        <f>'Expenditures 15-22'!K60-SUM('Expenditures 15-22'!G60,'Expenditures 15-22'!I60)+'Expenditures 15-22'!D264-E8</f>
        <v>0</v>
      </c>
      <c r="G27" s="1805">
        <f>E8</f>
        <v>104440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401819</v>
      </c>
      <c r="F28" s="1806">
        <f>'Expenditures 15-22'!K61-SUM('Expenditures 15-22'!G61,'Expenditures 15-22'!I61)+'Expenditures 15-22'!K124-SUM('Expenditures 15-22'!G124,'Expenditures 15-22'!I124)+'Expenditures 15-22'!D266-E9</f>
        <v>0</v>
      </c>
      <c r="G28" s="1805">
        <f>E9</f>
        <v>401819</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141549</v>
      </c>
      <c r="F29" s="1802"/>
      <c r="G29" s="1805">
        <f>'Expenditures 15-22'!K62-SUM('Expenditures 15-22'!G62,'Expenditures 15-22'!I62)+'Expenditures 15-22'!K125-SUM('Expenditures 15-22'!G125,'Expenditures 15-22'!I125)+'Expenditures 15-22'!K182-SUM('Expenditures 15-22'!G182,'Expenditures 15-22'!I182)+'Expenditures 15-22'!D267</f>
        <v>141549</v>
      </c>
      <c r="H29" s="985"/>
    </row>
    <row r="30" spans="1:9" ht="12" customHeight="1" x14ac:dyDescent="0.2">
      <c r="A30" s="994" t="s">
        <v>100</v>
      </c>
      <c r="B30" s="997"/>
      <c r="C30" s="993">
        <v>2560</v>
      </c>
      <c r="D30" s="1802"/>
      <c r="E30" s="1804">
        <f>'Expenditures 15-22'!K63-SUM('Expenditures 15-22'!G63,'Expenditures 15-22'!I63)+'Expenditures 15-22'!D268-E10</f>
        <v>9</v>
      </c>
      <c r="F30" s="1802"/>
      <c r="G30" s="1804">
        <f>'Expenditures 15-22'!K63-SUM('Expenditures 15-22'!G63,'Expenditures 15-22'!I63)+'Expenditures 15-22'!D268-E10</f>
        <v>9</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16100</v>
      </c>
      <c r="F34" s="1802"/>
      <c r="G34" s="1804">
        <f>'Expenditures 15-22'!K68-SUM('Expenditures 15-22'!G68,'Expenditures 15-22'!I68)+'Expenditures 15-22'!D273</f>
        <v>16100</v>
      </c>
    </row>
    <row r="35" spans="1:7" ht="12" customHeight="1" x14ac:dyDescent="0.2">
      <c r="A35" s="994" t="s">
        <v>1061</v>
      </c>
      <c r="B35" s="997"/>
      <c r="C35" s="993">
        <v>2630</v>
      </c>
      <c r="D35" s="1802"/>
      <c r="E35" s="1804">
        <f>'Expenditures 15-22'!K69-SUM('Expenditures 15-22'!G69,'Expenditures 15-22'!I69)+'Expenditures 15-22'!D274</f>
        <v>85652</v>
      </c>
      <c r="F35" s="1802"/>
      <c r="G35" s="1804">
        <f>'Expenditures 15-22'!K69-SUM('Expenditures 15-22'!G69,'Expenditures 15-22'!I69)+'Expenditures 15-22'!D274</f>
        <v>85652</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25905</v>
      </c>
      <c r="F39" s="1802"/>
      <c r="G39" s="1804">
        <f>'Expenditures 15-22'!K75-SUM('Expenditures 15-22'!G75,'Expenditures 15-22'!I75)+'Expenditures 15-22'!K130-SUM('Expenditures 15-22'!G130,'Expenditures 15-22'!I130)+'Expenditures 15-22'!K185-SUM('Expenditures 15-22'!G185,'Expenditures 15-22'!I185)+'Expenditures 15-22'!D280</f>
        <v>25905</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0</v>
      </c>
      <c r="E41" s="1806">
        <f>SUM(E19:E40)</f>
        <v>4216724</v>
      </c>
      <c r="F41" s="1806">
        <f>SUM(F19:F39)</f>
        <v>0</v>
      </c>
      <c r="G41" s="1806">
        <f>SUM(G19:G40)</f>
        <v>4216724</v>
      </c>
    </row>
    <row r="42" spans="1:7" x14ac:dyDescent="0.2">
      <c r="A42" s="987"/>
      <c r="B42" s="162"/>
      <c r="C42" s="1001"/>
      <c r="D42" s="2285" t="s">
        <v>522</v>
      </c>
      <c r="E42" s="2286"/>
      <c r="F42" s="1002" t="s">
        <v>523</v>
      </c>
      <c r="G42" s="1003"/>
    </row>
    <row r="43" spans="1:7" ht="12" customHeight="1" x14ac:dyDescent="0.2">
      <c r="A43" s="987"/>
      <c r="B43" s="162"/>
      <c r="C43" s="1001"/>
      <c r="D43" s="1807" t="s">
        <v>473</v>
      </c>
      <c r="E43" s="1808">
        <f>D41</f>
        <v>0</v>
      </c>
      <c r="F43" s="1807" t="s">
        <v>473</v>
      </c>
      <c r="G43" s="1808">
        <f>F41</f>
        <v>0</v>
      </c>
    </row>
    <row r="44" spans="1:7" ht="12" customHeight="1" x14ac:dyDescent="0.2">
      <c r="A44" s="987"/>
      <c r="B44" s="162"/>
      <c r="C44" s="1001"/>
      <c r="D44" s="1807" t="s">
        <v>474</v>
      </c>
      <c r="E44" s="1808">
        <f>E41</f>
        <v>4216724</v>
      </c>
      <c r="F44" s="1807" t="s">
        <v>474</v>
      </c>
      <c r="G44" s="1808">
        <f>G41</f>
        <v>4216724</v>
      </c>
    </row>
    <row r="45" spans="1:7" ht="12" customHeight="1" x14ac:dyDescent="0.2">
      <c r="A45" s="987"/>
      <c r="B45" s="162"/>
      <c r="C45" s="162"/>
      <c r="D45" s="1809" t="s">
        <v>1006</v>
      </c>
      <c r="E45" s="1810">
        <f>(E43/E44)</f>
        <v>0</v>
      </c>
      <c r="F45" s="1809" t="s">
        <v>1006</v>
      </c>
      <c r="G45" s="1810">
        <f>(G43/G44)</f>
        <v>0</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7" activePane="bottomLeft" state="frozen"/>
      <selection activeCell="I22" sqref="I22:S22"/>
      <selection pane="bottomLeft" activeCell="I22" sqref="I22:S22"/>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3" t="s">
        <v>1379</v>
      </c>
      <c r="B1" s="2293"/>
      <c r="C1" s="2293"/>
      <c r="D1" s="2293"/>
      <c r="E1" s="2293"/>
      <c r="F1" s="2293"/>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294" t="s">
        <v>1546</v>
      </c>
      <c r="B5" s="2295"/>
      <c r="C5" s="2296"/>
      <c r="D5" s="2296"/>
      <c r="E5" s="2296"/>
      <c r="F5" s="2296"/>
    </row>
    <row r="6" spans="1:10" ht="12" customHeight="1" x14ac:dyDescent="0.25">
      <c r="A6" s="1850"/>
      <c r="B6" s="1851"/>
      <c r="C6" s="2297" t="str">
        <f>COVER!A17</f>
        <v>Smithton CCSD 130</v>
      </c>
      <c r="D6" s="2297"/>
      <c r="E6" s="2297"/>
      <c r="F6" s="1852"/>
    </row>
    <row r="7" spans="1:10" ht="11.25" customHeight="1" thickBot="1" x14ac:dyDescent="0.3">
      <c r="A7" s="1850"/>
      <c r="B7" s="1851"/>
      <c r="C7" s="2298">
        <f>COVER!A13</f>
        <v>50082130004</v>
      </c>
      <c r="D7" s="2298"/>
      <c r="E7" s="2298"/>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t="s">
        <v>2064</v>
      </c>
      <c r="D15" s="1865" t="s">
        <v>2064</v>
      </c>
      <c r="E15" s="1868"/>
      <c r="F15" s="1867" t="s">
        <v>2091</v>
      </c>
      <c r="H15" s="1878">
        <f t="shared" si="0"/>
        <v>5</v>
      </c>
      <c r="I15" s="1878">
        <f t="shared" si="1"/>
        <v>5</v>
      </c>
      <c r="J15" s="1878">
        <f t="shared" si="2"/>
        <v>0</v>
      </c>
    </row>
    <row r="16" spans="1:10" ht="12" customHeight="1" x14ac:dyDescent="0.2">
      <c r="A16" s="1863" t="s">
        <v>1388</v>
      </c>
      <c r="B16" s="1864"/>
      <c r="C16" s="1865" t="s">
        <v>2064</v>
      </c>
      <c r="D16" s="1865" t="s">
        <v>2064</v>
      </c>
      <c r="E16" s="1868"/>
      <c r="F16" s="1867" t="s">
        <v>2092</v>
      </c>
      <c r="H16" s="1878">
        <f t="shared" si="0"/>
        <v>5</v>
      </c>
      <c r="I16" s="1878">
        <f t="shared" si="1"/>
        <v>5</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2064</v>
      </c>
      <c r="D19" s="1865" t="s">
        <v>2064</v>
      </c>
      <c r="E19" s="1868"/>
      <c r="F19" s="1867" t="s">
        <v>2093</v>
      </c>
      <c r="H19" s="1878">
        <f t="shared" si="0"/>
        <v>5</v>
      </c>
      <c r="I19" s="1878">
        <f t="shared" si="1"/>
        <v>5</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t="s">
        <v>2064</v>
      </c>
      <c r="D24" s="1865" t="s">
        <v>2064</v>
      </c>
      <c r="E24" s="1868"/>
      <c r="F24" s="1867" t="s">
        <v>2098</v>
      </c>
      <c r="H24" s="1878">
        <f t="shared" si="0"/>
        <v>5</v>
      </c>
      <c r="I24" s="1878">
        <f t="shared" si="1"/>
        <v>5</v>
      </c>
      <c r="J24" s="1878">
        <f t="shared" si="2"/>
        <v>0</v>
      </c>
    </row>
    <row r="25" spans="1:12" ht="12" customHeight="1" x14ac:dyDescent="0.2">
      <c r="A25" s="1863" t="s">
        <v>1533</v>
      </c>
      <c r="B25" s="1864"/>
      <c r="C25" s="1865" t="s">
        <v>2064</v>
      </c>
      <c r="D25" s="1865" t="s">
        <v>2064</v>
      </c>
      <c r="E25" s="1868"/>
      <c r="F25" s="1867" t="s">
        <v>2094</v>
      </c>
      <c r="H25" s="1878">
        <f t="shared" si="0"/>
        <v>5</v>
      </c>
      <c r="I25" s="1878">
        <f t="shared" si="1"/>
        <v>5</v>
      </c>
      <c r="J25" s="1878">
        <f t="shared" si="2"/>
        <v>0</v>
      </c>
    </row>
    <row r="26" spans="1:12" ht="12" customHeight="1" x14ac:dyDescent="0.2">
      <c r="A26" s="1863" t="s">
        <v>1534</v>
      </c>
      <c r="B26" s="1864"/>
      <c r="C26" s="1865" t="s">
        <v>2064</v>
      </c>
      <c r="D26" s="1865" t="s">
        <v>2064</v>
      </c>
      <c r="E26" s="1868"/>
      <c r="F26" s="1867" t="s">
        <v>2095</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t="s">
        <v>2064</v>
      </c>
      <c r="D30" s="1865" t="s">
        <v>2064</v>
      </c>
      <c r="E30" s="1868"/>
      <c r="F30" s="1867" t="s">
        <v>2096</v>
      </c>
      <c r="H30" s="1878">
        <f t="shared" si="0"/>
        <v>5</v>
      </c>
      <c r="I30" s="1878">
        <f t="shared" si="1"/>
        <v>5</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t="s">
        <v>2064</v>
      </c>
      <c r="D32" s="1865" t="s">
        <v>2064</v>
      </c>
      <c r="E32" s="1868"/>
      <c r="F32" s="1867" t="s">
        <v>2097</v>
      </c>
      <c r="H32" s="1878">
        <f t="shared" si="0"/>
        <v>5</v>
      </c>
      <c r="I32" s="1878">
        <f t="shared" si="1"/>
        <v>5</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40</v>
      </c>
      <c r="I34" s="1878">
        <f>SUM(I11:I32)</f>
        <v>40</v>
      </c>
      <c r="J34" s="1878">
        <f>SUM(J11:J32)</f>
        <v>0</v>
      </c>
      <c r="K34" s="1878">
        <f>SUM(H34:J34)</f>
        <v>80</v>
      </c>
    </row>
    <row r="35" spans="1:11" ht="12" customHeight="1" x14ac:dyDescent="0.2">
      <c r="A35" s="1871" t="s">
        <v>1392</v>
      </c>
      <c r="B35" s="1872"/>
      <c r="C35" s="2299"/>
      <c r="D35" s="2299"/>
      <c r="E35" s="2299"/>
      <c r="F35" s="2300"/>
    </row>
    <row r="36" spans="1:11" ht="12" customHeight="1" x14ac:dyDescent="0.2">
      <c r="A36" s="2290"/>
      <c r="B36" s="2291"/>
      <c r="C36" s="2291"/>
      <c r="D36" s="2291"/>
      <c r="E36" s="2291"/>
      <c r="F36" s="2292"/>
    </row>
    <row r="37" spans="1:11" ht="12" customHeight="1" x14ac:dyDescent="0.2">
      <c r="A37" s="2290"/>
      <c r="B37" s="2291"/>
      <c r="C37" s="2291"/>
      <c r="D37" s="2291"/>
      <c r="E37" s="2291"/>
      <c r="F37" s="2292"/>
    </row>
    <row r="38" spans="1:11" ht="12" customHeight="1" x14ac:dyDescent="0.2">
      <c r="A38" s="2304"/>
      <c r="B38" s="2305"/>
      <c r="C38" s="2305"/>
      <c r="D38" s="2305"/>
      <c r="E38" s="2305"/>
      <c r="F38" s="2306"/>
    </row>
    <row r="39" spans="1:11" ht="4.5" hidden="1" customHeight="1" x14ac:dyDescent="0.2">
      <c r="A39" s="1873"/>
      <c r="B39" s="1873"/>
      <c r="C39" s="1873"/>
      <c r="D39" s="1873"/>
      <c r="E39" s="1873"/>
      <c r="F39" s="1873"/>
    </row>
    <row r="40" spans="1:11" s="1870" customFormat="1" ht="12" customHeight="1" x14ac:dyDescent="0.25">
      <c r="A40" s="1874" t="s">
        <v>1391</v>
      </c>
      <c r="B40" s="1875"/>
      <c r="C40" s="2307"/>
      <c r="D40" s="2307"/>
      <c r="E40" s="2307"/>
      <c r="F40" s="2308"/>
      <c r="H40" s="1879"/>
      <c r="I40" s="1879"/>
      <c r="J40" s="1879"/>
      <c r="K40" s="1879"/>
    </row>
    <row r="41" spans="1:11" s="1870" customFormat="1" ht="12" customHeight="1" x14ac:dyDescent="0.25">
      <c r="A41" s="2309"/>
      <c r="B41" s="2310"/>
      <c r="C41" s="2310"/>
      <c r="D41" s="2310"/>
      <c r="E41" s="2310"/>
      <c r="F41" s="2311"/>
      <c r="H41" s="1879"/>
      <c r="I41" s="1879"/>
      <c r="J41" s="1879"/>
      <c r="K41" s="1879"/>
    </row>
    <row r="42" spans="1:11" s="1870" customFormat="1" ht="12" customHeight="1" x14ac:dyDescent="0.25">
      <c r="A42" s="2309"/>
      <c r="B42" s="2310"/>
      <c r="C42" s="2310"/>
      <c r="D42" s="2310"/>
      <c r="E42" s="2310"/>
      <c r="F42" s="2311"/>
      <c r="H42" s="1879"/>
      <c r="I42" s="1879"/>
      <c r="J42" s="1879"/>
      <c r="K42" s="1879"/>
    </row>
    <row r="43" spans="1:11" s="1870" customFormat="1" ht="15" x14ac:dyDescent="0.25">
      <c r="A43" s="2301"/>
      <c r="B43" s="2302"/>
      <c r="C43" s="2302"/>
      <c r="D43" s="2302"/>
      <c r="E43" s="2302"/>
      <c r="F43" s="2303"/>
      <c r="H43" s="1879"/>
      <c r="I43" s="1879"/>
      <c r="J43" s="1879"/>
      <c r="K43" s="1879"/>
    </row>
    <row r="44" spans="1:11" s="1870" customFormat="1" ht="12" hidden="1" customHeight="1" x14ac:dyDescent="0.25">
      <c r="A44" s="2301"/>
      <c r="B44" s="2302"/>
      <c r="C44" s="2302"/>
      <c r="D44" s="2302"/>
      <c r="E44" s="2302"/>
      <c r="F44" s="2303"/>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I22" sqref="I22:S22"/>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7" t="str">
        <f>COVER!A17</f>
        <v>Smithton CCSD 130</v>
      </c>
      <c r="J6" s="2318"/>
      <c r="Q6" s="1664"/>
    </row>
    <row r="7" spans="1:17" x14ac:dyDescent="0.2">
      <c r="A7" s="2319" t="s">
        <v>869</v>
      </c>
      <c r="B7" s="2320"/>
      <c r="C7" s="2320"/>
      <c r="D7" s="2320"/>
      <c r="E7" s="2321"/>
      <c r="F7" s="1017"/>
      <c r="G7" s="1009"/>
      <c r="H7" s="1016" t="s">
        <v>372</v>
      </c>
      <c r="I7" s="2322">
        <f>COVER!A13</f>
        <v>50082130004</v>
      </c>
      <c r="J7" s="2322"/>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3" t="s">
        <v>481</v>
      </c>
      <c r="B11" s="2324"/>
      <c r="C11" s="2325"/>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118429</v>
      </c>
      <c r="F12" s="1039"/>
      <c r="G12" s="1811">
        <f t="shared" ref="G12:G18" si="0">SUM(E12:F12)</f>
        <v>118429</v>
      </c>
      <c r="H12" s="1040">
        <v>123025</v>
      </c>
      <c r="I12" s="1039"/>
      <c r="J12" s="1811">
        <f t="shared" ref="J12:J18" si="1">SUM(H12:I12)</f>
        <v>123025</v>
      </c>
    </row>
    <row r="13" spans="1:17" ht="15" customHeight="1" x14ac:dyDescent="0.2">
      <c r="A13" s="1035">
        <v>2</v>
      </c>
      <c r="B13" s="1036" t="s">
        <v>42</v>
      </c>
      <c r="C13" s="1037"/>
      <c r="D13" s="1038">
        <v>2330</v>
      </c>
      <c r="E13" s="1811">
        <f>'Expenditures 15-22'!K51</f>
        <v>0</v>
      </c>
      <c r="F13" s="1039"/>
      <c r="G13" s="1811">
        <f t="shared" si="0"/>
        <v>0</v>
      </c>
      <c r="H13" s="1040">
        <v>0</v>
      </c>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v>0</v>
      </c>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v>0</v>
      </c>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v>0</v>
      </c>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v>0</v>
      </c>
      <c r="I17" s="1039"/>
      <c r="J17" s="1811">
        <f t="shared" si="1"/>
        <v>0</v>
      </c>
    </row>
    <row r="18" spans="1:10" ht="22.5" customHeight="1" x14ac:dyDescent="0.2">
      <c r="A18" s="1042">
        <v>7</v>
      </c>
      <c r="B18" s="2326" t="s">
        <v>7</v>
      </c>
      <c r="C18" s="2327"/>
      <c r="D18" s="2328"/>
      <c r="E18" s="1043"/>
      <c r="F18" s="1043"/>
      <c r="G18" s="1812">
        <f t="shared" si="0"/>
        <v>0</v>
      </c>
      <c r="H18" s="1040">
        <v>0</v>
      </c>
      <c r="I18" s="1040"/>
      <c r="J18" s="1811">
        <f t="shared" si="1"/>
        <v>0</v>
      </c>
    </row>
    <row r="19" spans="1:10" ht="12.75" customHeight="1" thickBot="1" x14ac:dyDescent="0.25">
      <c r="A19" s="1035">
        <v>8</v>
      </c>
      <c r="B19" s="1044" t="s">
        <v>1161</v>
      </c>
      <c r="D19" s="1045"/>
      <c r="E19" s="1813">
        <f t="shared" ref="E19:J19" si="2">SUM(E12:E17)-E18</f>
        <v>118429</v>
      </c>
      <c r="F19" s="1813">
        <f t="shared" si="2"/>
        <v>0</v>
      </c>
      <c r="G19" s="1813">
        <f t="shared" si="2"/>
        <v>118429</v>
      </c>
      <c r="H19" s="1813">
        <f t="shared" si="2"/>
        <v>123025</v>
      </c>
      <c r="I19" s="1813">
        <f t="shared" si="2"/>
        <v>0</v>
      </c>
      <c r="J19" s="1813">
        <f t="shared" si="2"/>
        <v>123025</v>
      </c>
    </row>
    <row r="20" spans="1:10" ht="13.5" thickTop="1" x14ac:dyDescent="0.2">
      <c r="A20" s="1035">
        <v>9</v>
      </c>
      <c r="B20" s="2329" t="s">
        <v>1981</v>
      </c>
      <c r="C20" s="2329"/>
      <c r="D20" s="2330"/>
      <c r="E20" s="1046"/>
      <c r="F20" s="1046"/>
      <c r="G20" s="1046"/>
      <c r="H20" s="1046"/>
      <c r="I20" s="1046"/>
      <c r="J20" s="1814">
        <f>IF(AND(G19&gt;0,J19&gt;0),(((J19-G19)/G19)),"Enter Budget Data")</f>
        <v>3.880806221449138E-2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5"/>
      <c r="D26" s="2335"/>
      <c r="E26" s="1050"/>
      <c r="F26" s="2334"/>
      <c r="G26" s="2334"/>
    </row>
    <row r="27" spans="1:10" x14ac:dyDescent="0.2">
      <c r="B27" s="1047"/>
      <c r="C27" s="1051" t="s">
        <v>1033</v>
      </c>
      <c r="D27" s="1052"/>
      <c r="E27" s="1053"/>
      <c r="F27" s="2331" t="s">
        <v>1509</v>
      </c>
      <c r="G27" s="2331"/>
    </row>
    <row r="28" spans="1:10" ht="28.5" customHeight="1" x14ac:dyDescent="0.2">
      <c r="B28" s="1047"/>
      <c r="C28" s="2333"/>
      <c r="D28" s="2333"/>
      <c r="E28" s="1054"/>
      <c r="F28" s="2333"/>
      <c r="G28" s="2333"/>
    </row>
    <row r="29" spans="1:10" x14ac:dyDescent="0.2">
      <c r="B29" s="1047"/>
      <c r="C29" s="1055" t="s">
        <v>1561</v>
      </c>
      <c r="E29" s="1056"/>
      <c r="F29" s="2332" t="s">
        <v>1510</v>
      </c>
      <c r="G29" s="2332"/>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4" t="s">
        <v>132</v>
      </c>
      <c r="D33" s="2315"/>
      <c r="E33" s="2315"/>
      <c r="F33" s="2315"/>
      <c r="G33" s="2315"/>
      <c r="H33" s="2315"/>
      <c r="I33" s="2315"/>
    </row>
    <row r="34" spans="1:10" ht="10.35" customHeight="1" x14ac:dyDescent="0.2">
      <c r="C34" s="2315"/>
      <c r="D34" s="2315"/>
      <c r="E34" s="2315"/>
      <c r="F34" s="2315"/>
      <c r="G34" s="2315"/>
      <c r="H34" s="2315"/>
      <c r="I34" s="2315"/>
    </row>
    <row r="35" spans="1:10" ht="7.5" customHeight="1" x14ac:dyDescent="0.2">
      <c r="C35" s="1062"/>
    </row>
    <row r="36" spans="1:10" ht="13.5" customHeight="1" x14ac:dyDescent="0.2">
      <c r="B36" s="1061"/>
      <c r="C36" s="2316" t="s">
        <v>1983</v>
      </c>
      <c r="D36" s="2315"/>
      <c r="E36" s="2315"/>
      <c r="F36" s="2315"/>
      <c r="G36" s="2315"/>
      <c r="H36" s="2315"/>
      <c r="I36" s="2315"/>
      <c r="J36" s="1063"/>
    </row>
    <row r="37" spans="1:10" ht="22.5" customHeight="1" x14ac:dyDescent="0.2">
      <c r="C37" s="2315"/>
      <c r="D37" s="2315"/>
      <c r="E37" s="2315"/>
      <c r="F37" s="2315"/>
      <c r="G37" s="2315"/>
      <c r="H37" s="2315"/>
      <c r="I37" s="2315"/>
      <c r="J37" s="1063"/>
    </row>
    <row r="38" spans="1:10" ht="7.5" customHeight="1" x14ac:dyDescent="0.2">
      <c r="C38" s="1062"/>
      <c r="D38" s="1064"/>
      <c r="E38" s="1065"/>
      <c r="F38" s="1066"/>
      <c r="G38" s="1065"/>
    </row>
    <row r="39" spans="1:10" ht="13.5" customHeight="1" x14ac:dyDescent="0.2">
      <c r="B39" s="1061"/>
      <c r="C39" s="2312" t="s">
        <v>882</v>
      </c>
      <c r="D39" s="2313"/>
      <c r="E39" s="2313"/>
      <c r="F39" s="2313"/>
      <c r="G39" s="2313"/>
      <c r="H39" s="2313"/>
      <c r="I39" s="2313"/>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I22" sqref="I22:S22"/>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1937" t="s">
        <v>2089</v>
      </c>
    </row>
    <row r="6" spans="1:2" x14ac:dyDescent="0.2">
      <c r="A6" s="1068">
        <v>2</v>
      </c>
      <c r="B6" s="329" t="s">
        <v>2088</v>
      </c>
    </row>
    <row r="7" spans="1:2" x14ac:dyDescent="0.2">
      <c r="A7" s="1068">
        <v>3</v>
      </c>
      <c r="B7" s="1937" t="s">
        <v>2087</v>
      </c>
    </row>
    <row r="8" spans="1:2" x14ac:dyDescent="0.2">
      <c r="A8" s="1068">
        <v>4</v>
      </c>
      <c r="B8" s="1937" t="s">
        <v>2086</v>
      </c>
    </row>
    <row r="9" spans="1:2" x14ac:dyDescent="0.2">
      <c r="A9" s="1069"/>
    </row>
    <row r="10" spans="1:2" x14ac:dyDescent="0.2">
      <c r="A10" s="1069"/>
    </row>
    <row r="11" spans="1:2" x14ac:dyDescent="0.2">
      <c r="A11" s="1069"/>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Smithton CCSD 130</v>
      </c>
    </row>
    <row r="65" spans="2:2" x14ac:dyDescent="0.2">
      <c r="B65" s="1070">
        <f>COVER!A13</f>
        <v>50082130004</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I22" sqref="I22:S2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I22" sqref="I22:S22"/>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6" t="s">
        <v>1685</v>
      </c>
      <c r="B18" s="2336"/>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I22" sqref="I22:S22"/>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7" t="s">
        <v>1690</v>
      </c>
      <c r="B1" s="2338"/>
      <c r="C1" s="2338"/>
      <c r="D1" s="2338"/>
      <c r="E1" s="2338"/>
      <c r="F1" s="2339"/>
    </row>
    <row r="2" spans="1:8" ht="45" customHeight="1" x14ac:dyDescent="0.2">
      <c r="A2" s="2347" t="s">
        <v>1987</v>
      </c>
      <c r="B2" s="2348"/>
      <c r="C2" s="2348"/>
      <c r="D2" s="2348"/>
      <c r="E2" s="2348"/>
      <c r="F2" s="2349"/>
      <c r="G2" s="1074"/>
      <c r="H2" s="1074"/>
    </row>
    <row r="3" spans="1:8" ht="57" customHeight="1" x14ac:dyDescent="0.2">
      <c r="A3" s="2350" t="s">
        <v>1686</v>
      </c>
      <c r="B3" s="2351"/>
      <c r="C3" s="2351"/>
      <c r="D3" s="2351"/>
      <c r="E3" s="2351"/>
      <c r="F3" s="2352"/>
      <c r="G3" s="1074"/>
      <c r="H3" s="1074"/>
    </row>
    <row r="4" spans="1:8" ht="14.25" customHeight="1" x14ac:dyDescent="0.2">
      <c r="A4" s="2356" t="s">
        <v>1988</v>
      </c>
      <c r="B4" s="2357"/>
      <c r="C4" s="2357"/>
      <c r="D4" s="2357"/>
      <c r="E4" s="2357"/>
      <c r="F4" s="2358"/>
      <c r="G4" s="1074"/>
      <c r="H4" s="1074"/>
    </row>
    <row r="5" spans="1:8" ht="14.25" customHeight="1" x14ac:dyDescent="0.2">
      <c r="A5" s="2359" t="s">
        <v>1984</v>
      </c>
      <c r="B5" s="2360"/>
      <c r="C5" s="2360"/>
      <c r="D5" s="2360"/>
      <c r="E5" s="2360"/>
      <c r="F5" s="2361"/>
      <c r="G5" s="1074"/>
      <c r="H5" s="1074"/>
    </row>
    <row r="6" spans="1:8" s="1075" customFormat="1" ht="41.25" customHeight="1" x14ac:dyDescent="0.2">
      <c r="A6" s="2353" t="s">
        <v>1691</v>
      </c>
      <c r="B6" s="2354"/>
      <c r="C6" s="2354"/>
      <c r="D6" s="2354"/>
      <c r="E6" s="2354"/>
      <c r="F6" s="2355"/>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3521435</v>
      </c>
      <c r="C8" s="1815">
        <f>'Acct Summary 7-8'!D8</f>
        <v>336114</v>
      </c>
      <c r="D8" s="1815">
        <f>'Acct Summary 7-8'!F8</f>
        <v>180203</v>
      </c>
      <c r="E8" s="1815">
        <f>'Acct Summary 7-8'!I8</f>
        <v>51259</v>
      </c>
      <c r="F8" s="1815">
        <f>SUM(B8:E8)</f>
        <v>4089011</v>
      </c>
    </row>
    <row r="9" spans="1:8" s="1079" customFormat="1" ht="14.25" customHeight="1" thickBot="1" x14ac:dyDescent="0.25">
      <c r="A9" s="1078" t="s">
        <v>1369</v>
      </c>
      <c r="B9" s="1816">
        <f>'Acct Summary 7-8'!C17</f>
        <v>3572763</v>
      </c>
      <c r="C9" s="1816">
        <f>'Acct Summary 7-8'!D17</f>
        <v>325051</v>
      </c>
      <c r="D9" s="1816">
        <f>'Acct Summary 7-8'!F17</f>
        <v>132742</v>
      </c>
      <c r="E9" s="1815"/>
      <c r="F9" s="1815">
        <f>SUM(B9:E9)</f>
        <v>4030556</v>
      </c>
    </row>
    <row r="10" spans="1:8" s="1079" customFormat="1" ht="14.25" thickTop="1" thickBot="1" x14ac:dyDescent="0.25">
      <c r="A10" s="1080" t="s">
        <v>1370</v>
      </c>
      <c r="B10" s="1817">
        <f>(B8-B9)</f>
        <v>-51328</v>
      </c>
      <c r="C10" s="1817">
        <f>(C8-C9)</f>
        <v>11063</v>
      </c>
      <c r="D10" s="1817">
        <f>(D8-D9)</f>
        <v>47461</v>
      </c>
      <c r="E10" s="1816">
        <f>(E8-E9)</f>
        <v>51259</v>
      </c>
      <c r="F10" s="1818">
        <f>SUM(F8-F9)</f>
        <v>58455</v>
      </c>
    </row>
    <row r="11" spans="1:8" s="1079" customFormat="1" ht="14.25" thickTop="1" thickBot="1" x14ac:dyDescent="0.25">
      <c r="A11" s="1081" t="s">
        <v>1985</v>
      </c>
      <c r="B11" s="1819">
        <f>'Acct Summary 7-8'!C81</f>
        <v>1430105</v>
      </c>
      <c r="C11" s="1819">
        <f>'Acct Summary 7-8'!D81</f>
        <v>1218980</v>
      </c>
      <c r="D11" s="1819">
        <f>'Acct Summary 7-8'!F81</f>
        <v>617994</v>
      </c>
      <c r="E11" s="1819">
        <f>'Acct Summary 7-8'!I81</f>
        <v>503371</v>
      </c>
      <c r="F11" s="1820">
        <f>SUM(B11:E11)</f>
        <v>3770450</v>
      </c>
    </row>
    <row r="12" spans="1:8" ht="16.5" customHeight="1" thickTop="1" x14ac:dyDescent="0.2">
      <c r="A12" s="1082"/>
      <c r="B12" s="1083"/>
      <c r="C12" s="2341" t="str">
        <f>IF(AND(F10&lt;0,F11&gt;=0,ABS(F10*3)&gt;ABS(F11)),A16,IF(AND(F10&lt;0,F11&gt;0,ABS(F10*3)&lt;=ABS(F11)),A17,IF(AND(F10&lt;0,F11&lt;0),A16,IF(F11=0,A19,A18))))</f>
        <v>Balanced - no deficit reduction plan is required.</v>
      </c>
      <c r="D12" s="2342"/>
      <c r="E12" s="2342"/>
      <c r="F12" s="2343"/>
    </row>
    <row r="13" spans="1:8" ht="19.5" customHeight="1" x14ac:dyDescent="0.2">
      <c r="A13" s="1084"/>
      <c r="B13" s="1085"/>
      <c r="C13" s="2341"/>
      <c r="D13" s="2342"/>
      <c r="E13" s="2342"/>
      <c r="F13" s="2343"/>
      <c r="H13" s="1074"/>
    </row>
    <row r="14" spans="1:8" ht="19.5" customHeight="1" x14ac:dyDescent="0.2">
      <c r="A14" s="1084"/>
      <c r="B14" s="1085"/>
      <c r="C14" s="2341"/>
      <c r="D14" s="2342"/>
      <c r="E14" s="2342"/>
      <c r="F14" s="2343"/>
      <c r="H14" s="1074"/>
    </row>
    <row r="15" spans="1:8" ht="17.25" customHeight="1" x14ac:dyDescent="0.2">
      <c r="A15" s="1084"/>
      <c r="B15" s="1085"/>
      <c r="C15" s="2344"/>
      <c r="D15" s="2345"/>
      <c r="E15" s="2345"/>
      <c r="F15" s="2346"/>
      <c r="H15" s="1074"/>
    </row>
    <row r="16" spans="1:8" s="310" customFormat="1" ht="51.75" hidden="1" customHeight="1" x14ac:dyDescent="0.2">
      <c r="A16" s="2340" t="s">
        <v>1687</v>
      </c>
      <c r="B16" s="2340"/>
      <c r="C16" s="2340"/>
      <c r="D16" s="2340"/>
      <c r="E16" s="2340"/>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colorId="8" zoomScale="110" zoomScaleNormal="110" workbookViewId="0">
      <selection activeCell="C21" sqref="C21:D21"/>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2" t="s">
        <v>665</v>
      </c>
      <c r="B3" s="2363"/>
      <c r="C3" s="2363"/>
      <c r="D3" s="2364"/>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3" t="s">
        <v>1504</v>
      </c>
      <c r="D7" s="2374"/>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5" t="s">
        <v>1008</v>
      </c>
      <c r="B15" s="2366"/>
      <c r="C15" s="2366"/>
      <c r="D15" s="2367"/>
    </row>
    <row r="16" spans="1:4" s="668" customFormat="1" ht="24" customHeight="1" x14ac:dyDescent="0.2">
      <c r="A16" s="2368" t="s">
        <v>663</v>
      </c>
      <c r="B16" s="2369"/>
      <c r="C16" s="2369"/>
      <c r="D16" s="2370"/>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7" t="s">
        <v>314</v>
      </c>
      <c r="D21" s="2378"/>
    </row>
    <row r="22" spans="1:10" ht="12.75" x14ac:dyDescent="0.2">
      <c r="A22" s="1139"/>
      <c r="B22" s="1140">
        <v>2</v>
      </c>
      <c r="C22" s="2375" t="s">
        <v>1524</v>
      </c>
      <c r="D22" s="2376"/>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9" t="s">
        <v>536</v>
      </c>
      <c r="D43" s="2380"/>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1" t="s">
        <v>784</v>
      </c>
      <c r="D56" s="2372"/>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1" t="s">
        <v>1696</v>
      </c>
      <c r="D70" s="2372"/>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50082130004</v>
      </c>
    </row>
    <row r="3" spans="1:2" x14ac:dyDescent="0.2">
      <c r="A3" t="s">
        <v>956</v>
      </c>
      <c r="B3" s="138" t="str">
        <f>COVER!A15</f>
        <v>St Clair</v>
      </c>
    </row>
    <row r="4" spans="1:2" x14ac:dyDescent="0.2">
      <c r="A4" t="s">
        <v>1007</v>
      </c>
      <c r="B4" s="138" t="str">
        <f>COVER!A17</f>
        <v>Smithton CCSD 130</v>
      </c>
    </row>
    <row r="5" spans="1:2" x14ac:dyDescent="0.2">
      <c r="A5" t="s">
        <v>704</v>
      </c>
      <c r="B5" s="138" t="str">
        <f>COVER!A38</f>
        <v>Dr. Ryan Wamser</v>
      </c>
    </row>
    <row r="6" spans="1:2" x14ac:dyDescent="0.2">
      <c r="A6" t="s">
        <v>709</v>
      </c>
      <c r="B6" s="138">
        <f>COVER!P35</f>
        <v>0</v>
      </c>
    </row>
    <row r="7" spans="1:2" x14ac:dyDescent="0.2">
      <c r="A7" t="s">
        <v>705</v>
      </c>
      <c r="B7" s="138">
        <f>COVER!I38</f>
        <v>0</v>
      </c>
    </row>
    <row r="8" spans="1:2" x14ac:dyDescent="0.2">
      <c r="A8" t="s">
        <v>706</v>
      </c>
      <c r="B8" s="138" t="str">
        <f>COVER!T38</f>
        <v>Susan Sarfaty</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f>IF(COVER!J30="x","Yes",IF(COVER!L30="x","No",0))</f>
        <v>0</v>
      </c>
    </row>
    <row r="14" spans="1:2" x14ac:dyDescent="0.2">
      <c r="A14" t="s">
        <v>476</v>
      </c>
      <c r="B14" s="138">
        <f>IF(COVER!J31="x","Yes",IF(COVER!L31="x","No",0))</f>
        <v>0</v>
      </c>
    </row>
    <row r="15" spans="1:2" x14ac:dyDescent="0.2">
      <c r="A15" t="s">
        <v>577</v>
      </c>
      <c r="B15" s="138" t="str">
        <f>COVER!T23</f>
        <v>66-003932</v>
      </c>
    </row>
    <row r="16" spans="1:2" x14ac:dyDescent="0.2">
      <c r="A16" t="s">
        <v>422</v>
      </c>
      <c r="B16" s="138" t="str">
        <f>COVER!T13</f>
        <v>Schorb &amp; Schmersahl. LLC</v>
      </c>
    </row>
    <row r="17" spans="1:2" x14ac:dyDescent="0.2">
      <c r="A17" t="s">
        <v>884</v>
      </c>
      <c r="B17" s="138" t="str">
        <f>COVER!T15</f>
        <v>James R. Schmersahl</v>
      </c>
    </row>
    <row r="18" spans="1:2" x14ac:dyDescent="0.2">
      <c r="A18" t="s">
        <v>1150</v>
      </c>
      <c r="B18" s="138" t="str">
        <f>COVER!T17</f>
        <v>518 North Main Street</v>
      </c>
    </row>
    <row r="19" spans="1:2" x14ac:dyDescent="0.2">
      <c r="A19" t="s">
        <v>886</v>
      </c>
      <c r="B19" s="138">
        <f>COVER!T25</f>
        <v>0</v>
      </c>
    </row>
    <row r="20" spans="1:2" x14ac:dyDescent="0.2">
      <c r="A20" t="s">
        <v>887</v>
      </c>
      <c r="B20" s="138" t="str">
        <f>COVER!T19</f>
        <v>Columbia</v>
      </c>
    </row>
    <row r="21" spans="1:2" x14ac:dyDescent="0.2">
      <c r="A21" t="s">
        <v>479</v>
      </c>
      <c r="B21" s="138" t="str">
        <f>COVER!X19</f>
        <v>IL</v>
      </c>
    </row>
    <row r="22" spans="1:2" x14ac:dyDescent="0.2">
      <c r="A22" t="s">
        <v>888</v>
      </c>
      <c r="B22" s="138">
        <f>COVER!Z19</f>
        <v>62236</v>
      </c>
    </row>
    <row r="23" spans="1:2" x14ac:dyDescent="0.2">
      <c r="A23" t="s">
        <v>1152</v>
      </c>
      <c r="B23" s="138" t="str">
        <f>COVER!T21</f>
        <v>618-281-5195</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t="str">
        <f>COVER!U34</f>
        <v>X</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873349</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1992778</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562673</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562673</v>
      </c>
      <c r="C91" s="2" t="s">
        <v>573</v>
      </c>
      <c r="D91" s="2" t="str">
        <f t="shared" si="0"/>
        <v>Error?</v>
      </c>
    </row>
    <row r="92" spans="1:4" x14ac:dyDescent="0.2">
      <c r="A92" s="5">
        <v>31</v>
      </c>
      <c r="B92" s="138">
        <f>'Assets-Liab 5-6'!C39</f>
        <v>1430105</v>
      </c>
      <c r="D92" s="2" t="str">
        <f t="shared" si="0"/>
        <v>Error?</v>
      </c>
    </row>
    <row r="93" spans="1:4" x14ac:dyDescent="0.2">
      <c r="A93" s="5">
        <v>32</v>
      </c>
      <c r="B93" s="138">
        <f>'Assets-Liab 5-6'!C41</f>
        <v>1992778</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776587</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1302546</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83566</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83566</v>
      </c>
      <c r="C122" s="2" t="s">
        <v>573</v>
      </c>
      <c r="D122" s="2" t="str">
        <f t="shared" si="0"/>
        <v>Error?</v>
      </c>
    </row>
    <row r="123" spans="1:4" x14ac:dyDescent="0.2">
      <c r="A123" s="5">
        <v>62</v>
      </c>
      <c r="B123" s="138">
        <f>'Assets-Liab 5-6'!D39</f>
        <v>1218980</v>
      </c>
      <c r="D123" s="2" t="str">
        <f t="shared" si="0"/>
        <v>Error?</v>
      </c>
    </row>
    <row r="124" spans="1:4" x14ac:dyDescent="0.2">
      <c r="A124" s="5">
        <v>63</v>
      </c>
      <c r="B124" s="138">
        <f>'Assets-Liab 5-6'!D41</f>
        <v>1302546</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116778</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45070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45070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116778</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311948</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651420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33426</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33426</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651420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409875</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49944</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49944</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409875</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688913</v>
      </c>
      <c r="D273" s="2" t="str">
        <f t="shared" si="3"/>
        <v>Error?</v>
      </c>
    </row>
    <row r="274" spans="1:4" x14ac:dyDescent="0.2">
      <c r="A274" s="5">
        <v>213</v>
      </c>
      <c r="B274" s="138">
        <f>'Assets-Liab 5-6'!M17</f>
        <v>2981688</v>
      </c>
      <c r="D274" s="2" t="str">
        <f t="shared" si="3"/>
        <v>Error?</v>
      </c>
    </row>
    <row r="275" spans="1:4" x14ac:dyDescent="0.2">
      <c r="A275" s="5">
        <v>214</v>
      </c>
      <c r="B275" s="138">
        <f>'Assets-Liab 5-6'!M18</f>
        <v>0</v>
      </c>
      <c r="D275" s="2" t="str">
        <f t="shared" si="3"/>
        <v>Error?</v>
      </c>
    </row>
    <row r="276" spans="1:4" x14ac:dyDescent="0.2">
      <c r="A276" s="5">
        <v>215</v>
      </c>
      <c r="B276" s="138">
        <f>'Assets-Liab 5-6'!M19</f>
        <v>68735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3739336</v>
      </c>
      <c r="C279" s="2" t="s">
        <v>573</v>
      </c>
      <c r="D279" s="2" t="str">
        <f t="shared" si="3"/>
        <v>Error?</v>
      </c>
    </row>
    <row r="280" spans="1:4" x14ac:dyDescent="0.2">
      <c r="A280" s="5">
        <v>219</v>
      </c>
      <c r="B280" s="138">
        <f>'Assets-Liab 5-6'!M40</f>
        <v>3739336</v>
      </c>
      <c r="D280" s="2" t="str">
        <f t="shared" si="3"/>
        <v>Error?</v>
      </c>
    </row>
    <row r="281" spans="1:4" x14ac:dyDescent="0.2">
      <c r="A281" s="5">
        <v>220</v>
      </c>
      <c r="B281" s="138">
        <f>'Assets-Liab 5-6'!M41</f>
        <v>3739336</v>
      </c>
      <c r="C281" s="2" t="s">
        <v>573</v>
      </c>
      <c r="D281" s="2" t="str">
        <f t="shared" si="3"/>
        <v>Error?</v>
      </c>
    </row>
    <row r="282" spans="1:4" x14ac:dyDescent="0.2">
      <c r="A282" s="5">
        <v>221</v>
      </c>
      <c r="B282" s="138">
        <f>'Assets-Liab 5-6'!N21</f>
        <v>116778</v>
      </c>
      <c r="D282" s="2" t="str">
        <f t="shared" si="3"/>
        <v>Error?</v>
      </c>
    </row>
    <row r="283" spans="1:4" x14ac:dyDescent="0.2">
      <c r="A283" s="5">
        <v>222</v>
      </c>
      <c r="B283" s="138">
        <f>'Assets-Liab 5-6'!N22</f>
        <v>153222</v>
      </c>
      <c r="D283" s="2" t="str">
        <f t="shared" si="3"/>
        <v>Error?</v>
      </c>
    </row>
    <row r="284" spans="1:4" x14ac:dyDescent="0.2">
      <c r="A284" s="5">
        <v>223</v>
      </c>
      <c r="B284" s="138">
        <f>'Assets-Liab 5-6'!N23</f>
        <v>270000</v>
      </c>
      <c r="C284" s="2" t="s">
        <v>573</v>
      </c>
      <c r="D284" s="2" t="str">
        <f t="shared" si="3"/>
        <v>Error?</v>
      </c>
    </row>
    <row r="285" spans="1:4" x14ac:dyDescent="0.2">
      <c r="A285" s="5">
        <v>224</v>
      </c>
      <c r="B285" s="138">
        <f>'Assets-Liab 5-6'!N36</f>
        <v>270000</v>
      </c>
      <c r="D285" s="2" t="str">
        <f t="shared" si="3"/>
        <v>Error?</v>
      </c>
    </row>
    <row r="286" spans="1:4" x14ac:dyDescent="0.2">
      <c r="A286" s="10">
        <v>225</v>
      </c>
      <c r="D286" s="2" t="str">
        <f t="shared" si="3"/>
        <v>OK</v>
      </c>
    </row>
    <row r="287" spans="1:4" x14ac:dyDescent="0.2">
      <c r="A287" s="5">
        <v>226</v>
      </c>
      <c r="B287" s="138">
        <f>'Assets-Liab 5-6'!N37</f>
        <v>270000</v>
      </c>
      <c r="C287" s="2" t="s">
        <v>573</v>
      </c>
      <c r="D287" s="2" t="str">
        <f t="shared" si="3"/>
        <v>Error?</v>
      </c>
    </row>
    <row r="288" spans="1:4" x14ac:dyDescent="0.2">
      <c r="A288" s="5">
        <v>227</v>
      </c>
      <c r="B288" s="138">
        <f>'Assets-Liab 5-6'!N41</f>
        <v>270000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1562126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25925</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2005617</v>
      </c>
      <c r="C720" s="2" t="s">
        <v>573</v>
      </c>
      <c r="D720" s="2" t="str">
        <f t="shared" si="10"/>
        <v>Error?</v>
      </c>
    </row>
    <row r="721" spans="1:4" x14ac:dyDescent="0.2">
      <c r="A721" s="5">
        <v>660</v>
      </c>
      <c r="B721" s="138">
        <f>'Expenditures 15-22'!C36</f>
        <v>36779</v>
      </c>
      <c r="D721" s="2" t="str">
        <f t="shared" si="10"/>
        <v>Error?</v>
      </c>
    </row>
    <row r="722" spans="1:4" x14ac:dyDescent="0.2">
      <c r="A722" s="5">
        <v>661</v>
      </c>
      <c r="B722" s="138">
        <f>'Expenditures 15-22'!C37</f>
        <v>0</v>
      </c>
      <c r="D722" s="2" t="str">
        <f t="shared" si="10"/>
        <v>Error?</v>
      </c>
    </row>
    <row r="723" spans="1:4" x14ac:dyDescent="0.2">
      <c r="A723" s="5">
        <v>662</v>
      </c>
      <c r="B723" s="138">
        <f>'Expenditures 15-22'!C38</f>
        <v>7417</v>
      </c>
      <c r="D723" s="2" t="str">
        <f t="shared" si="10"/>
        <v>Error?</v>
      </c>
    </row>
    <row r="724" spans="1:4" x14ac:dyDescent="0.2">
      <c r="A724" s="5">
        <v>663</v>
      </c>
      <c r="B724" s="138">
        <f>'Expenditures 15-22'!C39</f>
        <v>0</v>
      </c>
      <c r="D724" s="2" t="str">
        <f t="shared" si="10"/>
        <v>Error?</v>
      </c>
    </row>
    <row r="725" spans="1:4" x14ac:dyDescent="0.2">
      <c r="A725" s="5">
        <v>664</v>
      </c>
      <c r="B725" s="138">
        <f>'Expenditures 15-22'!C40</f>
        <v>57385</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101581</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573</v>
      </c>
      <c r="D731" s="2" t="str">
        <f t="shared" si="10"/>
        <v>Error?</v>
      </c>
    </row>
    <row r="732" spans="1:4" x14ac:dyDescent="0.2">
      <c r="A732" s="5">
        <v>671</v>
      </c>
      <c r="B732" s="138">
        <f>'Expenditures 15-22'!C49</f>
        <v>1204</v>
      </c>
      <c r="D732" s="2" t="str">
        <f t="shared" si="10"/>
        <v>Error?</v>
      </c>
    </row>
    <row r="733" spans="1:4" x14ac:dyDescent="0.2">
      <c r="A733" s="5">
        <v>672</v>
      </c>
      <c r="B733" s="138">
        <f>'Expenditures 15-22'!C50</f>
        <v>99705</v>
      </c>
      <c r="D733" s="2" t="str">
        <f t="shared" si="10"/>
        <v>Error?</v>
      </c>
    </row>
    <row r="734" spans="1:4" x14ac:dyDescent="0.2">
      <c r="A734" s="5">
        <v>673</v>
      </c>
      <c r="B734" s="138">
        <f>'Expenditures 15-22'!C53</f>
        <v>100909</v>
      </c>
      <c r="C734" s="2" t="s">
        <v>573</v>
      </c>
      <c r="D734" s="2" t="str">
        <f t="shared" si="10"/>
        <v>Error?</v>
      </c>
    </row>
    <row r="735" spans="1:4" x14ac:dyDescent="0.2">
      <c r="A735" s="5">
        <v>674</v>
      </c>
      <c r="B735" s="138">
        <f>'Expenditures 15-22'!C55</f>
        <v>156175</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156175</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68840</v>
      </c>
      <c r="D739" s="2" t="str">
        <f t="shared" si="10"/>
        <v>Error?</v>
      </c>
    </row>
    <row r="740" spans="1:4" x14ac:dyDescent="0.2">
      <c r="A740" s="5">
        <v>679</v>
      </c>
      <c r="B740" s="138">
        <f>'Expenditures 15-22'!C61</f>
        <v>151660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23133</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243633</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57370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57370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659668</v>
      </c>
      <c r="C755" s="2" t="s">
        <v>573</v>
      </c>
      <c r="D755" s="2" t="str">
        <f t="shared" si="10"/>
        <v>Error?</v>
      </c>
    </row>
    <row r="756" spans="1:4" x14ac:dyDescent="0.2">
      <c r="A756" s="5">
        <v>695</v>
      </c>
      <c r="B756" s="138">
        <f>'Expenditures 15-22'!C75</f>
        <v>17213</v>
      </c>
      <c r="D756" s="2" t="str">
        <f t="shared" si="10"/>
        <v>Error?</v>
      </c>
    </row>
    <row r="757" spans="1:4" x14ac:dyDescent="0.2">
      <c r="A757" s="5">
        <v>696</v>
      </c>
      <c r="B757" s="138">
        <f>'Expenditures 15-22'!C114</f>
        <v>2682498</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329019</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2053</v>
      </c>
      <c r="D776" s="2" t="str">
        <f t="shared" si="11"/>
        <v>Error?</v>
      </c>
    </row>
    <row r="777" spans="1:4" x14ac:dyDescent="0.2">
      <c r="A777" s="5">
        <v>716</v>
      </c>
      <c r="B777" s="138">
        <f>'Expenditures 15-22'!D15</f>
        <v>0</v>
      </c>
      <c r="D777" s="2" t="str">
        <f t="shared" si="11"/>
        <v>Error?</v>
      </c>
    </row>
    <row r="778" spans="1:4" x14ac:dyDescent="0.2">
      <c r="A778" s="5">
        <v>717</v>
      </c>
      <c r="B778" s="138">
        <f>'Expenditures 15-22'!D33</f>
        <v>398758</v>
      </c>
      <c r="C778" s="2" t="s">
        <v>573</v>
      </c>
      <c r="D778" s="2" t="str">
        <f t="shared" si="11"/>
        <v>Error?</v>
      </c>
    </row>
    <row r="779" spans="1:4" x14ac:dyDescent="0.2">
      <c r="A779" s="5">
        <v>718</v>
      </c>
      <c r="B779" s="138">
        <f>'Expenditures 15-22'!D36</f>
        <v>9678</v>
      </c>
      <c r="D779" s="2" t="str">
        <f t="shared" si="11"/>
        <v>Error?</v>
      </c>
    </row>
    <row r="780" spans="1:4" x14ac:dyDescent="0.2">
      <c r="A780" s="5">
        <v>719</v>
      </c>
      <c r="B780" s="138">
        <f>'Expenditures 15-22'!D37</f>
        <v>0</v>
      </c>
      <c r="D780" s="2" t="str">
        <f t="shared" si="11"/>
        <v>Error?</v>
      </c>
    </row>
    <row r="781" spans="1:4" x14ac:dyDescent="0.2">
      <c r="A781" s="5">
        <v>720</v>
      </c>
      <c r="B781" s="138">
        <f>'Expenditures 15-22'!D38</f>
        <v>4</v>
      </c>
      <c r="D781" s="2" t="str">
        <f t="shared" si="11"/>
        <v>Error?</v>
      </c>
    </row>
    <row r="782" spans="1:4" x14ac:dyDescent="0.2">
      <c r="A782" s="5">
        <v>721</v>
      </c>
      <c r="B782" s="138">
        <f>'Expenditures 15-22'!D39</f>
        <v>0</v>
      </c>
      <c r="D782" s="2" t="str">
        <f t="shared" si="11"/>
        <v>Error?</v>
      </c>
    </row>
    <row r="783" spans="1:4" x14ac:dyDescent="0.2">
      <c r="A783" s="5">
        <v>722</v>
      </c>
      <c r="B783" s="138">
        <f>'Expenditures 15-22'!D40</f>
        <v>14333</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24015</v>
      </c>
      <c r="C785" s="2" t="s">
        <v>573</v>
      </c>
      <c r="D785" s="2" t="str">
        <f t="shared" si="11"/>
        <v>Error?</v>
      </c>
    </row>
    <row r="786" spans="1:4" x14ac:dyDescent="0.2">
      <c r="A786" s="5">
        <v>725</v>
      </c>
      <c r="B786" s="138">
        <f>'Expenditures 15-22'!D44</f>
        <v>3920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3920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12880</v>
      </c>
      <c r="D791" s="2" t="str">
        <f t="shared" si="11"/>
        <v>Error?</v>
      </c>
    </row>
    <row r="792" spans="1:4" x14ac:dyDescent="0.2">
      <c r="A792" s="5">
        <v>731</v>
      </c>
      <c r="B792" s="138">
        <f>'Expenditures 15-22'!D53</f>
        <v>12880</v>
      </c>
      <c r="C792" s="2" t="s">
        <v>573</v>
      </c>
      <c r="D792" s="2" t="str">
        <f t="shared" si="11"/>
        <v>Error?</v>
      </c>
    </row>
    <row r="793" spans="1:4" x14ac:dyDescent="0.2">
      <c r="A793" s="5">
        <v>732</v>
      </c>
      <c r="B793" s="138">
        <f>'Expenditures 15-22'!D55</f>
        <v>18034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18034</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17019</v>
      </c>
      <c r="D797" s="2" t="str">
        <f t="shared" si="11"/>
        <v>Error?</v>
      </c>
    </row>
    <row r="798" spans="1:4" x14ac:dyDescent="0.2">
      <c r="A798" s="5">
        <v>737</v>
      </c>
      <c r="B798" s="138">
        <f>'Expenditures 15-22'!D61</f>
        <v>23841</v>
      </c>
      <c r="D798" s="2" t="str">
        <f t="shared" si="11"/>
        <v>Error?</v>
      </c>
    </row>
    <row r="799" spans="1:4" x14ac:dyDescent="0.2">
      <c r="A799" s="5">
        <v>738</v>
      </c>
      <c r="B799" s="138">
        <f>'Expenditures 15-22'!D62</f>
        <v>0</v>
      </c>
      <c r="D799" s="2" t="str">
        <f t="shared" si="11"/>
        <v>Error?</v>
      </c>
    </row>
    <row r="800" spans="1:4" x14ac:dyDescent="0.2">
      <c r="A800" s="5">
        <v>739</v>
      </c>
      <c r="B800" s="138">
        <f>'Expenditures 15-22'!D63</f>
        <v>4</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40864</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3473</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3473</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103186</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501944</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6387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6762</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12392</v>
      </c>
      <c r="D839" s="2" t="str">
        <f t="shared" si="12"/>
        <v>Error?</v>
      </c>
    </row>
    <row r="840" spans="1:4" x14ac:dyDescent="0.2">
      <c r="A840" s="5">
        <v>779</v>
      </c>
      <c r="B840" s="138">
        <f>'Expenditures 15-22'!E39</f>
        <v>40092</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52484</v>
      </c>
      <c r="C843" s="2" t="s">
        <v>573</v>
      </c>
      <c r="D843" s="2" t="str">
        <f t="shared" si="12"/>
        <v>Error?</v>
      </c>
    </row>
    <row r="844" spans="1:4" x14ac:dyDescent="0.2">
      <c r="A844" s="5">
        <v>783</v>
      </c>
      <c r="B844" s="138">
        <f>'Expenditures 15-22'!E44</f>
        <v>17957</v>
      </c>
      <c r="D844" s="2" t="str">
        <f t="shared" si="12"/>
        <v>Error?</v>
      </c>
    </row>
    <row r="845" spans="1:4" x14ac:dyDescent="0.2">
      <c r="A845" s="5">
        <v>784</v>
      </c>
      <c r="B845" s="138">
        <f>'Expenditures 15-22'!E45</f>
        <v>1176</v>
      </c>
      <c r="D845" s="2" t="str">
        <f t="shared" si="12"/>
        <v>Error?</v>
      </c>
    </row>
    <row r="846" spans="1:4" x14ac:dyDescent="0.2">
      <c r="A846" s="5">
        <v>785</v>
      </c>
      <c r="B846" s="138">
        <f>'Expenditures 15-22'!E46</f>
        <v>12981</v>
      </c>
      <c r="D846" s="2" t="str">
        <f t="shared" si="12"/>
        <v>Error?</v>
      </c>
    </row>
    <row r="847" spans="1:4" x14ac:dyDescent="0.2">
      <c r="A847" s="5">
        <v>786</v>
      </c>
      <c r="B847" s="138">
        <f>'Expenditures 15-22'!E47</f>
        <v>32114</v>
      </c>
      <c r="C847" s="2" t="s">
        <v>573</v>
      </c>
      <c r="D847" s="2" t="str">
        <f t="shared" si="12"/>
        <v>Error?</v>
      </c>
    </row>
    <row r="848" spans="1:4" x14ac:dyDescent="0.2">
      <c r="A848" s="5">
        <v>787</v>
      </c>
      <c r="B848" s="138">
        <f>'Expenditures 15-22'!E49</f>
        <v>17595</v>
      </c>
      <c r="D848" s="2" t="str">
        <f t="shared" si="12"/>
        <v>Error?</v>
      </c>
    </row>
    <row r="849" spans="1:4" x14ac:dyDescent="0.2">
      <c r="A849" s="5">
        <v>788</v>
      </c>
      <c r="B849" s="138">
        <f>'Expenditures 15-22'!E50</f>
        <v>2612</v>
      </c>
      <c r="D849" s="2" t="str">
        <f t="shared" si="12"/>
        <v>Error?</v>
      </c>
    </row>
    <row r="850" spans="1:4" x14ac:dyDescent="0.2">
      <c r="A850" s="5">
        <v>789</v>
      </c>
      <c r="B850" s="138">
        <f>'Expenditures 15-22'!E53</f>
        <v>20207</v>
      </c>
      <c r="C850" s="2" t="s">
        <v>573</v>
      </c>
      <c r="D850" s="2" t="str">
        <f t="shared" si="12"/>
        <v>Error?</v>
      </c>
    </row>
    <row r="851" spans="1:4" x14ac:dyDescent="0.2">
      <c r="A851" s="5">
        <v>790</v>
      </c>
      <c r="B851" s="138">
        <f>'Expenditures 15-22'!E55</f>
        <v>3659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3659</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160</v>
      </c>
      <c r="D855" s="2" t="str">
        <f t="shared" si="12"/>
        <v>Error?</v>
      </c>
    </row>
    <row r="856" spans="1:4" x14ac:dyDescent="0.2">
      <c r="A856" s="5">
        <v>795</v>
      </c>
      <c r="B856" s="138">
        <f>'Expenditures 15-22'!E61</f>
        <v>600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657</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1417</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16100</v>
      </c>
      <c r="D863" s="2" t="str">
        <f t="shared" si="12"/>
        <v>Error?</v>
      </c>
    </row>
    <row r="864" spans="1:4" x14ac:dyDescent="0.2">
      <c r="A864" s="5">
        <v>803</v>
      </c>
      <c r="B864" s="138">
        <f>'Expenditures 15-22'!E69</f>
        <v>24809</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40909</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150790</v>
      </c>
      <c r="C871" s="2" t="s">
        <v>573</v>
      </c>
      <c r="D871" s="2" t="str">
        <f t="shared" si="12"/>
        <v>Error?</v>
      </c>
    </row>
    <row r="872" spans="1:4" x14ac:dyDescent="0.2">
      <c r="A872" s="5">
        <v>811</v>
      </c>
      <c r="B872" s="138">
        <f>'Expenditures 15-22'!E75</f>
        <v>1710</v>
      </c>
      <c r="D872" s="2" t="str">
        <f t="shared" si="12"/>
        <v>Error?</v>
      </c>
    </row>
    <row r="873" spans="1:4" x14ac:dyDescent="0.2">
      <c r="A873" s="5">
        <v>812</v>
      </c>
      <c r="B873" s="138">
        <f>'Expenditures 15-22'!E114</f>
        <v>169612</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17746</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451</v>
      </c>
      <c r="D892" s="2" t="str">
        <f t="shared" si="12"/>
        <v>Error?</v>
      </c>
    </row>
    <row r="893" spans="1:4" x14ac:dyDescent="0.2">
      <c r="A893" s="5">
        <v>832</v>
      </c>
      <c r="B893" s="138">
        <f>'Expenditures 15-22'!F15</f>
        <v>0</v>
      </c>
      <c r="D893" s="2" t="str">
        <f t="shared" si="12"/>
        <v>Error?</v>
      </c>
    </row>
    <row r="894" spans="1:4" x14ac:dyDescent="0.2">
      <c r="A894" s="5">
        <v>833</v>
      </c>
      <c r="B894" s="138">
        <f>'Expenditures 15-22'!F33</f>
        <v>39912</v>
      </c>
      <c r="C894" s="2" t="s">
        <v>573</v>
      </c>
      <c r="D894" s="2" t="str">
        <f t="shared" si="12"/>
        <v>Error?</v>
      </c>
    </row>
    <row r="895" spans="1:4" x14ac:dyDescent="0.2">
      <c r="A895" s="5">
        <v>834</v>
      </c>
      <c r="B895" s="138">
        <f>'Expenditures 15-22'!F36</f>
        <v>280</v>
      </c>
      <c r="D895" s="2" t="str">
        <f t="shared" ref="D895:D958" si="13">IF(ISBLANK(B895),"OK",IF(A895-B895=0,"OK","Error?"))</f>
        <v>Error?</v>
      </c>
    </row>
    <row r="896" spans="1:4" x14ac:dyDescent="0.2">
      <c r="A896" s="5">
        <v>835</v>
      </c>
      <c r="B896" s="138">
        <f>'Expenditures 15-22'!F37</f>
        <v>513</v>
      </c>
      <c r="D896" s="2" t="str">
        <f t="shared" si="13"/>
        <v>Error?</v>
      </c>
    </row>
    <row r="897" spans="1:4" x14ac:dyDescent="0.2">
      <c r="A897" s="5">
        <v>836</v>
      </c>
      <c r="B897" s="138">
        <f>'Expenditures 15-22'!F38</f>
        <v>1076</v>
      </c>
      <c r="D897" s="2" t="str">
        <f t="shared" si="13"/>
        <v>Error?</v>
      </c>
    </row>
    <row r="898" spans="1:4" x14ac:dyDescent="0.2">
      <c r="A898" s="5">
        <v>837</v>
      </c>
      <c r="B898" s="138">
        <f>'Expenditures 15-22'!F39</f>
        <v>0</v>
      </c>
      <c r="D898" s="2" t="str">
        <f t="shared" si="13"/>
        <v>Error?</v>
      </c>
    </row>
    <row r="899" spans="1:4" x14ac:dyDescent="0.2">
      <c r="A899" s="5">
        <v>838</v>
      </c>
      <c r="B899" s="138">
        <f>'Expenditures 15-22'!F40</f>
        <v>364</v>
      </c>
      <c r="D899" s="2" t="str">
        <f t="shared" si="13"/>
        <v>Error?</v>
      </c>
    </row>
    <row r="900" spans="1:4" x14ac:dyDescent="0.2">
      <c r="A900" s="5">
        <v>839</v>
      </c>
      <c r="B900" s="138">
        <f>'Expenditures 15-22'!F41</f>
        <v>933</v>
      </c>
      <c r="D900" s="2" t="str">
        <f t="shared" si="13"/>
        <v>Error?</v>
      </c>
    </row>
    <row r="901" spans="1:4" x14ac:dyDescent="0.2">
      <c r="A901" s="5">
        <v>840</v>
      </c>
      <c r="B901" s="138">
        <f>'Expenditures 15-22'!F42</f>
        <v>3166</v>
      </c>
      <c r="C901" s="2" t="s">
        <v>573</v>
      </c>
      <c r="D901" s="2" t="str">
        <f t="shared" si="13"/>
        <v>Error?</v>
      </c>
    </row>
    <row r="902" spans="1:4" x14ac:dyDescent="0.2">
      <c r="A902" s="5">
        <v>841</v>
      </c>
      <c r="B902" s="138">
        <f>'Expenditures 15-22'!F44</f>
        <v>697</v>
      </c>
      <c r="D902" s="2" t="str">
        <f t="shared" si="13"/>
        <v>Error?</v>
      </c>
    </row>
    <row r="903" spans="1:4" x14ac:dyDescent="0.2">
      <c r="A903" s="5">
        <v>842</v>
      </c>
      <c r="B903" s="138">
        <f>'Expenditures 15-22'!F45</f>
        <v>1456</v>
      </c>
      <c r="D903" s="2" t="str">
        <f t="shared" si="13"/>
        <v>Error?</v>
      </c>
    </row>
    <row r="904" spans="1:4" x14ac:dyDescent="0.2">
      <c r="A904" s="5">
        <v>843</v>
      </c>
      <c r="B904" s="138">
        <f>'Expenditures 15-22'!F46</f>
        <v>0</v>
      </c>
      <c r="D904" s="2" t="str">
        <f t="shared" si="13"/>
        <v>Error?</v>
      </c>
    </row>
    <row r="905" spans="1:4" x14ac:dyDescent="0.2">
      <c r="A905" s="5">
        <v>844</v>
      </c>
      <c r="B905" s="138">
        <f>'Expenditures 15-22'!F47</f>
        <v>2153</v>
      </c>
      <c r="C905" s="2" t="s">
        <v>573</v>
      </c>
      <c r="D905" s="2" t="str">
        <f t="shared" si="13"/>
        <v>Error?</v>
      </c>
    </row>
    <row r="906" spans="1:4" x14ac:dyDescent="0.2">
      <c r="A906" s="5">
        <v>845</v>
      </c>
      <c r="B906" s="138">
        <f>'Expenditures 15-22'!F49</f>
        <v>3675</v>
      </c>
      <c r="D906" s="2" t="str">
        <f t="shared" si="13"/>
        <v>Error?</v>
      </c>
    </row>
    <row r="907" spans="1:4" x14ac:dyDescent="0.2">
      <c r="A907" s="5">
        <v>846</v>
      </c>
      <c r="B907" s="138">
        <f>'Expenditures 15-22'!F50</f>
        <v>1588</v>
      </c>
      <c r="D907" s="2" t="str">
        <f t="shared" si="13"/>
        <v>Error?</v>
      </c>
    </row>
    <row r="908" spans="1:4" x14ac:dyDescent="0.2">
      <c r="A908" s="5">
        <v>847</v>
      </c>
      <c r="B908" s="138">
        <f>'Expenditures 15-22'!F53</f>
        <v>5263</v>
      </c>
      <c r="C908" s="2" t="s">
        <v>573</v>
      </c>
      <c r="D908" s="2" t="str">
        <f t="shared" si="13"/>
        <v>Error?</v>
      </c>
    </row>
    <row r="909" spans="1:4" x14ac:dyDescent="0.2">
      <c r="A909" s="5">
        <v>848</v>
      </c>
      <c r="B909" s="138">
        <f>'Expenditures 15-22'!F55</f>
        <v>10367</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10367</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7006</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213</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7219</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28168</v>
      </c>
      <c r="C929" s="2" t="s">
        <v>573</v>
      </c>
      <c r="D929" s="2" t="str">
        <f t="shared" si="13"/>
        <v>Error?</v>
      </c>
    </row>
    <row r="930" spans="1:4" x14ac:dyDescent="0.2">
      <c r="A930" s="5">
        <v>869</v>
      </c>
      <c r="B930" s="138">
        <f>'Expenditures 15-22'!F75</f>
        <v>4948</v>
      </c>
      <c r="D930" s="2" t="str">
        <f t="shared" si="13"/>
        <v>Error?</v>
      </c>
    </row>
    <row r="931" spans="1:4" x14ac:dyDescent="0.2">
      <c r="A931" s="5">
        <v>870</v>
      </c>
      <c r="B931" s="138">
        <f>'Expenditures 15-22'!F114</f>
        <v>73028</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2434</v>
      </c>
      <c r="D1022" s="2" t="str">
        <f t="shared" si="14"/>
        <v>Error?</v>
      </c>
    </row>
    <row r="1023" spans="1:4" x14ac:dyDescent="0.2">
      <c r="A1023" s="5">
        <v>962</v>
      </c>
      <c r="B1023" s="138">
        <f>'Expenditures 15-22'!H50</f>
        <v>1644</v>
      </c>
      <c r="D1023" s="2" t="str">
        <f t="shared" ref="D1023:D1086" si="15">IF(ISBLANK(B1023),"OK",IF(A1023-B1023=0,"OK","Error?"))</f>
        <v>Error?</v>
      </c>
    </row>
    <row r="1024" spans="1:4" x14ac:dyDescent="0.2">
      <c r="A1024" s="5">
        <v>963</v>
      </c>
      <c r="B1024" s="138">
        <f>'Expenditures 15-22'!H53</f>
        <v>4078</v>
      </c>
      <c r="C1024" s="2" t="s">
        <v>573</v>
      </c>
      <c r="D1024" s="2" t="str">
        <f t="shared" si="15"/>
        <v>Error?</v>
      </c>
    </row>
    <row r="1025" spans="1:4" x14ac:dyDescent="0.2">
      <c r="A1025" s="5">
        <v>964</v>
      </c>
      <c r="B1025" s="138">
        <f>'Expenditures 15-22'!H55</f>
        <v>390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390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750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750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5218</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140463</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145681</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1915278</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28429</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2451049</v>
      </c>
      <c r="C1108" s="2" t="s">
        <v>573</v>
      </c>
      <c r="D1108" s="2" t="str">
        <f t="shared" si="16"/>
        <v>Error?</v>
      </c>
    </row>
    <row r="1109" spans="1:4" x14ac:dyDescent="0.2">
      <c r="A1109" s="5">
        <v>1048</v>
      </c>
      <c r="B1109" s="138">
        <f>'Expenditures 15-22'!K36</f>
        <v>46737</v>
      </c>
      <c r="C1109" s="2" t="s">
        <v>573</v>
      </c>
      <c r="D1109" s="2" t="str">
        <f t="shared" si="16"/>
        <v>Error?</v>
      </c>
    </row>
    <row r="1110" spans="1:4" x14ac:dyDescent="0.2">
      <c r="A1110" s="5">
        <v>1049</v>
      </c>
      <c r="B1110" s="138">
        <f>'Expenditures 15-22'!K37</f>
        <v>513</v>
      </c>
      <c r="C1110" s="2" t="s">
        <v>573</v>
      </c>
      <c r="D1110" s="2" t="str">
        <f t="shared" si="16"/>
        <v>Error?</v>
      </c>
    </row>
    <row r="1111" spans="1:4" x14ac:dyDescent="0.2">
      <c r="A1111" s="5">
        <v>1050</v>
      </c>
      <c r="B1111" s="138">
        <f>'Expenditures 15-22'!K38</f>
        <v>20889</v>
      </c>
      <c r="C1111" s="2" t="s">
        <v>573</v>
      </c>
      <c r="D1111" s="2" t="str">
        <f t="shared" si="16"/>
        <v>Error?</v>
      </c>
    </row>
    <row r="1112" spans="1:4" x14ac:dyDescent="0.2">
      <c r="A1112" s="5">
        <v>1051</v>
      </c>
      <c r="B1112" s="138">
        <f>'Expenditures 15-22'!K39</f>
        <v>40092</v>
      </c>
      <c r="C1112" s="2" t="s">
        <v>573</v>
      </c>
      <c r="D1112" s="2" t="str">
        <f t="shared" si="16"/>
        <v>Error?</v>
      </c>
    </row>
    <row r="1113" spans="1:4" x14ac:dyDescent="0.2">
      <c r="A1113" s="5">
        <v>1052</v>
      </c>
      <c r="B1113" s="138">
        <f>'Expenditures 15-22'!K40</f>
        <v>72082</v>
      </c>
      <c r="C1113" s="2" t="s">
        <v>573</v>
      </c>
      <c r="D1113" s="2" t="str">
        <f t="shared" si="16"/>
        <v>Error?</v>
      </c>
    </row>
    <row r="1114" spans="1:4" x14ac:dyDescent="0.2">
      <c r="A1114" s="5">
        <v>1053</v>
      </c>
      <c r="B1114" s="138">
        <f>'Expenditures 15-22'!K41</f>
        <v>933</v>
      </c>
      <c r="C1114" s="2" t="s">
        <v>573</v>
      </c>
      <c r="D1114" s="2" t="str">
        <f t="shared" si="16"/>
        <v>Error?</v>
      </c>
    </row>
    <row r="1115" spans="1:4" x14ac:dyDescent="0.2">
      <c r="A1115" s="5">
        <v>1054</v>
      </c>
      <c r="B1115" s="138">
        <f>'Expenditures 15-22'!K42</f>
        <v>181246</v>
      </c>
      <c r="C1115" s="2" t="s">
        <v>573</v>
      </c>
      <c r="D1115" s="2" t="str">
        <f t="shared" si="16"/>
        <v>Error?</v>
      </c>
    </row>
    <row r="1116" spans="1:4" x14ac:dyDescent="0.2">
      <c r="A1116" s="5">
        <v>1055</v>
      </c>
      <c r="B1116" s="138">
        <f>'Expenditures 15-22'!K44</f>
        <v>22574</v>
      </c>
      <c r="C1116" s="2" t="s">
        <v>573</v>
      </c>
      <c r="D1116" s="2" t="str">
        <f t="shared" si="16"/>
        <v>Error?</v>
      </c>
    </row>
    <row r="1117" spans="1:4" x14ac:dyDescent="0.2">
      <c r="A1117" s="5">
        <v>1056</v>
      </c>
      <c r="B1117" s="138">
        <f>'Expenditures 15-22'!K45</f>
        <v>2632</v>
      </c>
      <c r="C1117" s="2" t="s">
        <v>573</v>
      </c>
      <c r="D1117" s="2" t="str">
        <f t="shared" si="16"/>
        <v>Error?</v>
      </c>
    </row>
    <row r="1118" spans="1:4" x14ac:dyDescent="0.2">
      <c r="A1118" s="5">
        <v>1057</v>
      </c>
      <c r="B1118" s="138">
        <f>'Expenditures 15-22'!K46</f>
        <v>12981</v>
      </c>
      <c r="C1118" s="2" t="s">
        <v>573</v>
      </c>
      <c r="D1118" s="2" t="str">
        <f t="shared" si="16"/>
        <v>Error?</v>
      </c>
    </row>
    <row r="1119" spans="1:4" x14ac:dyDescent="0.2">
      <c r="A1119" s="5">
        <v>1058</v>
      </c>
      <c r="B1119" s="138">
        <f>'Expenditures 15-22'!K47</f>
        <v>38187</v>
      </c>
      <c r="C1119" s="2" t="s">
        <v>573</v>
      </c>
      <c r="D1119" s="2" t="str">
        <f t="shared" si="16"/>
        <v>Error?</v>
      </c>
    </row>
    <row r="1120" spans="1:4" x14ac:dyDescent="0.2">
      <c r="A1120" s="5">
        <v>1059</v>
      </c>
      <c r="B1120" s="138">
        <f>'Expenditures 15-22'!K49</f>
        <v>24908</v>
      </c>
      <c r="C1120" s="2" t="s">
        <v>573</v>
      </c>
      <c r="D1120" s="2" t="str">
        <f t="shared" si="16"/>
        <v>Error?</v>
      </c>
    </row>
    <row r="1121" spans="1:4" x14ac:dyDescent="0.2">
      <c r="A1121" s="5">
        <v>1060</v>
      </c>
      <c r="B1121" s="138">
        <f>'Expenditures 15-22'!K50</f>
        <v>118429</v>
      </c>
      <c r="C1121" s="2" t="s">
        <v>573</v>
      </c>
      <c r="D1121" s="2" t="str">
        <f t="shared" si="16"/>
        <v>Error?</v>
      </c>
    </row>
    <row r="1122" spans="1:4" x14ac:dyDescent="0.2">
      <c r="A1122" s="5">
        <v>1061</v>
      </c>
      <c r="B1122" s="138">
        <f>'Expenditures 15-22'!K53</f>
        <v>143337</v>
      </c>
      <c r="C1122" s="2" t="s">
        <v>573</v>
      </c>
      <c r="D1122" s="2" t="str">
        <f t="shared" si="16"/>
        <v>Error?</v>
      </c>
    </row>
    <row r="1123" spans="1:4" x14ac:dyDescent="0.2">
      <c r="A1123" s="5">
        <v>1062</v>
      </c>
      <c r="B1123" s="138">
        <f>'Expenditures 15-22'!K55</f>
        <v>188625</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188625</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93775</v>
      </c>
      <c r="C1127" s="2" t="s">
        <v>573</v>
      </c>
      <c r="D1127" s="2" t="str">
        <f t="shared" si="16"/>
        <v>Error?</v>
      </c>
    </row>
    <row r="1128" spans="1:4" x14ac:dyDescent="0.2">
      <c r="A1128" s="5">
        <v>1067</v>
      </c>
      <c r="B1128" s="138">
        <f>'Expenditures 15-22'!K61</f>
        <v>176101</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24007</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293883</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16100</v>
      </c>
      <c r="C1135" s="2" t="s">
        <v>573</v>
      </c>
      <c r="D1135" s="2" t="str">
        <f t="shared" si="16"/>
        <v>Error?</v>
      </c>
    </row>
    <row r="1136" spans="1:4" x14ac:dyDescent="0.2">
      <c r="A1136" s="5">
        <v>1075</v>
      </c>
      <c r="B1136" s="138">
        <f>'Expenditures 15-22'!K69</f>
        <v>85652</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101752</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947030</v>
      </c>
      <c r="C1143" s="2" t="s">
        <v>573</v>
      </c>
      <c r="D1143" s="2" t="str">
        <f t="shared" si="16"/>
        <v>Error?</v>
      </c>
    </row>
    <row r="1144" spans="1:4" x14ac:dyDescent="0.2">
      <c r="A1144" s="5">
        <v>1083</v>
      </c>
      <c r="B1144" s="138">
        <f>'Expenditures 15-22'!K75</f>
        <v>23871</v>
      </c>
      <c r="C1144" s="2" t="s">
        <v>573</v>
      </c>
      <c r="D1144" s="2" t="str">
        <f t="shared" si="16"/>
        <v>Error?</v>
      </c>
    </row>
    <row r="1145" spans="1:4" x14ac:dyDescent="0.2">
      <c r="A1145" s="5">
        <v>1084</v>
      </c>
      <c r="B1145" s="138">
        <f>'Expenditures 15-22'!K102</f>
        <v>150813</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3572763</v>
      </c>
      <c r="C1152" s="2" t="s">
        <v>573</v>
      </c>
      <c r="D1152" s="2" t="str">
        <f t="shared" si="17"/>
        <v>Error?</v>
      </c>
    </row>
    <row r="1153" spans="1:4" x14ac:dyDescent="0.2">
      <c r="A1153" s="5">
        <v>1092</v>
      </c>
      <c r="B1153" s="138">
        <f>'Expenditures 15-22'!K115</f>
        <v>-51328</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573</v>
      </c>
      <c r="D1225" s="2" t="str">
        <f t="shared" si="18"/>
        <v>Error?</v>
      </c>
    </row>
    <row r="1226" spans="1:4" x14ac:dyDescent="0.2">
      <c r="A1226" s="5">
        <v>1165</v>
      </c>
      <c r="B1226" s="138">
        <f>'Expenditures 15-22'!C151</f>
        <v>0</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84918</v>
      </c>
      <c r="D1237" s="2" t="str">
        <f t="shared" si="18"/>
        <v>Error?</v>
      </c>
    </row>
    <row r="1238" spans="1:4" x14ac:dyDescent="0.2">
      <c r="A1238" s="10">
        <v>1177</v>
      </c>
      <c r="D1238" s="2" t="str">
        <f t="shared" si="18"/>
        <v>OK</v>
      </c>
    </row>
    <row r="1239" spans="1:4" x14ac:dyDescent="0.2">
      <c r="A1239" s="5">
        <v>1178</v>
      </c>
      <c r="B1239" s="138">
        <f>'Expenditures 15-22'!E127</f>
        <v>84918</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84918</v>
      </c>
      <c r="C1241" s="2" t="s">
        <v>573</v>
      </c>
      <c r="D1241" s="2" t="str">
        <f t="shared" si="18"/>
        <v>Error?</v>
      </c>
    </row>
    <row r="1242" spans="1:4" x14ac:dyDescent="0.2">
      <c r="A1242" s="5">
        <v>1181</v>
      </c>
      <c r="B1242" s="138">
        <f>'Expenditures 15-22'!E151</f>
        <v>84918</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116941</v>
      </c>
      <c r="D1245" s="2" t="str">
        <f t="shared" si="18"/>
        <v>Error?</v>
      </c>
    </row>
    <row r="1246" spans="1:4" x14ac:dyDescent="0.2">
      <c r="A1246" s="10">
        <v>1185</v>
      </c>
      <c r="D1246" s="2" t="str">
        <f t="shared" si="18"/>
        <v>OK</v>
      </c>
    </row>
    <row r="1247" spans="1:4" x14ac:dyDescent="0.2">
      <c r="A1247" s="5">
        <v>1186</v>
      </c>
      <c r="B1247" s="138">
        <f>'Expenditures 15-22'!F127</f>
        <v>116941</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116941</v>
      </c>
      <c r="C1249" s="2" t="s">
        <v>573</v>
      </c>
      <c r="D1249" s="2" t="str">
        <f t="shared" si="18"/>
        <v>Error?</v>
      </c>
    </row>
    <row r="1250" spans="1:4" x14ac:dyDescent="0.2">
      <c r="A1250" s="5">
        <v>1189</v>
      </c>
      <c r="B1250" s="138">
        <f>'Expenditures 15-22'!F151</f>
        <v>116941</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123192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123192</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123192</v>
      </c>
      <c r="C1258" s="2" t="s">
        <v>573</v>
      </c>
      <c r="D1258" s="2" t="str">
        <f t="shared" si="18"/>
        <v>Error?</v>
      </c>
    </row>
    <row r="1259" spans="1:4" x14ac:dyDescent="0.2">
      <c r="A1259" s="5">
        <v>1198</v>
      </c>
      <c r="B1259" s="138">
        <f>'Expenditures 15-22'!G151</f>
        <v>123192</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325051</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325051</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325051</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325051</v>
      </c>
      <c r="C1288" s="2" t="s">
        <v>573</v>
      </c>
      <c r="D1288" s="2" t="str">
        <f t="shared" si="19"/>
        <v>Error?</v>
      </c>
    </row>
    <row r="1289" spans="1:4" x14ac:dyDescent="0.2">
      <c r="A1289" s="5">
        <v>1228</v>
      </c>
      <c r="B1289" s="138">
        <f>'Expenditures 15-22'!K152</f>
        <v>11063</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13283</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150000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163283</v>
      </c>
      <c r="C1317" s="2" t="s">
        <v>573</v>
      </c>
      <c r="D1317" s="2" t="str">
        <f t="shared" si="19"/>
        <v>Error?</v>
      </c>
    </row>
    <row r="1318" spans="1:4" x14ac:dyDescent="0.2">
      <c r="A1318" s="5">
        <v>1257</v>
      </c>
      <c r="B1318" s="138">
        <f>'Expenditures 15-22'!H174</f>
        <v>163283</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13283</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150000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163283</v>
      </c>
      <c r="C1331" s="2" t="s">
        <v>573</v>
      </c>
      <c r="D1331" s="2" t="str">
        <f t="shared" si="19"/>
        <v>Error?</v>
      </c>
    </row>
    <row r="1332" spans="1:4" x14ac:dyDescent="0.2">
      <c r="A1332" s="5">
        <v>1271</v>
      </c>
      <c r="B1332" s="138">
        <f>'Expenditures 15-22'!K174</f>
        <v>163283</v>
      </c>
      <c r="C1332" s="2" t="s">
        <v>573</v>
      </c>
      <c r="D1332" s="2" t="str">
        <f t="shared" si="19"/>
        <v>Error?</v>
      </c>
    </row>
    <row r="1333" spans="1:4" x14ac:dyDescent="0.2">
      <c r="A1333" s="5">
        <v>1272</v>
      </c>
      <c r="B1333" s="138">
        <f>'Expenditures 15-22'!K175</f>
        <v>-259</v>
      </c>
      <c r="C1333" s="2" t="s">
        <v>573</v>
      </c>
      <c r="D1333" s="2" t="str">
        <f t="shared" si="19"/>
        <v>Error?</v>
      </c>
    </row>
    <row r="1334" spans="1:4" x14ac:dyDescent="0.2">
      <c r="A1334" s="10">
        <v>1273</v>
      </c>
      <c r="D1334" s="2" t="str">
        <f t="shared" si="19"/>
        <v>OK</v>
      </c>
    </row>
    <row r="1335" spans="1:4" x14ac:dyDescent="0.2">
      <c r="A1335" s="5">
        <v>1274</v>
      </c>
      <c r="B1335" s="138">
        <f>'Expenditures 15-22'!C182</f>
        <v>60130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60130</v>
      </c>
      <c r="C1339" s="2" t="s">
        <v>573</v>
      </c>
      <c r="D1339" s="2" t="str">
        <f t="shared" si="19"/>
        <v>Error?</v>
      </c>
    </row>
    <row r="1340" spans="1:4" x14ac:dyDescent="0.2">
      <c r="A1340" s="5">
        <v>1279</v>
      </c>
      <c r="B1340" s="138">
        <f>'Expenditures 15-22'!C210</f>
        <v>60130</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54327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54327</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54327</v>
      </c>
      <c r="C1353" s="2" t="s">
        <v>573</v>
      </c>
      <c r="D1353" s="2" t="str">
        <f t="shared" si="20"/>
        <v>Error?</v>
      </c>
    </row>
    <row r="1354" spans="1:4" x14ac:dyDescent="0.2">
      <c r="A1354" s="5">
        <v>1293</v>
      </c>
      <c r="B1354" s="138">
        <f>'Expenditures 15-22'!F182</f>
        <v>18285</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18285</v>
      </c>
      <c r="C1358" s="2" t="s">
        <v>573</v>
      </c>
      <c r="D1358" s="2" t="str">
        <f t="shared" si="20"/>
        <v>Error?</v>
      </c>
    </row>
    <row r="1359" spans="1:4" x14ac:dyDescent="0.2">
      <c r="A1359" s="5">
        <v>1298</v>
      </c>
      <c r="B1359" s="138">
        <f>'Expenditures 15-22'!F210</f>
        <v>18285</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132742</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132742</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132742</v>
      </c>
      <c r="C1388" s="2" t="s">
        <v>573</v>
      </c>
      <c r="D1388" s="2" t="str">
        <f t="shared" si="20"/>
        <v>Error?</v>
      </c>
    </row>
    <row r="1389" spans="1:4" x14ac:dyDescent="0.2">
      <c r="A1389" s="5">
        <v>1328</v>
      </c>
      <c r="B1389" s="138">
        <f>'Expenditures 15-22'!K211</f>
        <v>47461</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1740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46776</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516</v>
      </c>
      <c r="D1412" s="2" t="str">
        <f t="shared" si="21"/>
        <v>Error?</v>
      </c>
    </row>
    <row r="1413" spans="1:4" x14ac:dyDescent="0.2">
      <c r="A1413" s="5">
        <v>1352</v>
      </c>
      <c r="B1413" s="138">
        <f>'Expenditures 15-22'!D234</f>
        <v>1323</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1839</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9575</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9575</v>
      </c>
      <c r="C1421" s="2" t="s">
        <v>573</v>
      </c>
      <c r="D1421" s="2" t="str">
        <f t="shared" si="21"/>
        <v>Error?</v>
      </c>
    </row>
    <row r="1422" spans="1:4" x14ac:dyDescent="0.2">
      <c r="A1422" s="5">
        <v>1361</v>
      </c>
      <c r="B1422" s="138">
        <f>'Expenditures 15-22'!D245</f>
        <v>199</v>
      </c>
      <c r="D1422" s="2" t="str">
        <f t="shared" si="21"/>
        <v>Error?</v>
      </c>
    </row>
    <row r="1423" spans="1:4" x14ac:dyDescent="0.2">
      <c r="A1423" s="5">
        <v>1362</v>
      </c>
      <c r="B1423" s="138">
        <f>'Expenditures 15-22'!D246</f>
        <v>1384</v>
      </c>
      <c r="D1423" s="2" t="str">
        <f t="shared" si="21"/>
        <v>Error?</v>
      </c>
    </row>
    <row r="1424" spans="1:4" x14ac:dyDescent="0.2">
      <c r="A1424" s="5">
        <v>1363</v>
      </c>
      <c r="B1424" s="138">
        <f>'Expenditures 15-22'!D257</f>
        <v>21289</v>
      </c>
      <c r="C1424" s="2" t="s">
        <v>573</v>
      </c>
      <c r="D1424" s="2" t="str">
        <f t="shared" si="21"/>
        <v>Error?</v>
      </c>
    </row>
    <row r="1425" spans="1:4" x14ac:dyDescent="0.2">
      <c r="A1425" s="5">
        <v>1364</v>
      </c>
      <c r="B1425" s="138">
        <f>'Expenditures 15-22'!D259</f>
        <v>15943</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15943</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10665</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23859</v>
      </c>
      <c r="D1431" s="2" t="str">
        <f t="shared" si="21"/>
        <v>Error?</v>
      </c>
    </row>
    <row r="1432" spans="1:4" x14ac:dyDescent="0.2">
      <c r="A1432" s="5">
        <v>1371</v>
      </c>
      <c r="B1432" s="138">
        <f>'Expenditures 15-22'!D267</f>
        <v>8807</v>
      </c>
      <c r="D1432" s="2" t="str">
        <f t="shared" si="21"/>
        <v>Error?</v>
      </c>
    </row>
    <row r="1433" spans="1:4" x14ac:dyDescent="0.2">
      <c r="A1433" s="5">
        <v>1372</v>
      </c>
      <c r="B1433" s="138">
        <f>'Expenditures 15-22'!D268</f>
        <v>3703</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47034</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95680</v>
      </c>
      <c r="C1446" s="2" t="s">
        <v>573</v>
      </c>
      <c r="D1446" s="2" t="str">
        <f t="shared" si="21"/>
        <v>Error?</v>
      </c>
    </row>
    <row r="1447" spans="1:4" x14ac:dyDescent="0.2">
      <c r="A1447" s="5">
        <v>1386</v>
      </c>
      <c r="B1447" s="138">
        <f>'Expenditures 15-22'!D280</f>
        <v>2034</v>
      </c>
      <c r="D1447" s="2" t="str">
        <f t="shared" si="21"/>
        <v>Error?</v>
      </c>
    </row>
    <row r="1448" spans="1:4" x14ac:dyDescent="0.2">
      <c r="A1448" s="5">
        <v>1387</v>
      </c>
      <c r="B1448" s="138">
        <f>'Expenditures 15-22'!D295</f>
        <v>144768</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1740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46776</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516</v>
      </c>
      <c r="C1476" s="2" t="s">
        <v>573</v>
      </c>
      <c r="D1476" s="2" t="str">
        <f t="shared" si="22"/>
        <v>Error?</v>
      </c>
    </row>
    <row r="1477" spans="1:4" x14ac:dyDescent="0.2">
      <c r="A1477" s="5">
        <v>1416</v>
      </c>
      <c r="B1477" s="138">
        <f>'Expenditures 15-22'!K234</f>
        <v>1323</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1839</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9575</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9575</v>
      </c>
      <c r="C1485" s="2" t="s">
        <v>573</v>
      </c>
      <c r="D1485" s="2" t="str">
        <f t="shared" si="22"/>
        <v>Error?</v>
      </c>
    </row>
    <row r="1486" spans="1:4" x14ac:dyDescent="0.2">
      <c r="A1486" s="5">
        <v>1425</v>
      </c>
      <c r="B1486" s="138">
        <f>'Expenditures 15-22'!K245</f>
        <v>199</v>
      </c>
      <c r="C1486" s="2" t="s">
        <v>573</v>
      </c>
      <c r="D1486" s="2" t="str">
        <f t="shared" si="22"/>
        <v>Error?</v>
      </c>
    </row>
    <row r="1487" spans="1:4" x14ac:dyDescent="0.2">
      <c r="A1487" s="5">
        <v>1426</v>
      </c>
      <c r="B1487" s="138">
        <f>'Expenditures 15-22'!K246</f>
        <v>1384</v>
      </c>
      <c r="C1487" s="2" t="s">
        <v>573</v>
      </c>
      <c r="D1487" s="2" t="str">
        <f t="shared" si="22"/>
        <v>Error?</v>
      </c>
    </row>
    <row r="1488" spans="1:4" x14ac:dyDescent="0.2">
      <c r="A1488" s="5">
        <v>1427</v>
      </c>
      <c r="B1488" s="138">
        <f>'Expenditures 15-22'!K257</f>
        <v>21289</v>
      </c>
      <c r="C1488" s="2" t="s">
        <v>573</v>
      </c>
      <c r="D1488" s="2" t="str">
        <f t="shared" si="22"/>
        <v>Error?</v>
      </c>
    </row>
    <row r="1489" spans="1:4" x14ac:dyDescent="0.2">
      <c r="A1489" s="5">
        <v>1428</v>
      </c>
      <c r="B1489" s="138">
        <f>'Expenditures 15-22'!K259</f>
        <v>15943</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15943</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10665</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23859</v>
      </c>
      <c r="C1495" s="2" t="s">
        <v>573</v>
      </c>
      <c r="D1495" s="2" t="str">
        <f t="shared" si="22"/>
        <v>Error?</v>
      </c>
    </row>
    <row r="1496" spans="1:4" x14ac:dyDescent="0.2">
      <c r="A1496" s="5">
        <v>1435</v>
      </c>
      <c r="B1496" s="138">
        <f>'Expenditures 15-22'!K267</f>
        <v>8807</v>
      </c>
      <c r="C1496" s="2" t="s">
        <v>573</v>
      </c>
      <c r="D1496" s="2" t="str">
        <f t="shared" si="22"/>
        <v>Error?</v>
      </c>
    </row>
    <row r="1497" spans="1:4" x14ac:dyDescent="0.2">
      <c r="A1497" s="5">
        <v>1436</v>
      </c>
      <c r="B1497" s="138">
        <f>'Expenditures 15-22'!K268</f>
        <v>3703</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47034</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95680</v>
      </c>
      <c r="C1510" s="2" t="s">
        <v>573</v>
      </c>
      <c r="D1510" s="2" t="str">
        <f t="shared" si="22"/>
        <v>Error?</v>
      </c>
    </row>
    <row r="1511" spans="1:4" x14ac:dyDescent="0.2">
      <c r="A1511" s="5">
        <v>1450</v>
      </c>
      <c r="B1511" s="138">
        <f>'Expenditures 15-22'!K280</f>
        <v>2034</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144768</v>
      </c>
      <c r="C1517" s="2" t="s">
        <v>573</v>
      </c>
      <c r="D1517" s="2" t="str">
        <f t="shared" si="22"/>
        <v>Error?</v>
      </c>
    </row>
    <row r="1518" spans="1:4" x14ac:dyDescent="0.2">
      <c r="A1518" s="5">
        <v>1457</v>
      </c>
      <c r="B1518" s="138">
        <f>'Expenditures 15-22'!K296</f>
        <v>72554</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1481433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1430105</v>
      </c>
      <c r="C1630" s="2" t="s">
        <v>573</v>
      </c>
      <c r="D1630" s="2" t="str">
        <f t="shared" si="24"/>
        <v>Error?</v>
      </c>
    </row>
    <row r="1631" spans="1:4" x14ac:dyDescent="0.2">
      <c r="A1631" s="5">
        <v>1570</v>
      </c>
      <c r="B1631" s="138">
        <f>'Acct Summary 7-8'!D79</f>
        <v>1207917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1218980</v>
      </c>
      <c r="C1644" s="2" t="s">
        <v>573</v>
      </c>
      <c r="D1644" s="2" t="str">
        <f t="shared" si="24"/>
        <v>Error?</v>
      </c>
    </row>
    <row r="1645" spans="1:4" x14ac:dyDescent="0.2">
      <c r="A1645" s="5">
        <v>1584</v>
      </c>
      <c r="B1645" s="138">
        <f>'Acct Summary 7-8'!E79</f>
        <v>71967</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71708</v>
      </c>
      <c r="C1658" s="2" t="s">
        <v>573</v>
      </c>
      <c r="D1658" s="2" t="str">
        <f t="shared" si="24"/>
        <v>Error?</v>
      </c>
    </row>
    <row r="1659" spans="1:4" x14ac:dyDescent="0.2">
      <c r="A1659" s="5">
        <v>1598</v>
      </c>
      <c r="B1659" s="138">
        <f>'Acct Summary 7-8'!F79</f>
        <v>570533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617994</v>
      </c>
      <c r="C1672" s="2" t="s">
        <v>573</v>
      </c>
      <c r="D1672" s="2" t="str">
        <f t="shared" si="25"/>
        <v>Error?</v>
      </c>
    </row>
    <row r="1673" spans="1:4" x14ac:dyDescent="0.2">
      <c r="A1673" s="5">
        <v>1612</v>
      </c>
      <c r="B1673" s="138">
        <f>'Acct Summary 7-8'!G79</f>
        <v>287377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359931</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1922395</v>
      </c>
      <c r="C1744" s="2" t="s">
        <v>573</v>
      </c>
      <c r="D1744" s="2" t="str">
        <f t="shared" si="26"/>
        <v>Error?</v>
      </c>
    </row>
    <row r="1745" spans="1:5" x14ac:dyDescent="0.2">
      <c r="A1745" s="5">
        <v>1684</v>
      </c>
      <c r="B1745" s="138">
        <f>'Tax Sched 23'!B5</f>
        <v>240300</v>
      </c>
      <c r="C1745" s="2" t="s">
        <v>573</v>
      </c>
      <c r="D1745" s="2" t="str">
        <f t="shared" si="26"/>
        <v>Error?</v>
      </c>
    </row>
    <row r="1746" spans="1:5" x14ac:dyDescent="0.2">
      <c r="A1746" s="5">
        <v>1685</v>
      </c>
      <c r="B1746" s="138">
        <f>'Tax Sched 23'!B6</f>
        <v>162827</v>
      </c>
      <c r="C1746" s="2" t="s">
        <v>573</v>
      </c>
      <c r="D1746" s="2" t="str">
        <f t="shared" si="26"/>
        <v>Error?</v>
      </c>
    </row>
    <row r="1747" spans="1:5" x14ac:dyDescent="0.2">
      <c r="A1747" s="5">
        <v>1686</v>
      </c>
      <c r="B1747" s="138">
        <f>'Tax Sched 23'!B7</f>
        <v>115343</v>
      </c>
      <c r="C1747" s="2" t="s">
        <v>573</v>
      </c>
      <c r="D1747" s="2" t="str">
        <f t="shared" si="26"/>
        <v>Error?</v>
      </c>
    </row>
    <row r="1748" spans="1:5" x14ac:dyDescent="0.2">
      <c r="A1748" s="5">
        <v>1687</v>
      </c>
      <c r="B1748" s="138">
        <f>'Tax Sched 23'!B8</f>
        <v>84778</v>
      </c>
      <c r="C1748" s="2" t="s">
        <v>573</v>
      </c>
      <c r="D1748" s="2" t="str">
        <f t="shared" si="26"/>
        <v>Error?</v>
      </c>
    </row>
    <row r="1749" spans="1:5" x14ac:dyDescent="0.2">
      <c r="A1749" s="5">
        <v>1688</v>
      </c>
      <c r="B1749" s="138">
        <f>'Tax Sched 23'!B10</f>
        <v>48059</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342764</v>
      </c>
      <c r="C1752" s="2" t="s">
        <v>573</v>
      </c>
      <c r="D1752" s="2" t="str">
        <f t="shared" si="26"/>
        <v>Error?</v>
      </c>
    </row>
    <row r="1753" spans="1:5" x14ac:dyDescent="0.2">
      <c r="A1753" s="5">
        <v>1692</v>
      </c>
      <c r="B1753" s="138">
        <f>'Tax Sched 23'!B12</f>
        <v>48059</v>
      </c>
      <c r="C1753" s="2" t="s">
        <v>573</v>
      </c>
      <c r="D1753" s="2" t="str">
        <f t="shared" si="26"/>
        <v>Error?</v>
      </c>
    </row>
    <row r="1754" spans="1:5" x14ac:dyDescent="0.2">
      <c r="A1754" s="5">
        <v>1693</v>
      </c>
      <c r="B1754" s="138">
        <f>'Tax Sched 23'!B14</f>
        <v>19225</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3160515</v>
      </c>
      <c r="C1759" s="2" t="s">
        <v>573</v>
      </c>
      <c r="D1759" s="2" t="str">
        <f t="shared" si="26"/>
        <v>Error?</v>
      </c>
    </row>
    <row r="1760" spans="1:5" x14ac:dyDescent="0.2">
      <c r="A1760" s="5">
        <v>1699</v>
      </c>
      <c r="B1760" s="138">
        <f>'Tax Sched 23'!D4</f>
        <v>1922395</v>
      </c>
      <c r="C1760" s="2" t="s">
        <v>573</v>
      </c>
      <c r="D1760" s="2" t="str">
        <f t="shared" si="26"/>
        <v>Error?</v>
      </c>
    </row>
    <row r="1761" spans="1:5" x14ac:dyDescent="0.2">
      <c r="A1761" s="5">
        <v>1700</v>
      </c>
      <c r="B1761" s="138">
        <f>'Tax Sched 23'!D5</f>
        <v>240300</v>
      </c>
      <c r="C1761" s="2" t="s">
        <v>573</v>
      </c>
      <c r="D1761" s="2" t="str">
        <f t="shared" si="26"/>
        <v>Error?</v>
      </c>
    </row>
    <row r="1762" spans="1:5" s="8" customFormat="1" x14ac:dyDescent="0.2">
      <c r="A1762" s="5">
        <v>1701</v>
      </c>
      <c r="B1762" s="138">
        <f>'Tax Sched 23'!D6</f>
        <v>162827</v>
      </c>
      <c r="C1762" s="2" t="s">
        <v>573</v>
      </c>
      <c r="D1762" s="2" t="str">
        <f t="shared" si="26"/>
        <v>Error?</v>
      </c>
      <c r="E1762" s="9"/>
    </row>
    <row r="1763" spans="1:5" x14ac:dyDescent="0.2">
      <c r="A1763" s="5">
        <v>1702</v>
      </c>
      <c r="B1763" s="138">
        <f>'Tax Sched 23'!D7</f>
        <v>115343</v>
      </c>
      <c r="C1763" s="2" t="s">
        <v>573</v>
      </c>
      <c r="D1763" s="2" t="str">
        <f t="shared" si="26"/>
        <v>Error?</v>
      </c>
    </row>
    <row r="1764" spans="1:5" x14ac:dyDescent="0.2">
      <c r="A1764" s="5">
        <v>1703</v>
      </c>
      <c r="B1764" s="138">
        <f>'Tax Sched 23'!D8</f>
        <v>84778</v>
      </c>
      <c r="C1764" s="2" t="s">
        <v>573</v>
      </c>
      <c r="D1764" s="2" t="str">
        <f t="shared" si="26"/>
        <v>Error?</v>
      </c>
    </row>
    <row r="1765" spans="1:5" x14ac:dyDescent="0.2">
      <c r="A1765" s="5">
        <v>1704</v>
      </c>
      <c r="B1765" s="138">
        <f>'Tax Sched 23'!D10</f>
        <v>48059</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342764</v>
      </c>
      <c r="C1768" s="2" t="s">
        <v>573</v>
      </c>
      <c r="D1768" s="2" t="str">
        <f t="shared" si="26"/>
        <v>Error?</v>
      </c>
    </row>
    <row r="1769" spans="1:5" x14ac:dyDescent="0.2">
      <c r="A1769" s="5">
        <v>1708</v>
      </c>
      <c r="B1769" s="138">
        <f>'Tax Sched 23'!D12</f>
        <v>48059</v>
      </c>
      <c r="C1769" s="2" t="s">
        <v>573</v>
      </c>
      <c r="D1769" s="2" t="str">
        <f t="shared" si="26"/>
        <v>Error?</v>
      </c>
    </row>
    <row r="1770" spans="1:5" x14ac:dyDescent="0.2">
      <c r="A1770" s="5">
        <v>1709</v>
      </c>
      <c r="B1770" s="138">
        <f>'Tax Sched 23'!D14</f>
        <v>19225</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3160515</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2008419</v>
      </c>
      <c r="C1792" s="2" t="s">
        <v>573</v>
      </c>
      <c r="D1792" s="2" t="str">
        <f t="shared" si="27"/>
        <v>Error?</v>
      </c>
    </row>
    <row r="1793" spans="1:4" x14ac:dyDescent="0.2">
      <c r="A1793" s="5">
        <v>1732</v>
      </c>
      <c r="B1793" s="138">
        <f>'Tax Sched 23'!F5</f>
        <v>251052</v>
      </c>
      <c r="C1793" s="2" t="s">
        <v>573</v>
      </c>
      <c r="D1793" s="2" t="str">
        <f t="shared" si="27"/>
        <v>Error?</v>
      </c>
    </row>
    <row r="1794" spans="1:4" x14ac:dyDescent="0.2">
      <c r="A1794" s="5">
        <v>1733</v>
      </c>
      <c r="B1794" s="138">
        <f>'Tax Sched 23'!F6</f>
        <v>162481</v>
      </c>
      <c r="C1794" s="2" t="s">
        <v>573</v>
      </c>
      <c r="D1794" s="2" t="str">
        <f t="shared" si="27"/>
        <v>Error?</v>
      </c>
    </row>
    <row r="1795" spans="1:4" x14ac:dyDescent="0.2">
      <c r="A1795" s="5">
        <v>1734</v>
      </c>
      <c r="B1795" s="138">
        <f>'Tax Sched 23'!F7</f>
        <v>120508</v>
      </c>
      <c r="C1795" s="2" t="s">
        <v>573</v>
      </c>
      <c r="D1795" s="2" t="str">
        <f t="shared" si="27"/>
        <v>Error?</v>
      </c>
    </row>
    <row r="1796" spans="1:4" x14ac:dyDescent="0.2">
      <c r="A1796" s="5">
        <v>1735</v>
      </c>
      <c r="B1796" s="138">
        <f>'Tax Sched 23'!F8</f>
        <v>80035</v>
      </c>
      <c r="C1796" s="2" t="s">
        <v>573</v>
      </c>
      <c r="D1796" s="2" t="str">
        <f t="shared" si="27"/>
        <v>Error?</v>
      </c>
    </row>
    <row r="1797" spans="1:4" x14ac:dyDescent="0.2">
      <c r="A1797" s="5">
        <v>1736</v>
      </c>
      <c r="B1797" s="138">
        <f>'Tax Sched 23'!F10</f>
        <v>50210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393751</v>
      </c>
      <c r="C1800" s="2" t="s">
        <v>573</v>
      </c>
      <c r="D1800" s="2" t="str">
        <f t="shared" si="27"/>
        <v>Error?</v>
      </c>
    </row>
    <row r="1801" spans="1:4" x14ac:dyDescent="0.2">
      <c r="A1801" s="5">
        <v>1740</v>
      </c>
      <c r="B1801" s="138">
        <f>'Tax Sched 23'!F12</f>
        <v>50210</v>
      </c>
      <c r="C1801" s="2" t="s">
        <v>573</v>
      </c>
      <c r="D1801" s="2" t="str">
        <f t="shared" si="27"/>
        <v>Error?</v>
      </c>
    </row>
    <row r="1802" spans="1:4" x14ac:dyDescent="0.2">
      <c r="A1802" s="5">
        <v>1741</v>
      </c>
      <c r="B1802" s="138">
        <f>'Tax Sched 23'!F14</f>
        <v>20084</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3286979</v>
      </c>
      <c r="C1807" s="2" t="s">
        <v>573</v>
      </c>
      <c r="D1807" s="2" t="str">
        <f t="shared" si="27"/>
        <v>Error?</v>
      </c>
    </row>
    <row r="1808" spans="1:4" x14ac:dyDescent="0.2">
      <c r="A1808" s="5">
        <v>1747</v>
      </c>
      <c r="B1808" s="138">
        <f>'Tax Sched 23'!E4</f>
        <v>2008419</v>
      </c>
      <c r="D1808" s="2" t="str">
        <f t="shared" si="27"/>
        <v>Error?</v>
      </c>
    </row>
    <row r="1809" spans="1:4" x14ac:dyDescent="0.2">
      <c r="A1809" s="5">
        <v>1748</v>
      </c>
      <c r="B1809" s="138">
        <f>'Tax Sched 23'!E5</f>
        <v>251052</v>
      </c>
      <c r="D1809" s="2" t="str">
        <f t="shared" si="27"/>
        <v>Error?</v>
      </c>
    </row>
    <row r="1810" spans="1:4" x14ac:dyDescent="0.2">
      <c r="A1810" s="5">
        <v>1749</v>
      </c>
      <c r="B1810" s="138">
        <f>'Tax Sched 23'!E6</f>
        <v>162481</v>
      </c>
      <c r="D1810" s="2" t="str">
        <f t="shared" si="27"/>
        <v>Error?</v>
      </c>
    </row>
    <row r="1811" spans="1:4" x14ac:dyDescent="0.2">
      <c r="A1811" s="5">
        <v>1750</v>
      </c>
      <c r="B1811" s="138">
        <f>'Tax Sched 23'!E7</f>
        <v>120508</v>
      </c>
      <c r="D1811" s="2" t="str">
        <f t="shared" si="27"/>
        <v>Error?</v>
      </c>
    </row>
    <row r="1812" spans="1:4" x14ac:dyDescent="0.2">
      <c r="A1812" s="5">
        <v>1751</v>
      </c>
      <c r="B1812" s="138">
        <f>'Tax Sched 23'!E8</f>
        <v>80035</v>
      </c>
      <c r="D1812" s="2" t="str">
        <f t="shared" si="27"/>
        <v>Error?</v>
      </c>
    </row>
    <row r="1813" spans="1:4" x14ac:dyDescent="0.2">
      <c r="A1813" s="5">
        <v>1752</v>
      </c>
      <c r="B1813" s="138">
        <f>'Tax Sched 23'!E10</f>
        <v>50210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393751</v>
      </c>
      <c r="D1816" s="2" t="str">
        <f t="shared" si="27"/>
        <v>Error?</v>
      </c>
    </row>
    <row r="1817" spans="1:4" x14ac:dyDescent="0.2">
      <c r="A1817" s="5">
        <v>1756</v>
      </c>
      <c r="B1817" s="138">
        <f>'Tax Sched 23'!E12</f>
        <v>50210</v>
      </c>
      <c r="D1817" s="2" t="str">
        <f t="shared" si="27"/>
        <v>Error?</v>
      </c>
    </row>
    <row r="1818" spans="1:4" x14ac:dyDescent="0.2">
      <c r="A1818" s="5">
        <v>1757</v>
      </c>
      <c r="B1818" s="138">
        <f>'Tax Sched 23'!E14</f>
        <v>20084</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3286979</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420000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19225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19225</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19225</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688913</v>
      </c>
      <c r="D2008" s="2" t="str">
        <f t="shared" si="30"/>
        <v>Error?</v>
      </c>
    </row>
    <row r="2009" spans="1:4" x14ac:dyDescent="0.2">
      <c r="A2009" s="5">
        <v>1948</v>
      </c>
      <c r="B2009" s="138">
        <f>'Cap Outlay Deprec 26'!C8</f>
        <v>5456879</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335692</v>
      </c>
      <c r="D2011" s="2" t="str">
        <f t="shared" si="30"/>
        <v>Error?</v>
      </c>
    </row>
    <row r="2012" spans="1:4" x14ac:dyDescent="0.2">
      <c r="A2012" s="5">
        <v>1951</v>
      </c>
      <c r="B2012" s="138">
        <f>'Cap Outlay Deprec 26'!C13</f>
        <v>1237158</v>
      </c>
      <c r="D2012" s="2" t="str">
        <f t="shared" si="30"/>
        <v>Error?</v>
      </c>
    </row>
    <row r="2013" spans="1:4" x14ac:dyDescent="0.2">
      <c r="A2013" s="5">
        <v>1952</v>
      </c>
      <c r="B2013" s="138">
        <f>'Cap Outlay Deprec 26'!C16</f>
        <v>7718642</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51915</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20457</v>
      </c>
      <c r="D2018" s="2" t="str">
        <f t="shared" si="30"/>
        <v>Error?</v>
      </c>
    </row>
    <row r="2019" spans="1:4" x14ac:dyDescent="0.2">
      <c r="A2019" s="5">
        <v>1958</v>
      </c>
      <c r="B2019" s="138">
        <f>'Cap Outlay Deprec 26'!D16</f>
        <v>72372</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688913</v>
      </c>
      <c r="C2026" s="2" t="s">
        <v>573</v>
      </c>
      <c r="D2026" s="2" t="str">
        <f t="shared" si="30"/>
        <v>Error?</v>
      </c>
    </row>
    <row r="2027" spans="1:4" x14ac:dyDescent="0.2">
      <c r="A2027" s="5">
        <v>1966</v>
      </c>
      <c r="B2027" s="138">
        <f>'Cap Outlay Deprec 26'!F8</f>
        <v>5508794</v>
      </c>
      <c r="C2027" s="2" t="s">
        <v>573</v>
      </c>
      <c r="D2027" s="2" t="str">
        <f t="shared" si="30"/>
        <v>Error?</v>
      </c>
    </row>
    <row r="2028" spans="1:4" x14ac:dyDescent="0.2">
      <c r="A2028" s="5">
        <v>1967</v>
      </c>
      <c r="B2028" s="138">
        <f>'Cap Outlay Deprec 26'!F10</f>
        <v>0</v>
      </c>
      <c r="C2028" s="2" t="s">
        <v>573</v>
      </c>
      <c r="D2028" s="2" t="str">
        <f t="shared" si="30"/>
        <v>Error?</v>
      </c>
    </row>
    <row r="2029" spans="1:4" x14ac:dyDescent="0.2">
      <c r="A2029" s="5">
        <v>1968</v>
      </c>
      <c r="B2029" s="138">
        <f>'Cap Outlay Deprec 26'!F12</f>
        <v>335692</v>
      </c>
      <c r="C2029" s="2" t="s">
        <v>573</v>
      </c>
      <c r="D2029" s="2" t="str">
        <f t="shared" si="30"/>
        <v>Error?</v>
      </c>
    </row>
    <row r="2030" spans="1:4" x14ac:dyDescent="0.2">
      <c r="A2030" s="5">
        <v>1969</v>
      </c>
      <c r="B2030" s="138">
        <f>'Cap Outlay Deprec 26'!F13</f>
        <v>1257615</v>
      </c>
      <c r="C2030" s="2" t="s">
        <v>573</v>
      </c>
      <c r="D2030" s="2" t="str">
        <f t="shared" si="30"/>
        <v>Error?</v>
      </c>
    </row>
    <row r="2031" spans="1:4" x14ac:dyDescent="0.2">
      <c r="A2031" s="5">
        <v>1970</v>
      </c>
      <c r="B2031" s="138">
        <f>'Cap Outlay Deprec 26'!F16</f>
        <v>7791014</v>
      </c>
      <c r="C2031" s="2" t="s">
        <v>573</v>
      </c>
      <c r="D2031" s="2" t="str">
        <f t="shared" si="30"/>
        <v>Error?</v>
      </c>
    </row>
    <row r="2032" spans="1:4" x14ac:dyDescent="0.2">
      <c r="A2032" s="10">
        <v>1971</v>
      </c>
      <c r="D2032" s="2" t="str">
        <f t="shared" si="30"/>
        <v>OK</v>
      </c>
    </row>
    <row r="2033" spans="1:4" x14ac:dyDescent="0.2">
      <c r="A2033" s="5">
        <v>1972</v>
      </c>
      <c r="B2033" s="138">
        <f>'Cap Outlay Deprec 26'!H8</f>
        <v>2368844</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335692</v>
      </c>
      <c r="D2035" s="2" t="str">
        <f t="shared" si="30"/>
        <v>Error?</v>
      </c>
    </row>
    <row r="2036" spans="1:4" x14ac:dyDescent="0.2">
      <c r="A2036" s="5">
        <v>1975</v>
      </c>
      <c r="B2036" s="138">
        <f>'Cap Outlay Deprec 26'!H13</f>
        <v>1133258</v>
      </c>
      <c r="D2036" s="2" t="str">
        <f t="shared" si="30"/>
        <v>Error?</v>
      </c>
    </row>
    <row r="2037" spans="1:4" x14ac:dyDescent="0.2">
      <c r="A2037" s="5">
        <v>1976</v>
      </c>
      <c r="B2037" s="138">
        <f>'Cap Outlay Deprec 26'!H16</f>
        <v>3837794</v>
      </c>
      <c r="C2037" s="2" t="s">
        <v>573</v>
      </c>
      <c r="D2037" s="2" t="str">
        <f t="shared" si="30"/>
        <v>Error?</v>
      </c>
    </row>
    <row r="2038" spans="1:4" x14ac:dyDescent="0.2">
      <c r="A2038" s="10">
        <v>1977</v>
      </c>
      <c r="D2038" s="2" t="str">
        <f t="shared" si="30"/>
        <v>OK</v>
      </c>
    </row>
    <row r="2039" spans="1:4" x14ac:dyDescent="0.2">
      <c r="A2039" s="5">
        <v>1978</v>
      </c>
      <c r="B2039" s="138">
        <f>'Cap Outlay Deprec 26'!I8</f>
        <v>158262</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0</v>
      </c>
      <c r="D2041" s="2" t="str">
        <f t="shared" si="30"/>
        <v>Error?</v>
      </c>
    </row>
    <row r="2042" spans="1:4" x14ac:dyDescent="0.2">
      <c r="A2042" s="5">
        <v>1981</v>
      </c>
      <c r="B2042" s="138">
        <f>'Cap Outlay Deprec 26'!I13</f>
        <v>55622</v>
      </c>
      <c r="D2042" s="2" t="str">
        <f t="shared" si="30"/>
        <v>Error?</v>
      </c>
    </row>
    <row r="2043" spans="1:4" x14ac:dyDescent="0.2">
      <c r="A2043" s="5">
        <v>1982</v>
      </c>
      <c r="B2043" s="138">
        <f>'Cap Outlay Deprec 26'!I16</f>
        <v>213884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2527106</v>
      </c>
      <c r="C2051" s="2" t="s">
        <v>573</v>
      </c>
      <c r="D2051" s="2" t="str">
        <f t="shared" si="31"/>
        <v>Error?</v>
      </c>
    </row>
    <row r="2052" spans="1:4" x14ac:dyDescent="0.2">
      <c r="A2052" s="5">
        <v>1991</v>
      </c>
      <c r="B2052" s="138">
        <f>'Cap Outlay Deprec 26'!K10</f>
        <v>0</v>
      </c>
      <c r="C2052" s="2" t="s">
        <v>573</v>
      </c>
      <c r="D2052" s="2" t="str">
        <f t="shared" si="31"/>
        <v>Error?</v>
      </c>
    </row>
    <row r="2053" spans="1:4" x14ac:dyDescent="0.2">
      <c r="A2053" s="5">
        <v>1992</v>
      </c>
      <c r="B2053" s="138">
        <f>'Cap Outlay Deprec 26'!K12</f>
        <v>335692</v>
      </c>
      <c r="C2053" s="2" t="s">
        <v>573</v>
      </c>
      <c r="D2053" s="2" t="str">
        <f t="shared" si="31"/>
        <v>Error?</v>
      </c>
    </row>
    <row r="2054" spans="1:4" x14ac:dyDescent="0.2">
      <c r="A2054" s="5">
        <v>1993</v>
      </c>
      <c r="B2054" s="138">
        <f>'Cap Outlay Deprec 26'!K13</f>
        <v>1188880</v>
      </c>
      <c r="C2054" s="2" t="s">
        <v>573</v>
      </c>
      <c r="D2054" s="2" t="str">
        <f t="shared" si="31"/>
        <v>Error?</v>
      </c>
    </row>
    <row r="2055" spans="1:4" x14ac:dyDescent="0.2">
      <c r="A2055" s="5">
        <v>1994</v>
      </c>
      <c r="B2055" s="138">
        <f>'Cap Outlay Deprec 26'!K16</f>
        <v>4051678</v>
      </c>
      <c r="C2055" s="2" t="s">
        <v>573</v>
      </c>
      <c r="D2055" s="2" t="str">
        <f t="shared" si="31"/>
        <v>Error?</v>
      </c>
    </row>
    <row r="2056" spans="1:4" x14ac:dyDescent="0.2">
      <c r="A2056" s="5">
        <v>1995</v>
      </c>
      <c r="B2056" s="138">
        <f>'Cap Outlay Deprec 26'!L5</f>
        <v>688913</v>
      </c>
      <c r="C2056" s="2" t="s">
        <v>573</v>
      </c>
      <c r="D2056" s="2" t="str">
        <f t="shared" si="31"/>
        <v>Error?</v>
      </c>
    </row>
    <row r="2057" spans="1:4" x14ac:dyDescent="0.2">
      <c r="A2057" s="5">
        <v>1996</v>
      </c>
      <c r="B2057" s="138">
        <f>'Cap Outlay Deprec 26'!L8</f>
        <v>2981688</v>
      </c>
      <c r="C2057" s="2" t="s">
        <v>573</v>
      </c>
      <c r="D2057" s="2" t="str">
        <f t="shared" si="31"/>
        <v>Error?</v>
      </c>
    </row>
    <row r="2058" spans="1:4" x14ac:dyDescent="0.2">
      <c r="A2058" s="5">
        <v>1997</v>
      </c>
      <c r="B2058" s="138">
        <f>'Cap Outlay Deprec 26'!L10</f>
        <v>0</v>
      </c>
      <c r="C2058" s="2" t="s">
        <v>573</v>
      </c>
      <c r="D2058" s="2" t="str">
        <f t="shared" si="31"/>
        <v>Error?</v>
      </c>
    </row>
    <row r="2059" spans="1:4" x14ac:dyDescent="0.2">
      <c r="A2059" s="5">
        <v>1998</v>
      </c>
      <c r="B2059" s="138">
        <f>'Cap Outlay Deprec 26'!L12</f>
        <v>0</v>
      </c>
      <c r="C2059" s="2" t="s">
        <v>573</v>
      </c>
      <c r="D2059" s="2" t="str">
        <f t="shared" si="31"/>
        <v>Error?</v>
      </c>
    </row>
    <row r="2060" spans="1:4" x14ac:dyDescent="0.2">
      <c r="A2060" s="5">
        <v>1999</v>
      </c>
      <c r="B2060" s="138">
        <f>'Cap Outlay Deprec 26'!L13</f>
        <v>68735</v>
      </c>
      <c r="C2060" s="2" t="s">
        <v>573</v>
      </c>
      <c r="D2060" s="2" t="str">
        <f t="shared" si="31"/>
        <v>Error?</v>
      </c>
    </row>
    <row r="2061" spans="1:4" x14ac:dyDescent="0.2">
      <c r="A2061" s="5">
        <v>2000</v>
      </c>
      <c r="B2061" s="138">
        <f>'Cap Outlay Deprec 26'!L16</f>
        <v>3739336</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10350</v>
      </c>
      <c r="C2088" s="2" t="s">
        <v>573</v>
      </c>
      <c r="D2088" s="2" t="str">
        <f t="shared" si="31"/>
        <v>Error?</v>
      </c>
    </row>
    <row r="2089" spans="1:4" x14ac:dyDescent="0.2">
      <c r="A2089" s="5">
        <v>2028</v>
      </c>
      <c r="B2089" s="138">
        <f>'Expenditures 15-22'!K92</f>
        <v>140463</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617994</v>
      </c>
      <c r="D2475" s="2" t="str">
        <f t="shared" si="37"/>
        <v>Error?</v>
      </c>
    </row>
    <row r="2476" spans="1:4" x14ac:dyDescent="0.2">
      <c r="A2476" s="10">
        <v>2415</v>
      </c>
      <c r="D2476" s="2" t="str">
        <f t="shared" si="37"/>
        <v>OK</v>
      </c>
    </row>
    <row r="2477" spans="1:4" x14ac:dyDescent="0.2">
      <c r="A2477" s="5">
        <v>2416</v>
      </c>
      <c r="B2477" s="138">
        <f>'Assets-Liab 5-6'!G38</f>
        <v>359931</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71708</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2105546</v>
      </c>
      <c r="C2551" s="2" t="s">
        <v>573</v>
      </c>
      <c r="D2551" s="2" t="str">
        <f t="shared" si="38"/>
        <v>Error?</v>
      </c>
    </row>
    <row r="2552" spans="1:4" x14ac:dyDescent="0.2">
      <c r="A2552" s="10">
        <v>2491</v>
      </c>
      <c r="D2552" s="2" t="str">
        <f t="shared" si="38"/>
        <v>OK</v>
      </c>
    </row>
    <row r="2553" spans="1:4" x14ac:dyDescent="0.2">
      <c r="A2553" s="5">
        <v>2492</v>
      </c>
      <c r="B2553" s="138">
        <f>'Acct Summary 7-8'!C6</f>
        <v>1189421</v>
      </c>
      <c r="C2553" s="2" t="s">
        <v>573</v>
      </c>
      <c r="D2553" s="2" t="str">
        <f t="shared" si="38"/>
        <v>Error?</v>
      </c>
    </row>
    <row r="2554" spans="1:4" x14ac:dyDescent="0.2">
      <c r="A2554" s="5">
        <v>2493</v>
      </c>
      <c r="B2554" s="138">
        <f>'Acct Summary 7-8'!C7</f>
        <v>226468</v>
      </c>
      <c r="C2554" s="2" t="s">
        <v>573</v>
      </c>
      <c r="D2554" s="2" t="str">
        <f t="shared" si="38"/>
        <v>Error?</v>
      </c>
    </row>
    <row r="2555" spans="1:4" x14ac:dyDescent="0.2">
      <c r="A2555" s="5">
        <v>2494</v>
      </c>
      <c r="B2555" s="138">
        <f>'Acct Summary 7-8'!C8</f>
        <v>3521435</v>
      </c>
      <c r="C2555" s="2" t="s">
        <v>573</v>
      </c>
      <c r="D2555" s="2" t="str">
        <f t="shared" si="38"/>
        <v>Error?</v>
      </c>
    </row>
    <row r="2556" spans="1:4" x14ac:dyDescent="0.2">
      <c r="A2556" s="5">
        <v>2495</v>
      </c>
      <c r="B2556" s="138">
        <f>'Acct Summary 7-8'!C12</f>
        <v>2451049</v>
      </c>
      <c r="C2556" s="2" t="s">
        <v>573</v>
      </c>
      <c r="D2556" s="2" t="str">
        <f t="shared" si="38"/>
        <v>Error?</v>
      </c>
    </row>
    <row r="2557" spans="1:4" x14ac:dyDescent="0.2">
      <c r="A2557" s="5">
        <v>2496</v>
      </c>
      <c r="B2557" s="138">
        <f>'Acct Summary 7-8'!C13</f>
        <v>947030</v>
      </c>
      <c r="C2557" s="2" t="s">
        <v>573</v>
      </c>
      <c r="D2557" s="2" t="str">
        <f t="shared" si="38"/>
        <v>Error?</v>
      </c>
    </row>
    <row r="2558" spans="1:4" x14ac:dyDescent="0.2">
      <c r="A2558" s="5">
        <v>2497</v>
      </c>
      <c r="B2558" s="138">
        <f>'Acct Summary 7-8'!C14</f>
        <v>23871</v>
      </c>
      <c r="C2558" s="2" t="s">
        <v>573</v>
      </c>
      <c r="D2558" s="2" t="str">
        <f t="shared" si="38"/>
        <v>Error?</v>
      </c>
    </row>
    <row r="2559" spans="1:4" x14ac:dyDescent="0.2">
      <c r="A2559" s="5">
        <v>2498</v>
      </c>
      <c r="B2559" s="138">
        <f>'Acct Summary 7-8'!C15</f>
        <v>150813</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3572763</v>
      </c>
      <c r="C2561" s="2" t="s">
        <v>573</v>
      </c>
      <c r="D2561" s="2" t="str">
        <f t="shared" si="39"/>
        <v>Error?</v>
      </c>
    </row>
    <row r="2562" spans="1:4" x14ac:dyDescent="0.2">
      <c r="A2562" s="5">
        <v>2501</v>
      </c>
      <c r="B2562" s="138">
        <f>'Acct Summary 7-8'!C20</f>
        <v>-51328</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336114</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336114</v>
      </c>
      <c r="C2568" s="2" t="s">
        <v>573</v>
      </c>
      <c r="D2568" s="2" t="str">
        <f t="shared" si="39"/>
        <v>Error?</v>
      </c>
    </row>
    <row r="2569" spans="1:4" x14ac:dyDescent="0.2">
      <c r="A2569" s="5">
        <v>2508</v>
      </c>
      <c r="B2569" s="138">
        <f>'Acct Summary 7-8'!D13</f>
        <v>325051</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325051</v>
      </c>
      <c r="C2573" s="2" t="s">
        <v>573</v>
      </c>
      <c r="D2573" s="2" t="str">
        <f t="shared" si="39"/>
        <v>Error?</v>
      </c>
    </row>
    <row r="2574" spans="1:4" x14ac:dyDescent="0.2">
      <c r="A2574" s="5">
        <v>2513</v>
      </c>
      <c r="B2574" s="138">
        <f>'Acct Summary 7-8'!D20</f>
        <v>11063</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119780</v>
      </c>
      <c r="C2591" s="2" t="s">
        <v>573</v>
      </c>
      <c r="D2591" s="2" t="str">
        <f t="shared" si="39"/>
        <v>Error?</v>
      </c>
    </row>
    <row r="2592" spans="1:4" x14ac:dyDescent="0.2">
      <c r="A2592" s="10">
        <v>2531</v>
      </c>
      <c r="D2592" s="2" t="str">
        <f t="shared" si="39"/>
        <v>OK</v>
      </c>
    </row>
    <row r="2593" spans="1:4" x14ac:dyDescent="0.2">
      <c r="A2593" s="5">
        <v>2532</v>
      </c>
      <c r="B2593" s="138">
        <f>'Acct Summary 7-8'!F6</f>
        <v>60423</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180203</v>
      </c>
      <c r="C2595" s="2" t="s">
        <v>573</v>
      </c>
      <c r="D2595" s="2" t="str">
        <f t="shared" si="39"/>
        <v>Error?</v>
      </c>
    </row>
    <row r="2596" spans="1:4" x14ac:dyDescent="0.2">
      <c r="A2596" s="5">
        <v>2535</v>
      </c>
      <c r="B2596" s="138">
        <f>'Acct Summary 7-8'!F13</f>
        <v>132742</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132742</v>
      </c>
      <c r="C2600" s="2" t="s">
        <v>573</v>
      </c>
      <c r="D2600" s="2" t="str">
        <f t="shared" si="39"/>
        <v>Error?</v>
      </c>
    </row>
    <row r="2601" spans="1:4" x14ac:dyDescent="0.2">
      <c r="A2601" s="5">
        <v>2540</v>
      </c>
      <c r="B2601" s="138">
        <f>'Acct Summary 7-8'!F20</f>
        <v>47461</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217322</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217322</v>
      </c>
      <c r="C2606" s="2" t="s">
        <v>573</v>
      </c>
      <c r="D2606" s="2" t="str">
        <f t="shared" si="39"/>
        <v>Error?</v>
      </c>
    </row>
    <row r="2607" spans="1:4" x14ac:dyDescent="0.2">
      <c r="A2607" s="5">
        <v>2546</v>
      </c>
      <c r="B2607" s="138">
        <f>'Acct Summary 7-8'!G12</f>
        <v>46776</v>
      </c>
      <c r="C2607" s="2" t="s">
        <v>573</v>
      </c>
      <c r="D2607" s="2" t="str">
        <f t="shared" si="39"/>
        <v>Error?</v>
      </c>
    </row>
    <row r="2608" spans="1:4" x14ac:dyDescent="0.2">
      <c r="A2608" s="5">
        <v>2547</v>
      </c>
      <c r="B2608" s="138">
        <f>'Acct Summary 7-8'!G13</f>
        <v>95680</v>
      </c>
      <c r="C2608" s="2" t="s">
        <v>573</v>
      </c>
      <c r="D2608" s="2" t="str">
        <f t="shared" si="39"/>
        <v>Error?</v>
      </c>
    </row>
    <row r="2609" spans="1:4" x14ac:dyDescent="0.2">
      <c r="A2609" s="5">
        <v>2548</v>
      </c>
      <c r="B2609" s="138">
        <f>'Acct Summary 7-8'!G14</f>
        <v>2034</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144768</v>
      </c>
      <c r="C2612" s="2" t="s">
        <v>573</v>
      </c>
      <c r="D2612" s="2" t="str">
        <f t="shared" si="39"/>
        <v>Error?</v>
      </c>
    </row>
    <row r="2613" spans="1:4" x14ac:dyDescent="0.2">
      <c r="A2613" s="5">
        <v>2552</v>
      </c>
      <c r="B2613" s="138">
        <f>'Acct Summary 7-8'!G20</f>
        <v>72554</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163024</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163024</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163283</v>
      </c>
      <c r="C2634" s="2" t="s">
        <v>573</v>
      </c>
      <c r="D2634" s="2" t="str">
        <f t="shared" si="40"/>
        <v>Error?</v>
      </c>
    </row>
    <row r="2635" spans="1:4" x14ac:dyDescent="0.2">
      <c r="A2635" s="5">
        <v>2574</v>
      </c>
      <c r="B2635" s="138">
        <f>'Acct Summary 7-8'!E17</f>
        <v>163283</v>
      </c>
      <c r="C2635" s="2" t="s">
        <v>573</v>
      </c>
      <c r="D2635" s="2" t="str">
        <f t="shared" si="40"/>
        <v>Error?</v>
      </c>
    </row>
    <row r="2636" spans="1:4" x14ac:dyDescent="0.2">
      <c r="A2636" s="5">
        <v>2575</v>
      </c>
      <c r="B2636" s="138">
        <f>'Acct Summary 7-8'!E20</f>
        <v>-259</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10350</v>
      </c>
      <c r="C2789" s="2" t="s">
        <v>573</v>
      </c>
      <c r="D2789" s="2" t="str">
        <f t="shared" si="42"/>
        <v>Error?</v>
      </c>
    </row>
    <row r="2790" spans="1:4" x14ac:dyDescent="0.2">
      <c r="A2790" s="5">
        <v>2729</v>
      </c>
      <c r="B2790" s="138">
        <f>'Expenditures 15-22'!E102</f>
        <v>10350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104440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401819</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503142</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517299</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86599</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13928</v>
      </c>
      <c r="D2908" s="2" t="str">
        <f t="shared" si="44"/>
        <v>Error?</v>
      </c>
    </row>
    <row r="2909" spans="1:4" x14ac:dyDescent="0.2">
      <c r="A2909" s="10">
        <v>2848</v>
      </c>
      <c r="D2909" s="2" t="str">
        <f t="shared" si="44"/>
        <v>OK</v>
      </c>
    </row>
    <row r="2910" spans="1:4" x14ac:dyDescent="0.2">
      <c r="A2910" s="5">
        <v>2849</v>
      </c>
      <c r="B2910" s="138">
        <f>'Assets-Liab 5-6'!I34</f>
        <v>13928</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503371</v>
      </c>
      <c r="D2912" s="2" t="str">
        <f t="shared" si="44"/>
        <v>Error?</v>
      </c>
    </row>
    <row r="2913" spans="1:4" x14ac:dyDescent="0.2">
      <c r="A2913" s="5">
        <v>2852</v>
      </c>
      <c r="B2913" s="138">
        <f>'Assets-Liab 5-6'!I41</f>
        <v>517299</v>
      </c>
      <c r="C2913" s="2" t="s">
        <v>573</v>
      </c>
      <c r="D2913" s="2" t="str">
        <f t="shared" si="44"/>
        <v>Error?</v>
      </c>
    </row>
    <row r="2914" spans="1:4" x14ac:dyDescent="0.2">
      <c r="A2914" s="5">
        <v>2853</v>
      </c>
      <c r="B2914" s="138">
        <f>'Assets-Liab 5-6'!L33</f>
        <v>86599</v>
      </c>
      <c r="D2914" s="2" t="str">
        <f t="shared" si="44"/>
        <v>Error?</v>
      </c>
    </row>
    <row r="2915" spans="1:4" x14ac:dyDescent="0.2">
      <c r="A2915" s="10">
        <v>2854</v>
      </c>
      <c r="D2915" s="2" t="str">
        <f t="shared" si="44"/>
        <v>OK</v>
      </c>
    </row>
    <row r="2916" spans="1:4" x14ac:dyDescent="0.2">
      <c r="A2916" s="5">
        <v>2855</v>
      </c>
      <c r="B2916" s="138">
        <f>'Assets-Liab 5-6'!L34</f>
        <v>86599</v>
      </c>
      <c r="C2916" s="2" t="s">
        <v>573</v>
      </c>
      <c r="D2916" s="2" t="str">
        <f t="shared" si="44"/>
        <v>Error?</v>
      </c>
    </row>
    <row r="2917" spans="1:4" x14ac:dyDescent="0.2">
      <c r="A2917" s="5">
        <v>2856</v>
      </c>
      <c r="B2917" s="138">
        <f>'Assets-Liab 5-6'!L41</f>
        <v>86599</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10350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10350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146117</v>
      </c>
      <c r="D3055" s="2" t="str">
        <f t="shared" si="46"/>
        <v>Error?</v>
      </c>
    </row>
    <row r="3056" spans="1:4" x14ac:dyDescent="0.2">
      <c r="A3056" s="5">
        <v>2995</v>
      </c>
      <c r="B3056" s="138">
        <f>'Expenditures 15-22'!D10</f>
        <v>38533</v>
      </c>
      <c r="D3056" s="2" t="str">
        <f t="shared" si="46"/>
        <v>Error?</v>
      </c>
    </row>
    <row r="3057" spans="1:4" x14ac:dyDescent="0.2">
      <c r="A3057" s="5">
        <v>2996</v>
      </c>
      <c r="B3057" s="138">
        <f>'Expenditures 15-22'!E10</f>
        <v>375</v>
      </c>
      <c r="D3057" s="2" t="str">
        <f t="shared" si="46"/>
        <v>Error?</v>
      </c>
    </row>
    <row r="3058" spans="1:4" x14ac:dyDescent="0.2">
      <c r="A3058" s="5">
        <v>2997</v>
      </c>
      <c r="B3058" s="138">
        <f>'Expenditures 15-22'!F10</f>
        <v>20261</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205286</v>
      </c>
      <c r="C3062" s="2" t="s">
        <v>573</v>
      </c>
      <c r="D3062" s="2" t="str">
        <f t="shared" si="46"/>
        <v>Error?</v>
      </c>
    </row>
    <row r="3063" spans="1:4" x14ac:dyDescent="0.2">
      <c r="A3063" s="10">
        <v>3002</v>
      </c>
      <c r="D3063" s="2" t="str">
        <f t="shared" si="46"/>
        <v>OK</v>
      </c>
    </row>
    <row r="3064" spans="1:4" x14ac:dyDescent="0.2">
      <c r="A3064" s="5">
        <v>3003</v>
      </c>
      <c r="B3064" s="138">
        <f>'Expenditures 15-22'!D219</f>
        <v>3367</v>
      </c>
      <c r="D3064" s="2" t="str">
        <f t="shared" si="46"/>
        <v>Error?</v>
      </c>
    </row>
    <row r="3065" spans="1:4" x14ac:dyDescent="0.2">
      <c r="A3065" s="5">
        <v>3004</v>
      </c>
      <c r="B3065" s="138">
        <f>'Expenditures 15-22'!K219</f>
        <v>3367</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51259</v>
      </c>
      <c r="C3225" s="2" t="s">
        <v>573</v>
      </c>
      <c r="D3225" s="2" t="str">
        <f t="shared" si="49"/>
        <v>Error?</v>
      </c>
    </row>
    <row r="3226" spans="1:4" x14ac:dyDescent="0.2">
      <c r="A3226" s="5">
        <v>3165</v>
      </c>
      <c r="B3226" s="138">
        <f>'Acct Summary 7-8'!I8</f>
        <v>51259</v>
      </c>
      <c r="C3226" s="2" t="s">
        <v>573</v>
      </c>
      <c r="D3226" s="2" t="str">
        <f t="shared" si="49"/>
        <v>Error?</v>
      </c>
    </row>
    <row r="3227" spans="1:4" x14ac:dyDescent="0.2">
      <c r="A3227" s="5">
        <v>3166</v>
      </c>
      <c r="B3227" s="138">
        <f>'Acct Summary 7-8'!I20</f>
        <v>51259</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-51328</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11063</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47461</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72554</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-259</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51259</v>
      </c>
      <c r="C3320" s="2" t="s">
        <v>573</v>
      </c>
      <c r="D3320" s="2" t="str">
        <f t="shared" si="50"/>
        <v>Error?</v>
      </c>
    </row>
    <row r="3321" spans="1:4" x14ac:dyDescent="0.2">
      <c r="A3321" s="5">
        <v>3260</v>
      </c>
      <c r="B3321" s="138">
        <f>'Acct Summary 7-8'!I79</f>
        <v>452112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503371</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271449</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29153</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1454</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302056</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21964</v>
      </c>
      <c r="D3387" s="2" t="str">
        <f t="shared" si="51"/>
        <v>Error?</v>
      </c>
    </row>
    <row r="3388" spans="1:4" x14ac:dyDescent="0.2">
      <c r="A3388" s="5">
        <v>3327</v>
      </c>
      <c r="B3388" s="138">
        <f>'Expenditures 15-22'!D217</f>
        <v>19705</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21964</v>
      </c>
      <c r="C3390" s="2" t="s">
        <v>573</v>
      </c>
      <c r="D3390" s="2" t="str">
        <f t="shared" si="51"/>
        <v>Error?</v>
      </c>
    </row>
    <row r="3391" spans="1:4" x14ac:dyDescent="0.2">
      <c r="A3391" s="5">
        <v>3330</v>
      </c>
      <c r="B3391" s="138">
        <f>'Expenditures 15-22'!K217</f>
        <v>19705</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1119429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525959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116778</v>
      </c>
      <c r="D3417" s="2" t="str">
        <f t="shared" si="52"/>
        <v>Error?</v>
      </c>
    </row>
    <row r="3418" spans="1:4" x14ac:dyDescent="0.2">
      <c r="A3418" s="10">
        <v>3357</v>
      </c>
      <c r="D3418" s="2" t="str">
        <f t="shared" si="52"/>
        <v>OK</v>
      </c>
    </row>
    <row r="3419" spans="1:4" x14ac:dyDescent="0.2">
      <c r="A3419" s="5">
        <v>3358</v>
      </c>
      <c r="B3419" s="138">
        <f>'Assets-Liab 5-6'!F4</f>
        <v>339472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409875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14157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86599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128706</v>
      </c>
      <c r="C3446" s="2" t="s">
        <v>573</v>
      </c>
      <c r="D3446" s="2" t="str">
        <f t="shared" si="52"/>
        <v>Error?</v>
      </c>
    </row>
    <row r="3447" spans="1:4" x14ac:dyDescent="0.2">
      <c r="A3447" s="5">
        <v>3386</v>
      </c>
      <c r="B3447" s="138">
        <f>'Tax Sched 23'!D16</f>
        <v>128706</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100019</v>
      </c>
      <c r="C3449" s="2" t="s">
        <v>573</v>
      </c>
      <c r="D3449" s="2" t="str">
        <f t="shared" si="52"/>
        <v>Error?</v>
      </c>
    </row>
    <row r="3450" spans="1:4" x14ac:dyDescent="0.2">
      <c r="A3450" s="5">
        <v>3389</v>
      </c>
      <c r="B3450" s="138">
        <f>'Tax Sched 23'!E16</f>
        <v>100019</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358330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358330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13928</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13928</v>
      </c>
      <c r="C3565" s="2" t="s">
        <v>573</v>
      </c>
      <c r="D3565" s="2" t="str">
        <f t="shared" si="54"/>
        <v>Error?</v>
      </c>
    </row>
    <row r="3566" spans="1:4" x14ac:dyDescent="0.2">
      <c r="A3566" s="5">
        <v>3505</v>
      </c>
      <c r="B3566" s="138">
        <f>'Assets-Liab 5-6'!K38</f>
        <v>344402</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358330</v>
      </c>
      <c r="C3568" s="2" t="s">
        <v>573</v>
      </c>
      <c r="D3568" s="2" t="str">
        <f t="shared" si="54"/>
        <v>Error?</v>
      </c>
    </row>
    <row r="3569" spans="1:4" x14ac:dyDescent="0.2">
      <c r="A3569" s="5">
        <v>3508</v>
      </c>
      <c r="B3569" s="138">
        <f>'Acct Summary 7-8'!K4</f>
        <v>48116</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48116</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48116</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48116</v>
      </c>
      <c r="C3588" s="2" t="s">
        <v>573</v>
      </c>
      <c r="D3588" s="2" t="str">
        <f t="shared" si="55"/>
        <v>Error?</v>
      </c>
    </row>
    <row r="3589" spans="1:4" x14ac:dyDescent="0.2">
      <c r="A3589" s="5">
        <v>3528</v>
      </c>
      <c r="B3589" s="138">
        <f>'Acct Summary 7-8'!K79</f>
        <v>296286</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344402</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48116</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278</v>
      </c>
      <c r="D3721" s="2" t="str">
        <f t="shared" si="57"/>
        <v>Error?</v>
      </c>
    </row>
    <row r="3722" spans="1:4" x14ac:dyDescent="0.2">
      <c r="A3722" s="5">
        <v>3661</v>
      </c>
      <c r="B3722" s="138">
        <f>'Expenditures 15-22'!D285</f>
        <v>278</v>
      </c>
      <c r="C3722" s="2" t="s">
        <v>573</v>
      </c>
      <c r="D3722" s="2" t="str">
        <f t="shared" si="57"/>
        <v>Error?</v>
      </c>
    </row>
    <row r="3723" spans="1:4" x14ac:dyDescent="0.2">
      <c r="A3723" s="5">
        <v>3662</v>
      </c>
      <c r="B3723" s="138">
        <f>'Expenditures 15-22'!K283</f>
        <v>278</v>
      </c>
      <c r="C3723" s="2" t="s">
        <v>573</v>
      </c>
      <c r="D3723" s="2" t="str">
        <f t="shared" si="57"/>
        <v>Error?</v>
      </c>
    </row>
    <row r="3724" spans="1:4" x14ac:dyDescent="0.2">
      <c r="A3724" s="5">
        <v>3663</v>
      </c>
      <c r="B3724" s="138">
        <f>'Expenditures 15-22'!K285</f>
        <v>278</v>
      </c>
      <c r="C3724" s="2" t="s">
        <v>573</v>
      </c>
      <c r="D3724" s="2" t="str">
        <f t="shared" si="57"/>
        <v>Error?</v>
      </c>
    </row>
    <row r="3725" spans="1:4" x14ac:dyDescent="0.2">
      <c r="A3725" s="5">
        <v>3664</v>
      </c>
      <c r="B3725" s="138">
        <f>'Tax Sched 23'!B13</f>
        <v>48059</v>
      </c>
      <c r="C3725" s="2" t="s">
        <v>573</v>
      </c>
      <c r="D3725" s="2" t="str">
        <f t="shared" si="57"/>
        <v>Error?</v>
      </c>
    </row>
    <row r="3726" spans="1:4" x14ac:dyDescent="0.2">
      <c r="A3726" s="5">
        <v>3665</v>
      </c>
      <c r="B3726" s="138">
        <f>'Tax Sched 23'!D13</f>
        <v>48059</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50210</v>
      </c>
      <c r="C3728" s="2" t="s">
        <v>573</v>
      </c>
      <c r="D3728" s="2" t="str">
        <f t="shared" si="57"/>
        <v>Error?</v>
      </c>
    </row>
    <row r="3729" spans="1:4" x14ac:dyDescent="0.2">
      <c r="A3729" s="5">
        <v>3668</v>
      </c>
      <c r="B3729" s="138">
        <f>'Tax Sched 23'!E13</f>
        <v>50210</v>
      </c>
      <c r="D3729" s="2" t="str">
        <f t="shared" si="57"/>
        <v>Error?</v>
      </c>
    </row>
    <row r="3730" spans="1:4" x14ac:dyDescent="0.2">
      <c r="A3730" s="5">
        <v>3669</v>
      </c>
      <c r="B3730" s="138">
        <f>'ICR Computation 30'!E10</f>
        <v>27701</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1818763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5340198</v>
      </c>
      <c r="C4122" s="2" t="s">
        <v>573</v>
      </c>
      <c r="D4122" s="2" t="str">
        <f t="shared" si="63"/>
        <v>Error?</v>
      </c>
    </row>
    <row r="4123" spans="1:4" x14ac:dyDescent="0.2">
      <c r="A4123" s="5">
        <v>4062</v>
      </c>
      <c r="B4123" s="138">
        <f>'Acct Summary 7-8'!D10</f>
        <v>336114</v>
      </c>
      <c r="C4123" s="2" t="s">
        <v>573</v>
      </c>
      <c r="D4123" s="2" t="str">
        <f t="shared" si="63"/>
        <v>Error?</v>
      </c>
    </row>
    <row r="4124" spans="1:4" x14ac:dyDescent="0.2">
      <c r="A4124" s="5">
        <v>4063</v>
      </c>
      <c r="B4124" s="138">
        <f>'Acct Summary 7-8'!E10</f>
        <v>163024</v>
      </c>
      <c r="C4124" s="2" t="s">
        <v>573</v>
      </c>
      <c r="D4124" s="2" t="str">
        <f t="shared" si="63"/>
        <v>Error?</v>
      </c>
    </row>
    <row r="4125" spans="1:4" x14ac:dyDescent="0.2">
      <c r="A4125" s="5">
        <v>4064</v>
      </c>
      <c r="B4125" s="138">
        <f>'Acct Summary 7-8'!F10</f>
        <v>180203</v>
      </c>
      <c r="C4125" s="2" t="s">
        <v>573</v>
      </c>
      <c r="D4125" s="2" t="str">
        <f t="shared" si="63"/>
        <v>Error?</v>
      </c>
    </row>
    <row r="4126" spans="1:4" x14ac:dyDescent="0.2">
      <c r="A4126" s="5">
        <v>4065</v>
      </c>
      <c r="B4126" s="138">
        <f>'Acct Summary 7-8'!G10</f>
        <v>217322</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51259</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48116</v>
      </c>
      <c r="C4130" s="2" t="s">
        <v>573</v>
      </c>
      <c r="D4130" s="2" t="str">
        <f t="shared" si="63"/>
        <v>Error?</v>
      </c>
    </row>
    <row r="4131" spans="1:4" x14ac:dyDescent="0.2">
      <c r="A4131" s="5">
        <v>4070</v>
      </c>
      <c r="B4131" s="138">
        <f>'Acct Summary 7-8'!C18</f>
        <v>1818763</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5391526</v>
      </c>
      <c r="C4136" s="2" t="s">
        <v>573</v>
      </c>
      <c r="D4136" s="2" t="str">
        <f t="shared" si="63"/>
        <v>Error?</v>
      </c>
    </row>
    <row r="4137" spans="1:4" x14ac:dyDescent="0.2">
      <c r="A4137" s="5">
        <v>4076</v>
      </c>
      <c r="B4137" s="138">
        <f>'Acct Summary 7-8'!D19</f>
        <v>325051</v>
      </c>
      <c r="C4137" s="2" t="s">
        <v>573</v>
      </c>
      <c r="D4137" s="2" t="str">
        <f t="shared" si="63"/>
        <v>Error?</v>
      </c>
    </row>
    <row r="4138" spans="1:4" x14ac:dyDescent="0.2">
      <c r="A4138" s="5">
        <v>4077</v>
      </c>
      <c r="B4138" s="138">
        <f>'Acct Summary 7-8'!E19</f>
        <v>163283</v>
      </c>
      <c r="C4138" s="2" t="s">
        <v>573</v>
      </c>
      <c r="D4138" s="2" t="str">
        <f t="shared" si="63"/>
        <v>Error?</v>
      </c>
    </row>
    <row r="4139" spans="1:4" x14ac:dyDescent="0.2">
      <c r="A4139" s="5">
        <v>4078</v>
      </c>
      <c r="B4139" s="138">
        <f>'Acct Summary 7-8'!F19</f>
        <v>132742</v>
      </c>
      <c r="C4139" s="2" t="s">
        <v>573</v>
      </c>
      <c r="D4139" s="2" t="str">
        <f t="shared" si="63"/>
        <v>Error?</v>
      </c>
    </row>
    <row r="4140" spans="1:4" x14ac:dyDescent="0.2">
      <c r="A4140" s="5">
        <v>4079</v>
      </c>
      <c r="B4140" s="138">
        <f>'Acct Summary 7-8'!G19</f>
        <v>144768</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270000</v>
      </c>
      <c r="C4171" s="2" t="s">
        <v>573</v>
      </c>
      <c r="D4171" s="2" t="str">
        <f t="shared" si="64"/>
        <v>Error?</v>
      </c>
    </row>
    <row r="4172" spans="1:4" x14ac:dyDescent="0.2">
      <c r="A4172" s="5">
        <v>4111</v>
      </c>
      <c r="B4172" s="138">
        <f>'Short-Term Long-Term Debt 24'!J49</f>
        <v>153222</v>
      </c>
      <c r="C4172" s="2" t="s">
        <v>573</v>
      </c>
      <c r="D4172" s="2" t="str">
        <f t="shared" si="64"/>
        <v>Error?</v>
      </c>
    </row>
    <row r="4173" spans="1:4" x14ac:dyDescent="0.2">
      <c r="A4173" s="5">
        <v>4112</v>
      </c>
      <c r="B4173" s="138">
        <f>'Short-Term Long-Term Debt 24'!H49</f>
        <v>150000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200</v>
      </c>
      <c r="C4265" s="2" t="s">
        <v>573</v>
      </c>
      <c r="D4265" s="2" t="str">
        <f t="shared" si="65"/>
        <v>Error?</v>
      </c>
      <c r="E4265" s="128"/>
    </row>
    <row r="4266" spans="1:5" x14ac:dyDescent="0.2">
      <c r="A4266" s="12">
        <v>4205</v>
      </c>
      <c r="B4266" s="138">
        <f>('FP Info 3'!F10)*100000</f>
        <v>250</v>
      </c>
      <c r="C4266" s="2" t="s">
        <v>573</v>
      </c>
      <c r="D4266" s="2" t="str">
        <f t="shared" si="65"/>
        <v>Error?</v>
      </c>
      <c r="E4266" s="128"/>
    </row>
    <row r="4267" spans="1:5" x14ac:dyDescent="0.2">
      <c r="A4267" s="12">
        <v>4206</v>
      </c>
      <c r="B4267" s="138">
        <f>('FP Info 3'!H10)*100000</f>
        <v>119.99999999999999</v>
      </c>
      <c r="C4267" s="2" t="s">
        <v>573</v>
      </c>
      <c r="D4267" s="2" t="str">
        <f t="shared" si="65"/>
        <v>Error?</v>
      </c>
      <c r="E4267" s="128"/>
    </row>
    <row r="4268" spans="1:5" x14ac:dyDescent="0.2">
      <c r="A4268" s="12">
        <v>4207</v>
      </c>
      <c r="B4268" s="138">
        <f>('FP Info 3'!J10)*100000</f>
        <v>570</v>
      </c>
      <c r="C4268" s="2" t="s">
        <v>573</v>
      </c>
      <c r="D4268" s="2" t="str">
        <f t="shared" si="65"/>
        <v>Error?</v>
      </c>
    </row>
    <row r="4269" spans="1:5" x14ac:dyDescent="0.2">
      <c r="A4269" s="12">
        <v>4208</v>
      </c>
      <c r="B4269" s="138">
        <f>'FP Info 3'!J16</f>
        <v>3770450</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4604</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7659</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11752</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8877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100420958</v>
      </c>
      <c r="D4995" s="2" t="str">
        <f t="shared" si="77"/>
        <v>Error?</v>
      </c>
    </row>
    <row r="4996" spans="1:4" x14ac:dyDescent="0.2">
      <c r="A4996" s="12">
        <v>4935</v>
      </c>
      <c r="B4996" s="138">
        <f>'FP Info 3'!H31</f>
        <v>6929046.1020000009</v>
      </c>
      <c r="D4996" s="2" t="str">
        <f t="shared" si="77"/>
        <v>Error?</v>
      </c>
    </row>
    <row r="4997" spans="1:4" x14ac:dyDescent="0.2">
      <c r="A4997" s="12">
        <v>4936</v>
      </c>
      <c r="B4997" s="138">
        <f>'FP Info 3'!H37</f>
        <v>270000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1922395</v>
      </c>
      <c r="D5061" s="2" t="str">
        <f t="shared" si="78"/>
        <v>Error?</v>
      </c>
    </row>
    <row r="5062" spans="1:4" x14ac:dyDescent="0.2">
      <c r="A5062" s="10">
        <v>5001</v>
      </c>
      <c r="D5062" s="2" t="str">
        <f t="shared" si="78"/>
        <v>OK</v>
      </c>
    </row>
    <row r="5063" spans="1:4" x14ac:dyDescent="0.2">
      <c r="A5063" s="5">
        <v>5002</v>
      </c>
      <c r="B5063" s="138">
        <f>'Revenues 9-14'!C7</f>
        <v>19225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1941620</v>
      </c>
      <c r="C5066" s="2" t="s">
        <v>573</v>
      </c>
      <c r="D5066" s="2" t="str">
        <f t="shared" si="78"/>
        <v>Error?</v>
      </c>
    </row>
    <row r="5067" spans="1:4" x14ac:dyDescent="0.2">
      <c r="A5067" s="5">
        <v>5006</v>
      </c>
      <c r="B5067" s="138">
        <f>'Revenues 9-14'!C14</f>
        <v>2353</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2353</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5621</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5621</v>
      </c>
      <c r="C5087" s="2" t="s">
        <v>573</v>
      </c>
      <c r="D5087" s="2" t="str">
        <f t="shared" si="78"/>
        <v>Error?</v>
      </c>
    </row>
    <row r="5088" spans="1:4" x14ac:dyDescent="0.2">
      <c r="A5088" s="5">
        <v>5027</v>
      </c>
      <c r="B5088" s="138">
        <f>'Revenues 9-14'!C65</f>
        <v>21949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21949</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14449</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41632</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41632</v>
      </c>
      <c r="C5102" s="2" t="s">
        <v>573</v>
      </c>
      <c r="D5102" s="2" t="str">
        <f t="shared" si="78"/>
        <v>Error?</v>
      </c>
    </row>
    <row r="5103" spans="1:4" x14ac:dyDescent="0.2">
      <c r="A5103" s="5">
        <v>5042</v>
      </c>
      <c r="B5103" s="138">
        <f>'Revenues 9-14'!C84</f>
        <v>50159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50159</v>
      </c>
      <c r="C5112" s="2" t="s">
        <v>573</v>
      </c>
      <c r="D5112" s="2" t="str">
        <f t="shared" si="78"/>
        <v>Error?</v>
      </c>
    </row>
    <row r="5113" spans="1:4" x14ac:dyDescent="0.2">
      <c r="A5113" s="5">
        <v>5052</v>
      </c>
      <c r="B5113" s="138">
        <f>'Revenues 9-14'!C95</f>
        <v>8428</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19335</v>
      </c>
      <c r="D5119" s="2" t="str">
        <f t="shared" ref="D5119:D5182" si="79">IF(ISBLANK(B5119),"OK",IF(A5119-B5119=0,"OK","Error?"))</f>
        <v>Error?</v>
      </c>
    </row>
    <row r="5120" spans="1:4" x14ac:dyDescent="0.2">
      <c r="A5120" s="5">
        <v>5059</v>
      </c>
      <c r="B5120" s="138">
        <f>'Revenues 9-14'!C108</f>
        <v>27763</v>
      </c>
      <c r="C5120" s="2" t="s">
        <v>573</v>
      </c>
      <c r="D5120" s="2" t="str">
        <f t="shared" si="79"/>
        <v>Error?</v>
      </c>
    </row>
    <row r="5121" spans="1:4" x14ac:dyDescent="0.2">
      <c r="A5121" s="5">
        <v>5060</v>
      </c>
      <c r="B5121" s="138">
        <f>'Revenues 9-14'!C109</f>
        <v>2105546</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1189071</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1189071</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350</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350</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1189421</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30654</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30654</v>
      </c>
      <c r="C5246" s="2" t="s">
        <v>573</v>
      </c>
      <c r="D5246" s="2" t="str">
        <f t="shared" si="80"/>
        <v>Error?</v>
      </c>
    </row>
    <row r="5247" spans="1:4" x14ac:dyDescent="0.2">
      <c r="A5247" s="5">
        <v>5186</v>
      </c>
      <c r="B5247" s="138">
        <f>'Revenues 9-14'!C200</f>
        <v>59768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11752</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59768</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96483</v>
      </c>
      <c r="D5278" s="2" t="str">
        <f t="shared" si="81"/>
        <v>Error?</v>
      </c>
    </row>
    <row r="5279" spans="1:4" x14ac:dyDescent="0.2">
      <c r="A5279" s="5">
        <v>5218</v>
      </c>
      <c r="B5279" s="138">
        <f>'Revenues 9-14'!C214</f>
        <v>6671</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103154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226468</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226468</v>
      </c>
      <c r="C5326" s="2" t="s">
        <v>573</v>
      </c>
      <c r="D5326" s="2" t="str">
        <f t="shared" si="82"/>
        <v>Error?</v>
      </c>
    </row>
    <row r="5327" spans="1:5" x14ac:dyDescent="0.2">
      <c r="A5327" s="5">
        <v>5266</v>
      </c>
      <c r="B5327" s="138">
        <f>'Revenues 9-14'!C268</f>
        <v>3521435</v>
      </c>
      <c r="C5327" s="2" t="s">
        <v>573</v>
      </c>
      <c r="D5327" s="2" t="str">
        <f t="shared" si="82"/>
        <v>Error?</v>
      </c>
    </row>
    <row r="5328" spans="1:5" x14ac:dyDescent="0.2">
      <c r="A5328" s="5">
        <v>5267</v>
      </c>
      <c r="B5328" s="138">
        <f>'Revenues 9-14'!D5</f>
        <v>240300</v>
      </c>
      <c r="D5328" s="2" t="str">
        <f t="shared" si="82"/>
        <v>Error?</v>
      </c>
    </row>
    <row r="5329" spans="1:4" x14ac:dyDescent="0.2">
      <c r="A5329" s="10">
        <v>5268</v>
      </c>
      <c r="D5329" s="2" t="str">
        <f t="shared" si="82"/>
        <v>OK</v>
      </c>
    </row>
    <row r="5330" spans="1:4" x14ac:dyDescent="0.2">
      <c r="A5330" s="5">
        <v>5269</v>
      </c>
      <c r="B5330" s="138">
        <f>'Revenues 9-14'!D6</f>
        <v>48059</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288359</v>
      </c>
      <c r="C5334" s="2" t="s">
        <v>573</v>
      </c>
      <c r="D5334" s="2" t="str">
        <f t="shared" si="82"/>
        <v>Error?</v>
      </c>
    </row>
    <row r="5335" spans="1:4" x14ac:dyDescent="0.2">
      <c r="A5335" s="5">
        <v>5274</v>
      </c>
      <c r="B5335" s="138">
        <f>'Revenues 9-14'!D14</f>
        <v>349</v>
      </c>
      <c r="D5335" s="2" t="str">
        <f t="shared" si="82"/>
        <v>Error?</v>
      </c>
    </row>
    <row r="5336" spans="1:4" x14ac:dyDescent="0.2">
      <c r="A5336" s="5">
        <v>5275</v>
      </c>
      <c r="B5336" s="138">
        <f>'Revenues 9-14'!D15</f>
        <v>0</v>
      </c>
      <c r="D5336" s="2" t="str">
        <f t="shared" si="82"/>
        <v>Error?</v>
      </c>
    </row>
    <row r="5337" spans="1:4" x14ac:dyDescent="0.2">
      <c r="A5337" s="5">
        <v>5276</v>
      </c>
      <c r="B5337" s="138">
        <f>'Revenues 9-14'!D16</f>
        <v>14316</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14665</v>
      </c>
      <c r="C5339" s="2" t="s">
        <v>573</v>
      </c>
      <c r="D5339" s="2" t="str">
        <f t="shared" si="82"/>
        <v>Error?</v>
      </c>
    </row>
    <row r="5340" spans="1:4" x14ac:dyDescent="0.2">
      <c r="A5340" s="5">
        <v>5279</v>
      </c>
      <c r="B5340" s="138">
        <f>'Revenues 9-14'!D65</f>
        <v>12002</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12002</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21088</v>
      </c>
      <c r="D5354" s="2" t="str">
        <f t="shared" si="82"/>
        <v>Error?</v>
      </c>
    </row>
    <row r="5355" spans="1:4" x14ac:dyDescent="0.2">
      <c r="A5355" s="5">
        <v>5294</v>
      </c>
      <c r="B5355" s="138">
        <f>'Revenues 9-14'!D108</f>
        <v>21088</v>
      </c>
      <c r="C5355" s="2" t="s">
        <v>573</v>
      </c>
      <c r="D5355" s="2" t="str">
        <f t="shared" si="82"/>
        <v>Error?</v>
      </c>
    </row>
    <row r="5356" spans="1:4" x14ac:dyDescent="0.2">
      <c r="A5356" s="5">
        <v>5295</v>
      </c>
      <c r="B5356" s="138">
        <f>'Revenues 9-14'!D109</f>
        <v>336114</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336114</v>
      </c>
      <c r="C5508" s="2" t="s">
        <v>573</v>
      </c>
      <c r="D5508" s="2" t="str">
        <f t="shared" si="85"/>
        <v>Error?</v>
      </c>
    </row>
    <row r="5509" spans="1:4" x14ac:dyDescent="0.2">
      <c r="A5509" s="5">
        <v>5448</v>
      </c>
      <c r="B5509" s="138">
        <f>'Revenues 9-14'!E5</f>
        <v>162827</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162827</v>
      </c>
      <c r="C5513" s="2" t="s">
        <v>573</v>
      </c>
      <c r="D5513" s="2" t="str">
        <f t="shared" si="85"/>
        <v>Error?</v>
      </c>
    </row>
    <row r="5514" spans="1:4" x14ac:dyDescent="0.2">
      <c r="A5514" s="5">
        <v>5453</v>
      </c>
      <c r="B5514" s="138">
        <f>'Revenues 9-14'!E14</f>
        <v>197</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197</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163024</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163024</v>
      </c>
      <c r="C5552" s="2" t="s">
        <v>573</v>
      </c>
      <c r="D5552" s="2" t="str">
        <f t="shared" si="85"/>
        <v>Error?</v>
      </c>
    </row>
    <row r="5553" spans="1:4" x14ac:dyDescent="0.2">
      <c r="A5553" s="5">
        <v>5492</v>
      </c>
      <c r="B5553" s="138">
        <f>'Revenues 9-14'!F5</f>
        <v>115343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115343</v>
      </c>
      <c r="C5557" s="2" t="s">
        <v>573</v>
      </c>
      <c r="D5557" s="2" t="str">
        <f t="shared" si="85"/>
        <v>Error?</v>
      </c>
    </row>
    <row r="5558" spans="1:4" x14ac:dyDescent="0.2">
      <c r="A5558" s="5">
        <v>5497</v>
      </c>
      <c r="B5558" s="138">
        <f>'Revenues 9-14'!F14</f>
        <v>140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140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4297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4297</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119780</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34425</v>
      </c>
      <c r="D5615" s="2" t="str">
        <f t="shared" si="86"/>
        <v>Error?</v>
      </c>
    </row>
    <row r="5616" spans="1:4" x14ac:dyDescent="0.2">
      <c r="A5616" s="10">
        <v>5555</v>
      </c>
      <c r="D5616" s="2" t="str">
        <f t="shared" si="86"/>
        <v>OK</v>
      </c>
    </row>
    <row r="5617" spans="1:5" x14ac:dyDescent="0.2">
      <c r="A5617" s="5">
        <v>5556</v>
      </c>
      <c r="B5617" s="138">
        <f>'Revenues 9-14'!F153</f>
        <v>25998</v>
      </c>
      <c r="D5617" s="2" t="str">
        <f t="shared" si="86"/>
        <v>Error?</v>
      </c>
    </row>
    <row r="5618" spans="1:5" x14ac:dyDescent="0.2">
      <c r="A5618" s="5">
        <v>5557</v>
      </c>
      <c r="B5618" s="138">
        <f>'Revenues 9-14'!F155</f>
        <v>60423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60423</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60423</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180203</v>
      </c>
      <c r="C5720" s="2" t="s">
        <v>573</v>
      </c>
      <c r="D5720" s="2" t="str">
        <f t="shared" si="88"/>
        <v>Error?</v>
      </c>
    </row>
    <row r="5721" spans="1:4" x14ac:dyDescent="0.2">
      <c r="A5721" s="5">
        <v>5660</v>
      </c>
      <c r="B5721" s="138">
        <f>'Revenues 9-14'!G5</f>
        <v>84778</v>
      </c>
      <c r="D5721" s="2" t="str">
        <f t="shared" si="88"/>
        <v>Error?</v>
      </c>
    </row>
    <row r="5722" spans="1:4" x14ac:dyDescent="0.2">
      <c r="A5722" s="5">
        <v>5661</v>
      </c>
      <c r="B5722" s="138">
        <f>'Revenues 9-14'!G7</f>
        <v>0</v>
      </c>
      <c r="D5722" s="2" t="str">
        <f t="shared" si="88"/>
        <v>Error?</v>
      </c>
    </row>
    <row r="5723" spans="1:4" x14ac:dyDescent="0.2">
      <c r="A5723" s="5">
        <v>5662</v>
      </c>
      <c r="B5723" s="138">
        <f>'Revenues 9-14'!G8</f>
        <v>128706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213484</v>
      </c>
      <c r="C5725" s="2" t="s">
        <v>573</v>
      </c>
      <c r="D5725" s="2" t="str">
        <f t="shared" si="88"/>
        <v>Error?</v>
      </c>
    </row>
    <row r="5726" spans="1:4" x14ac:dyDescent="0.2">
      <c r="A5726" s="5">
        <v>5665</v>
      </c>
      <c r="B5726" s="138">
        <f>'Revenues 9-14'!G14</f>
        <v>259</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3579</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3838</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217322</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48059</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48059</v>
      </c>
      <c r="C5918" s="2" t="s">
        <v>573</v>
      </c>
      <c r="D5918" s="2" t="str">
        <f t="shared" si="91"/>
        <v>Error?</v>
      </c>
    </row>
    <row r="5919" spans="1:4" x14ac:dyDescent="0.2">
      <c r="A5919" s="5">
        <v>5858</v>
      </c>
      <c r="B5919" s="138">
        <f>'Revenues 9-14'!I14</f>
        <v>58</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58</v>
      </c>
      <c r="C5923" s="2" t="s">
        <v>573</v>
      </c>
      <c r="D5923" s="2" t="str">
        <f t="shared" si="91"/>
        <v>Error?</v>
      </c>
    </row>
    <row r="5924" spans="1:4" x14ac:dyDescent="0.2">
      <c r="A5924" s="5">
        <v>5863</v>
      </c>
      <c r="B5924" s="138">
        <f>'Revenues 9-14'!I65</f>
        <v>3142</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3142</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51259</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48059</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48059</v>
      </c>
      <c r="C5987" s="2" t="s">
        <v>573</v>
      </c>
      <c r="D5987" s="2" t="str">
        <f t="shared" si="92"/>
        <v>Error?</v>
      </c>
    </row>
    <row r="5988" spans="1:4" x14ac:dyDescent="0.2">
      <c r="A5988" s="5">
        <v>5927</v>
      </c>
      <c r="B5988" s="138">
        <f>'Revenues 9-14'!K14</f>
        <v>57</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57</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48116</v>
      </c>
      <c r="C6023" s="2" t="s">
        <v>573</v>
      </c>
      <c r="D6023" s="2" t="str">
        <f t="shared" si="93"/>
        <v>Error?</v>
      </c>
    </row>
    <row r="6024" spans="1:5" x14ac:dyDescent="0.2">
      <c r="A6024" s="5">
        <v>5963</v>
      </c>
      <c r="B6024" s="138">
        <f>'Revenues 9-14'!G109</f>
        <v>217322</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51259</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48116</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14449</v>
      </c>
      <c r="D6031" s="2" t="str">
        <f t="shared" si="93"/>
        <v>Error?</v>
      </c>
    </row>
    <row r="6032" spans="1:5" x14ac:dyDescent="0.2">
      <c r="A6032" s="5">
        <v>5971</v>
      </c>
      <c r="B6032" s="138">
        <f>'Acct Summary 7-8'!G15</f>
        <v>278</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512.34</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275234</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109220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109220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166014</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275234</v>
      </c>
      <c r="D6216" s="2" t="str">
        <f t="shared" si="96"/>
        <v>Error?</v>
      </c>
      <c r="E6216" s="2" t="s">
        <v>190</v>
      </c>
    </row>
    <row r="6217" spans="1:5" x14ac:dyDescent="0.2">
      <c r="A6217">
        <v>6156</v>
      </c>
      <c r="B6217" s="138">
        <f>'Assets-Liab 5-6'!J4</f>
        <v>275234</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348354</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348354</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348354</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343384</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343384</v>
      </c>
      <c r="D6229" s="2" t="str">
        <f t="shared" si="96"/>
        <v>Error?</v>
      </c>
      <c r="E6229" s="2" t="s">
        <v>190</v>
      </c>
    </row>
    <row r="6230" spans="1:5" x14ac:dyDescent="0.2">
      <c r="A6230">
        <v>6169</v>
      </c>
      <c r="B6230" s="138">
        <f>'Acct Summary 7-8'!J20</f>
        <v>4970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4970</v>
      </c>
      <c r="D6263" s="2" t="str">
        <f t="shared" si="96"/>
        <v>Error?</v>
      </c>
      <c r="E6263" s="2" t="s">
        <v>190</v>
      </c>
    </row>
    <row r="6264" spans="1:5" x14ac:dyDescent="0.2">
      <c r="A6264">
        <v>6203</v>
      </c>
      <c r="B6264" s="138">
        <f>'Acct Summary 7-8'!J79</f>
        <v>161044</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166014</v>
      </c>
      <c r="D6266" s="2" t="str">
        <f t="shared" si="96"/>
        <v>Error?</v>
      </c>
      <c r="E6266" s="2" t="s">
        <v>190</v>
      </c>
    </row>
    <row r="6267" spans="1:5" x14ac:dyDescent="0.2">
      <c r="A6267">
        <v>6206</v>
      </c>
      <c r="B6267" s="138">
        <f>'Acct Summary 7-8'!C82</f>
        <v>-51328</v>
      </c>
      <c r="D6267" s="2" t="str">
        <f t="shared" si="96"/>
        <v>Error?</v>
      </c>
      <c r="E6267" s="2" t="s">
        <v>190</v>
      </c>
    </row>
    <row r="6268" spans="1:5" x14ac:dyDescent="0.2">
      <c r="A6268">
        <v>6207</v>
      </c>
      <c r="B6268" s="138">
        <f>'Acct Summary 7-8'!D82</f>
        <v>11063</v>
      </c>
      <c r="D6268" s="2" t="str">
        <f t="shared" si="96"/>
        <v>Error?</v>
      </c>
      <c r="E6268" s="2" t="s">
        <v>190</v>
      </c>
    </row>
    <row r="6269" spans="1:5" x14ac:dyDescent="0.2">
      <c r="A6269">
        <v>6208</v>
      </c>
      <c r="B6269" s="138">
        <f>'Acct Summary 7-8'!E82</f>
        <v>-259</v>
      </c>
      <c r="D6269" s="2" t="str">
        <f t="shared" si="96"/>
        <v>Error?</v>
      </c>
      <c r="E6269" s="2" t="s">
        <v>190</v>
      </c>
    </row>
    <row r="6270" spans="1:5" x14ac:dyDescent="0.2">
      <c r="A6270">
        <v>6209</v>
      </c>
      <c r="B6270" s="138">
        <f>'Acct Summary 7-8'!F82</f>
        <v>47461</v>
      </c>
      <c r="D6270" s="2" t="str">
        <f t="shared" si="96"/>
        <v>Error?</v>
      </c>
      <c r="E6270" s="2" t="s">
        <v>190</v>
      </c>
    </row>
    <row r="6271" spans="1:5" x14ac:dyDescent="0.2">
      <c r="A6271">
        <v>6210</v>
      </c>
      <c r="B6271" s="138">
        <f>'Acct Summary 7-8'!G82</f>
        <v>72554</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51259</v>
      </c>
      <c r="D6273" s="2" t="str">
        <f t="shared" si="97"/>
        <v>Error?</v>
      </c>
      <c r="E6273" s="2" t="s">
        <v>190</v>
      </c>
    </row>
    <row r="6274" spans="1:5" x14ac:dyDescent="0.2">
      <c r="A6274">
        <v>6213</v>
      </c>
      <c r="B6274" s="138">
        <f>'Acct Summary 7-8'!J82</f>
        <v>4970</v>
      </c>
      <c r="D6274" s="2" t="str">
        <f t="shared" si="97"/>
        <v>Error?</v>
      </c>
      <c r="E6274" s="2" t="s">
        <v>190</v>
      </c>
    </row>
    <row r="6275" spans="1:5" x14ac:dyDescent="0.2">
      <c r="A6275">
        <v>6214</v>
      </c>
      <c r="B6275" s="138">
        <f>'Acct Summary 7-8'!K82</f>
        <v>48116</v>
      </c>
      <c r="D6275" s="2" t="str">
        <f t="shared" si="97"/>
        <v>Error?</v>
      </c>
      <c r="E6275" s="2" t="s">
        <v>190</v>
      </c>
    </row>
    <row r="6276" spans="1:5" x14ac:dyDescent="0.2">
      <c r="A6276">
        <v>6215</v>
      </c>
      <c r="B6276" s="138">
        <f>'Acct Summary 7-8'!C83</f>
        <v>-3.5891070935350898E-2</v>
      </c>
      <c r="D6276" s="2" t="str">
        <f t="shared" si="97"/>
        <v>Error?</v>
      </c>
      <c r="E6276" s="2" t="s">
        <v>190</v>
      </c>
    </row>
    <row r="6277" spans="1:5" x14ac:dyDescent="0.2">
      <c r="A6277">
        <v>6216</v>
      </c>
      <c r="B6277" s="138">
        <f>'Acct Summary 7-8'!D83</f>
        <v>9.0756206008302028E-3</v>
      </c>
      <c r="D6277" s="2" t="str">
        <f t="shared" si="97"/>
        <v>Error?</v>
      </c>
      <c r="E6277" s="2" t="s">
        <v>190</v>
      </c>
    </row>
    <row r="6278" spans="1:5" x14ac:dyDescent="0.2">
      <c r="A6278">
        <v>6217</v>
      </c>
      <c r="B6278" s="138">
        <f>'Acct Summary 7-8'!E83</f>
        <v>-3.6118703631393989E-3</v>
      </c>
      <c r="D6278" s="2" t="str">
        <f t="shared" si="97"/>
        <v>Error?</v>
      </c>
      <c r="E6278" s="2" t="s">
        <v>190</v>
      </c>
    </row>
    <row r="6279" spans="1:5" x14ac:dyDescent="0.2">
      <c r="A6279">
        <v>6218</v>
      </c>
      <c r="B6279" s="138">
        <f>'Acct Summary 7-8'!F83</f>
        <v>7.6798480244144762E-2</v>
      </c>
      <c r="D6279" s="2" t="str">
        <f t="shared" si="97"/>
        <v>Error?</v>
      </c>
      <c r="E6279" s="2" t="s">
        <v>190</v>
      </c>
    </row>
    <row r="6280" spans="1:5" x14ac:dyDescent="0.2">
      <c r="A6280">
        <v>6219</v>
      </c>
      <c r="B6280" s="138">
        <f>'Acct Summary 7-8'!G83</f>
        <v>0.20157752458110026</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0.10183145234826797</v>
      </c>
      <c r="D6282" s="2" t="str">
        <f t="shared" si="97"/>
        <v>Error?</v>
      </c>
      <c r="E6282" s="2" t="s">
        <v>190</v>
      </c>
    </row>
    <row r="6283" spans="1:5" x14ac:dyDescent="0.2">
      <c r="A6283">
        <v>6222</v>
      </c>
      <c r="B6283" s="138">
        <f>'Acct Summary 7-8'!J83</f>
        <v>2.9937234209163083E-2</v>
      </c>
      <c r="D6283" s="2" t="str">
        <f t="shared" si="97"/>
        <v>Error?</v>
      </c>
      <c r="E6283" s="2" t="s">
        <v>190</v>
      </c>
    </row>
    <row r="6284" spans="1:5" x14ac:dyDescent="0.2">
      <c r="A6284">
        <v>6223</v>
      </c>
      <c r="B6284" s="138">
        <f>'Acct Summary 7-8'!K83</f>
        <v>0.13970882863630293</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342764</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342764</v>
      </c>
      <c r="D6301" s="2" t="str">
        <f t="shared" si="97"/>
        <v>Error?</v>
      </c>
      <c r="E6301" s="2" t="s">
        <v>190</v>
      </c>
    </row>
    <row r="6302" spans="1:5" x14ac:dyDescent="0.2">
      <c r="A6302">
        <v>6241</v>
      </c>
      <c r="B6302" s="138">
        <f>'Revenues 9-14'!J14</f>
        <v>415</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415</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5175</v>
      </c>
      <c r="D6350" s="2" t="str">
        <f t="shared" si="98"/>
        <v>Error?</v>
      </c>
      <c r="E6350" s="2" t="s">
        <v>190</v>
      </c>
    </row>
    <row r="6351" spans="1:5" x14ac:dyDescent="0.2">
      <c r="A6351">
        <v>6290</v>
      </c>
      <c r="B6351" s="138">
        <f>'Revenues 9-14'!J108</f>
        <v>5175</v>
      </c>
      <c r="D6351" s="2" t="str">
        <f t="shared" si="98"/>
        <v>Error?</v>
      </c>
      <c r="E6351" s="2" t="s">
        <v>190</v>
      </c>
    </row>
    <row r="6352" spans="1:5" x14ac:dyDescent="0.2">
      <c r="A6352">
        <v>6291</v>
      </c>
      <c r="B6352" s="138">
        <f>'Revenues 9-14'!J109</f>
        <v>348354</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140463</v>
      </c>
      <c r="D6983" s="2" t="str">
        <f t="shared" si="108"/>
        <v>Error?</v>
      </c>
    </row>
    <row r="6984" spans="1:4" x14ac:dyDescent="0.2">
      <c r="A6984">
        <v>6923</v>
      </c>
      <c r="B6984" s="138">
        <f>'Expenditures 15-22'!K86</f>
        <v>140463</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140463</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343384</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348354</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19706</v>
      </c>
      <c r="D7093" s="2" t="str">
        <f t="shared" si="109"/>
        <v>Error?</v>
      </c>
    </row>
    <row r="7094" spans="1:4" x14ac:dyDescent="0.2">
      <c r="A7094">
        <v>7033</v>
      </c>
      <c r="B7094" s="138">
        <f>'Expenditures 15-22'!K254</f>
        <v>19706</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23813</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23813</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5435</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5435</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229312</v>
      </c>
      <c r="D7172" s="2" t="str">
        <f t="shared" si="111"/>
        <v>Error?</v>
      </c>
    </row>
    <row r="7173" spans="1:4" x14ac:dyDescent="0.2">
      <c r="A7173">
        <v>7112</v>
      </c>
      <c r="B7173" s="138">
        <f>'Expenditures 15-22'!D325</f>
        <v>29050</v>
      </c>
      <c r="D7173" s="2" t="str">
        <f t="shared" si="111"/>
        <v>Error?</v>
      </c>
    </row>
    <row r="7174" spans="1:4" x14ac:dyDescent="0.2">
      <c r="A7174">
        <v>7113</v>
      </c>
      <c r="B7174" s="138">
        <f>'Expenditures 15-22'!E325</f>
        <v>18835</v>
      </c>
      <c r="D7174" s="2" t="str">
        <f t="shared" si="111"/>
        <v>Error?</v>
      </c>
    </row>
    <row r="7175" spans="1:4" x14ac:dyDescent="0.2">
      <c r="A7175">
        <v>7114</v>
      </c>
      <c r="B7175" s="138">
        <f>'Expenditures 15-22'!F325</f>
        <v>491</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277688</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10060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10060</v>
      </c>
      <c r="D7198" s="2" t="str">
        <f t="shared" si="111"/>
        <v>Error?</v>
      </c>
    </row>
    <row r="7199" spans="1:4" x14ac:dyDescent="0.2">
      <c r="A7199">
        <v>7138</v>
      </c>
      <c r="B7199" s="138">
        <f>'Expenditures 15-22'!C330</f>
        <v>229312</v>
      </c>
      <c r="D7199" s="2" t="str">
        <f t="shared" si="111"/>
        <v>Error?</v>
      </c>
    </row>
    <row r="7200" spans="1:4" x14ac:dyDescent="0.2">
      <c r="A7200">
        <v>7139</v>
      </c>
      <c r="B7200" s="138">
        <f>'Expenditures 15-22'!D330</f>
        <v>29050</v>
      </c>
      <c r="D7200" s="2" t="str">
        <f t="shared" si="111"/>
        <v>Error?</v>
      </c>
    </row>
    <row r="7201" spans="1:4" x14ac:dyDescent="0.2">
      <c r="A7201">
        <v>7140</v>
      </c>
      <c r="B7201" s="138">
        <f>'Expenditures 15-22'!E330</f>
        <v>84531</v>
      </c>
      <c r="D7201" s="2" t="str">
        <f t="shared" si="111"/>
        <v>Error?</v>
      </c>
    </row>
    <row r="7202" spans="1:4" x14ac:dyDescent="0.2">
      <c r="A7202">
        <v>7141</v>
      </c>
      <c r="B7202" s="138">
        <f>'Expenditures 15-22'!F330</f>
        <v>491</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343384</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229312</v>
      </c>
      <c r="D7216" s="2" t="str">
        <f t="shared" si="111"/>
        <v>Error?</v>
      </c>
    </row>
    <row r="7217" spans="1:4" x14ac:dyDescent="0.2">
      <c r="A7217">
        <v>7156</v>
      </c>
      <c r="B7217" s="138">
        <f>'Expenditures 15-22'!D342</f>
        <v>29050</v>
      </c>
      <c r="D7217" s="2" t="str">
        <f t="shared" si="111"/>
        <v>Error?</v>
      </c>
    </row>
    <row r="7218" spans="1:4" x14ac:dyDescent="0.2">
      <c r="A7218">
        <v>7157</v>
      </c>
      <c r="B7218" s="138">
        <f>'Expenditures 15-22'!E342</f>
        <v>84531</v>
      </c>
      <c r="D7218" s="2" t="str">
        <f t="shared" si="111"/>
        <v>Error?</v>
      </c>
    </row>
    <row r="7219" spans="1:4" x14ac:dyDescent="0.2">
      <c r="A7219">
        <v>7158</v>
      </c>
      <c r="B7219" s="138">
        <f>'Expenditures 15-22'!F342</f>
        <v>491</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343384</v>
      </c>
      <c r="D7224" s="2" t="str">
        <f t="shared" si="111"/>
        <v>Error?</v>
      </c>
    </row>
    <row r="7225" spans="1:4" x14ac:dyDescent="0.2">
      <c r="A7225">
        <v>7164</v>
      </c>
      <c r="B7225" s="138">
        <f>'Expenditures 15-22'!K343</f>
        <v>4970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213884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26388</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26388</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19225</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146802</v>
      </c>
      <c r="D7797" s="2" t="str">
        <f t="shared" si="127"/>
        <v>Error?</v>
      </c>
      <c r="E7797" s="4" t="s">
        <v>1904</v>
      </c>
    </row>
    <row r="7798" spans="1:5" x14ac:dyDescent="0.2">
      <c r="A7798">
        <v>7737</v>
      </c>
      <c r="B7798" s="138">
        <f>'Contracts Paid in CY 29'!F141</f>
        <v>146802</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1" t="s">
        <v>1191</v>
      </c>
      <c r="B2" s="2381"/>
      <c r="C2" s="2381"/>
      <c r="D2" s="2381"/>
      <c r="E2" s="2381"/>
      <c r="F2" s="2381"/>
      <c r="G2" s="2381"/>
      <c r="H2" s="2381"/>
      <c r="I2" s="2381"/>
      <c r="J2" s="2381"/>
      <c r="K2" s="2381"/>
      <c r="L2" s="2381"/>
    </row>
    <row r="3" spans="1:29" ht="13.5" customHeight="1" x14ac:dyDescent="0.2">
      <c r="A3" s="2412" t="s">
        <v>1190</v>
      </c>
      <c r="B3" s="2412"/>
      <c r="C3" s="2412"/>
      <c r="D3" s="2412"/>
      <c r="E3" s="2412"/>
      <c r="F3" s="2412"/>
      <c r="G3" s="2412"/>
      <c r="H3" s="2412"/>
      <c r="I3" s="2412"/>
      <c r="J3" s="2412"/>
      <c r="K3" s="2412"/>
      <c r="L3" s="2412"/>
    </row>
    <row r="4" spans="1:29" ht="13.5" customHeight="1" x14ac:dyDescent="0.2">
      <c r="A4" s="2381" t="s">
        <v>1989</v>
      </c>
      <c r="B4" s="2402"/>
      <c r="C4" s="2402"/>
      <c r="D4" s="2402"/>
      <c r="E4" s="2402"/>
      <c r="F4" s="2402"/>
      <c r="G4" s="2402"/>
      <c r="H4" s="2402"/>
      <c r="I4" s="2402"/>
      <c r="J4" s="2402"/>
      <c r="K4" s="2402"/>
      <c r="L4" s="2402"/>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3" t="str">
        <f>COVER!A17</f>
        <v>Smithton CCSD 130</v>
      </c>
      <c r="B7" s="2404"/>
      <c r="C7" s="2404"/>
      <c r="D7" s="2405"/>
      <c r="E7" s="2406">
        <f>COVER!A13</f>
        <v>50082130004</v>
      </c>
      <c r="F7" s="2407"/>
      <c r="G7" s="2413" t="str">
        <f>COVER!T23</f>
        <v>66-003932</v>
      </c>
      <c r="H7" s="2414"/>
      <c r="I7" s="2414"/>
      <c r="J7" s="2414"/>
      <c r="K7" s="2414"/>
      <c r="L7" s="2415"/>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6"/>
      <c r="B9" s="2417"/>
      <c r="C9" s="2417"/>
      <c r="D9" s="2417"/>
      <c r="E9" s="2417"/>
      <c r="F9" s="2418"/>
      <c r="G9" s="2387" t="str">
        <f>COVER!T13</f>
        <v>Schorb &amp; Schmersahl. LLC</v>
      </c>
      <c r="H9" s="2419"/>
      <c r="I9" s="2419"/>
      <c r="J9" s="2419"/>
      <c r="K9" s="2419"/>
      <c r="L9" s="2420"/>
    </row>
    <row r="10" spans="1:29" ht="13.5" customHeight="1" x14ac:dyDescent="0.2">
      <c r="A10" s="2393" t="str">
        <f>COVER!A38</f>
        <v>Dr. Ryan Wamser</v>
      </c>
      <c r="B10" s="2394"/>
      <c r="C10" s="2394"/>
      <c r="D10" s="2394"/>
      <c r="E10" s="2394"/>
      <c r="F10" s="2395"/>
      <c r="G10" s="2387" t="str">
        <f>COVER!T17</f>
        <v>518 North Main Street</v>
      </c>
      <c r="H10" s="2388"/>
      <c r="I10" s="2388"/>
      <c r="J10" s="2388"/>
      <c r="K10" s="2388"/>
      <c r="L10" s="2389"/>
    </row>
    <row r="11" spans="1:29" ht="13.5" customHeight="1" x14ac:dyDescent="0.2">
      <c r="A11" s="1184" t="s">
        <v>1519</v>
      </c>
      <c r="B11" s="1185"/>
      <c r="C11" s="1186"/>
      <c r="D11" s="1191"/>
      <c r="E11" s="1186"/>
      <c r="F11" s="1190"/>
      <c r="G11" s="2387" t="str">
        <f>COVER!T19</f>
        <v>Columbia</v>
      </c>
      <c r="H11" s="2388"/>
      <c r="I11" s="2388"/>
      <c r="J11" s="2388"/>
      <c r="K11" s="2388"/>
      <c r="L11" s="2389"/>
    </row>
    <row r="12" spans="1:29" ht="13.5" customHeight="1" x14ac:dyDescent="0.2">
      <c r="A12" s="2396" t="s">
        <v>1518</v>
      </c>
      <c r="B12" s="2397"/>
      <c r="C12" s="2397"/>
      <c r="D12" s="2397"/>
      <c r="E12" s="2397"/>
      <c r="F12" s="2398"/>
      <c r="G12" s="2390"/>
      <c r="H12" s="2391"/>
      <c r="I12" s="2391"/>
      <c r="J12" s="2391"/>
      <c r="K12" s="2391"/>
      <c r="L12" s="2392"/>
    </row>
    <row r="13" spans="1:29" ht="13.5" customHeight="1" x14ac:dyDescent="0.2">
      <c r="A13" s="2387"/>
      <c r="B13" s="2388"/>
      <c r="C13" s="2388"/>
      <c r="D13" s="2388"/>
      <c r="E13" s="2388"/>
      <c r="F13" s="2389"/>
      <c r="G13" s="2382" t="s">
        <v>1520</v>
      </c>
      <c r="H13" s="2383"/>
      <c r="I13" s="2399">
        <f>COVER!T25</f>
        <v>0</v>
      </c>
      <c r="J13" s="2400"/>
      <c r="K13" s="2400"/>
      <c r="L13" s="2401"/>
    </row>
    <row r="14" spans="1:29" ht="13.5" customHeight="1" x14ac:dyDescent="0.2">
      <c r="A14" s="2387" t="str">
        <f>COVER!A19</f>
        <v>316 Hickory Street/P.O. Box 395</v>
      </c>
      <c r="B14" s="2388"/>
      <c r="C14" s="2388"/>
      <c r="D14" s="2388"/>
      <c r="E14" s="2388"/>
      <c r="F14" s="2389"/>
      <c r="G14" s="1195" t="s">
        <v>1185</v>
      </c>
      <c r="H14" s="1193"/>
      <c r="I14" s="1193"/>
      <c r="J14" s="1193"/>
      <c r="K14" s="1193"/>
      <c r="L14" s="1194"/>
    </row>
    <row r="15" spans="1:29" ht="13.5" customHeight="1" x14ac:dyDescent="0.2">
      <c r="A15" s="2387" t="str">
        <f>COVER!A21</f>
        <v>Smithton</v>
      </c>
      <c r="B15" s="2388"/>
      <c r="C15" s="2388"/>
      <c r="D15" s="2388"/>
      <c r="E15" s="2388"/>
      <c r="F15" s="2389"/>
      <c r="G15" s="2384" t="str">
        <f>COVER!T15</f>
        <v>James R. Schmersahl</v>
      </c>
      <c r="H15" s="2385"/>
      <c r="I15" s="2385"/>
      <c r="J15" s="2385"/>
      <c r="K15" s="2385"/>
      <c r="L15" s="2386"/>
    </row>
    <row r="16" spans="1:29" ht="12.2" customHeight="1" x14ac:dyDescent="0.2">
      <c r="A16" s="2409">
        <f>COVER!A25</f>
        <v>62285</v>
      </c>
      <c r="B16" s="2410"/>
      <c r="C16" s="2410"/>
      <c r="D16" s="2410"/>
      <c r="E16" s="2410"/>
      <c r="F16" s="2411"/>
      <c r="G16" s="2421"/>
      <c r="H16" s="2422"/>
      <c r="I16" s="2422"/>
      <c r="J16" s="2422"/>
      <c r="K16" s="2422"/>
      <c r="L16" s="2423"/>
    </row>
    <row r="17" spans="1:13" ht="12.2" customHeight="1" x14ac:dyDescent="0.2">
      <c r="A17" s="2424"/>
      <c r="B17" s="2410"/>
      <c r="C17" s="2410"/>
      <c r="D17" s="2410"/>
      <c r="E17" s="2410"/>
      <c r="F17" s="2411"/>
      <c r="G17" s="1195" t="s">
        <v>1184</v>
      </c>
      <c r="H17" s="1193"/>
      <c r="I17" s="1193"/>
      <c r="J17" s="1193"/>
      <c r="K17" s="1197" t="s">
        <v>1183</v>
      </c>
      <c r="L17" s="1190"/>
      <c r="M17" s="1183"/>
    </row>
    <row r="18" spans="1:13" ht="12.2" customHeight="1" x14ac:dyDescent="0.2">
      <c r="A18" s="2393"/>
      <c r="B18" s="2394"/>
      <c r="C18" s="2394"/>
      <c r="D18" s="2394"/>
      <c r="E18" s="2394"/>
      <c r="F18" s="2395"/>
      <c r="G18" s="2403" t="str">
        <f>COVER!T21</f>
        <v>618-281-5195</v>
      </c>
      <c r="H18" s="2404"/>
      <c r="I18" s="2404"/>
      <c r="J18" s="2404"/>
      <c r="K18" s="2403" t="str">
        <f>COVER!X21</f>
        <v>618-281-6101</v>
      </c>
      <c r="L18" s="2408"/>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5" t="str">
        <f>'Single Audit Cover'!A7</f>
        <v>Smithton CCSD 130</v>
      </c>
      <c r="B1" s="2402"/>
      <c r="C1" s="2402"/>
      <c r="D1" s="2402"/>
    </row>
    <row r="2" spans="1:11" s="1212" customFormat="1" ht="12.75" x14ac:dyDescent="0.2">
      <c r="A2" s="2426">
        <f>'Single Audit Cover'!E7</f>
        <v>50082130004</v>
      </c>
      <c r="B2" s="2427"/>
      <c r="C2" s="2427"/>
      <c r="D2" s="2427"/>
    </row>
    <row r="3" spans="1:11" s="1212" customFormat="1" ht="12.75" x14ac:dyDescent="0.2">
      <c r="A3" s="2425" t="s">
        <v>1513</v>
      </c>
      <c r="B3" s="2402"/>
      <c r="C3" s="2402"/>
      <c r="D3" s="2402"/>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9" t="str">
        <f>'Single Audit Cover'!A7</f>
        <v>Smithton CCSD 130</v>
      </c>
      <c r="B1" s="2429"/>
      <c r="C1" s="2429"/>
      <c r="D1" s="2429"/>
      <c r="E1" s="2429"/>
    </row>
    <row r="2" spans="1:5" x14ac:dyDescent="0.2">
      <c r="A2" s="2430">
        <f>'Single Audit Cover'!E7</f>
        <v>50082130004</v>
      </c>
      <c r="B2" s="2430"/>
      <c r="C2" s="2430"/>
      <c r="D2" s="2430"/>
      <c r="E2" s="2430"/>
    </row>
    <row r="3" spans="1:5" ht="4.5" customHeight="1" x14ac:dyDescent="0.2"/>
    <row r="4" spans="1:5" x14ac:dyDescent="0.2">
      <c r="A4" s="2429" t="s">
        <v>1245</v>
      </c>
      <c r="B4" s="2429"/>
      <c r="C4" s="2429"/>
      <c r="D4" s="2429"/>
      <c r="E4" s="2429"/>
    </row>
    <row r="5" spans="1:5" x14ac:dyDescent="0.2">
      <c r="A5" s="2432" t="str">
        <f>'Single Audit Cover'!A4</f>
        <v>Year Ending June 30, 2019</v>
      </c>
      <c r="B5" s="2432"/>
      <c r="C5" s="2432"/>
      <c r="D5" s="2432"/>
      <c r="E5" s="2432"/>
    </row>
    <row r="6" spans="1:5" x14ac:dyDescent="0.2">
      <c r="A6" s="2429" t="s">
        <v>1244</v>
      </c>
      <c r="B6" s="2429"/>
      <c r="C6" s="2429"/>
      <c r="D6" s="2429"/>
      <c r="E6" s="2429"/>
    </row>
    <row r="8" spans="1:5" x14ac:dyDescent="0.2">
      <c r="A8" s="1257" t="s">
        <v>1243</v>
      </c>
    </row>
    <row r="10" spans="1:5" x14ac:dyDescent="0.2">
      <c r="A10" s="1258" t="s">
        <v>1242</v>
      </c>
      <c r="B10" s="1259" t="s">
        <v>1241</v>
      </c>
      <c r="C10" s="1259"/>
      <c r="D10" s="1260">
        <f>SUM('Acct Summary 7-8'!C7:K7)</f>
        <v>226468</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0</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-7659</v>
      </c>
    </row>
    <row r="19" spans="1:4" ht="13.5" thickBot="1" x14ac:dyDescent="0.25">
      <c r="A19" s="1262" t="s">
        <v>1235</v>
      </c>
      <c r="D19" s="1263">
        <f>SUM(D10:D17)</f>
        <v>218809</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1"/>
      <c r="B24" s="2431"/>
      <c r="D24" s="1265"/>
    </row>
    <row r="25" spans="1:4" x14ac:dyDescent="0.2">
      <c r="A25" s="2428"/>
      <c r="B25" s="2428"/>
      <c r="D25" s="1265"/>
    </row>
    <row r="26" spans="1:4" x14ac:dyDescent="0.2">
      <c r="A26" s="2428"/>
      <c r="B26" s="2428"/>
      <c r="D26" s="1265"/>
    </row>
    <row r="27" spans="1:4" x14ac:dyDescent="0.2">
      <c r="A27" s="2428"/>
      <c r="B27" s="2428"/>
      <c r="D27" s="1265"/>
    </row>
    <row r="28" spans="1:4" x14ac:dyDescent="0.2">
      <c r="A28" s="2428"/>
      <c r="B28" s="2428"/>
      <c r="D28" s="1265"/>
    </row>
    <row r="29" spans="1:4" x14ac:dyDescent="0.2">
      <c r="A29" s="2428"/>
      <c r="B29" s="2428"/>
      <c r="D29" s="1265"/>
    </row>
    <row r="30" spans="1:4" x14ac:dyDescent="0.2">
      <c r="A30" s="2428"/>
      <c r="B30" s="2428"/>
      <c r="D30" s="1265"/>
    </row>
    <row r="32" spans="1:4" x14ac:dyDescent="0.2">
      <c r="A32" s="1257" t="s">
        <v>1233</v>
      </c>
      <c r="D32" s="1260">
        <f>SUM(D19:D30)</f>
        <v>218809</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8"/>
      <c r="B40" s="2428"/>
      <c r="D40" s="1265"/>
    </row>
    <row r="41" spans="1:4" x14ac:dyDescent="0.2">
      <c r="A41" s="2428"/>
      <c r="B41" s="2428"/>
      <c r="D41" s="1268"/>
    </row>
    <row r="42" spans="1:4" x14ac:dyDescent="0.2">
      <c r="A42" s="2428"/>
      <c r="B42" s="2428"/>
      <c r="D42" s="1268"/>
    </row>
    <row r="43" spans="1:4" x14ac:dyDescent="0.2">
      <c r="A43" s="2428"/>
      <c r="B43" s="2428"/>
      <c r="D43" s="1268"/>
    </row>
    <row r="44" spans="1:4" x14ac:dyDescent="0.2">
      <c r="A44" s="2428"/>
      <c r="B44" s="2428"/>
      <c r="D44" s="1268"/>
    </row>
    <row r="45" spans="1:4" x14ac:dyDescent="0.2">
      <c r="A45" s="2428"/>
      <c r="B45" s="2428"/>
      <c r="D45" s="1268"/>
    </row>
    <row r="47" spans="1:4" x14ac:dyDescent="0.2">
      <c r="B47" s="1269" t="s">
        <v>1227</v>
      </c>
      <c r="C47" s="1269"/>
      <c r="D47" s="1270">
        <f>SUM(D35:D45)</f>
        <v>0</v>
      </c>
    </row>
    <row r="49" spans="2:4" x14ac:dyDescent="0.2">
      <c r="B49" s="1269" t="s">
        <v>1226</v>
      </c>
      <c r="C49" s="1269"/>
      <c r="D49" s="1270">
        <f>D32-D47</f>
        <v>218809</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2" t="str">
        <f>'Single Audit Cover'!A7</f>
        <v>Smithton CCSD 130</v>
      </c>
      <c r="C1" s="2433"/>
      <c r="D1" s="2433"/>
      <c r="E1" s="2433"/>
      <c r="F1" s="2433"/>
      <c r="G1" s="2433"/>
      <c r="H1" s="2433"/>
      <c r="I1" s="2433"/>
      <c r="J1" s="2433"/>
      <c r="K1" s="2433"/>
      <c r="L1" s="2433"/>
      <c r="M1" s="2433"/>
    </row>
    <row r="2" spans="2:14" ht="15" x14ac:dyDescent="0.2">
      <c r="B2" s="2434">
        <f>'Single Audit Cover'!E7</f>
        <v>50082130004</v>
      </c>
      <c r="C2" s="2434"/>
      <c r="D2" s="2434"/>
      <c r="E2" s="2434"/>
      <c r="F2" s="2434"/>
      <c r="G2" s="2434"/>
      <c r="H2" s="2434"/>
      <c r="I2" s="2434"/>
      <c r="J2" s="2434"/>
      <c r="K2" s="2434"/>
      <c r="L2" s="2434"/>
      <c r="M2" s="2434"/>
      <c r="N2" s="1299"/>
    </row>
    <row r="3" spans="2:14" ht="15" x14ac:dyDescent="0.2">
      <c r="B3" s="2435" t="s">
        <v>1219</v>
      </c>
      <c r="C3" s="2435"/>
      <c r="D3" s="2435"/>
      <c r="E3" s="2435"/>
      <c r="F3" s="2435"/>
      <c r="G3" s="2435"/>
      <c r="H3" s="2435"/>
      <c r="I3" s="2435"/>
      <c r="J3" s="2435"/>
      <c r="K3" s="2435"/>
      <c r="L3" s="2435"/>
      <c r="M3" s="2435"/>
      <c r="N3" s="1299"/>
    </row>
    <row r="4" spans="2:14" ht="15" x14ac:dyDescent="0.2">
      <c r="B4" s="2436" t="str">
        <f>'Single Audit Cover'!A4</f>
        <v>Year Ending June 30, 2019</v>
      </c>
      <c r="C4" s="2436"/>
      <c r="D4" s="2436"/>
      <c r="E4" s="2436"/>
      <c r="F4" s="2436"/>
      <c r="G4" s="2436"/>
      <c r="H4" s="2436"/>
      <c r="I4" s="2436"/>
      <c r="J4" s="2436"/>
      <c r="K4" s="2436"/>
      <c r="L4" s="2436"/>
      <c r="M4" s="2436"/>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6" t="str">
        <f>'Single Audit Cover'!A7</f>
        <v>Smithton CCSD 130</v>
      </c>
      <c r="B1" s="2446"/>
      <c r="C1" s="2446"/>
      <c r="D1" s="2446"/>
      <c r="E1" s="2446"/>
      <c r="F1" s="2446"/>
    </row>
    <row r="2" spans="1:7" ht="13.5" customHeight="1" x14ac:dyDescent="0.2">
      <c r="A2" s="2434">
        <f>'Single Audit Cover'!E7</f>
        <v>50082130004</v>
      </c>
      <c r="B2" s="2434"/>
      <c r="C2" s="2434"/>
      <c r="D2" s="2434"/>
      <c r="E2" s="2434"/>
      <c r="F2" s="2434"/>
      <c r="G2" s="1272"/>
    </row>
    <row r="3" spans="1:7" ht="15.75" customHeight="1" x14ac:dyDescent="0.2">
      <c r="A3" s="2447" t="s">
        <v>1271</v>
      </c>
      <c r="B3" s="2447"/>
      <c r="C3" s="2447"/>
      <c r="D3" s="2447"/>
      <c r="E3" s="2447"/>
      <c r="F3" s="2447"/>
    </row>
    <row r="4" spans="1:7" ht="13.5" customHeight="1" x14ac:dyDescent="0.2">
      <c r="A4" s="2448" t="str">
        <f>'Single Audit Cover'!A4</f>
        <v>Year Ending June 30, 2019</v>
      </c>
      <c r="B4" s="2448"/>
      <c r="C4" s="2448"/>
      <c r="D4" s="2448"/>
      <c r="E4" s="2448"/>
      <c r="F4" s="2448"/>
    </row>
    <row r="5" spans="1:7" ht="8.25" customHeight="1" x14ac:dyDescent="0.2">
      <c r="C5" s="317"/>
      <c r="D5" s="317"/>
    </row>
    <row r="6" spans="1:7" ht="13.5" customHeight="1" x14ac:dyDescent="0.2">
      <c r="A6" s="1273" t="s">
        <v>1728</v>
      </c>
      <c r="C6" s="317"/>
      <c r="D6" s="317"/>
    </row>
    <row r="7" spans="1:7" ht="60.95" customHeight="1" x14ac:dyDescent="0.2">
      <c r="A7" s="2445" t="s">
        <v>1729</v>
      </c>
      <c r="B7" s="2445"/>
      <c r="C7" s="2445"/>
      <c r="D7" s="2445"/>
      <c r="E7" s="2445"/>
      <c r="F7" s="2445"/>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5" t="s">
        <v>1731</v>
      </c>
      <c r="B13" s="2445"/>
      <c r="C13" s="2445"/>
      <c r="D13" s="2445"/>
      <c r="E13" s="2445"/>
      <c r="F13" s="2445"/>
    </row>
    <row r="14" spans="1:7" ht="9.75" customHeight="1" x14ac:dyDescent="0.2">
      <c r="C14" s="1257"/>
      <c r="D14" s="1257"/>
    </row>
    <row r="15" spans="1:7" ht="13.5" customHeight="1" x14ac:dyDescent="0.2">
      <c r="C15" s="1846" t="s">
        <v>1270</v>
      </c>
      <c r="D15" s="2443" t="s">
        <v>1269</v>
      </c>
      <c r="E15" s="2443"/>
      <c r="F15" s="2443"/>
    </row>
    <row r="16" spans="1:7" ht="13.5" customHeight="1" x14ac:dyDescent="0.2">
      <c r="A16" s="1279"/>
      <c r="B16" s="1273" t="s">
        <v>1268</v>
      </c>
      <c r="C16" s="1846" t="s">
        <v>1267</v>
      </c>
      <c r="D16" s="2444" t="s">
        <v>1588</v>
      </c>
      <c r="E16" s="2444"/>
      <c r="F16" s="2444"/>
    </row>
    <row r="17" spans="1:6" ht="20.45" customHeight="1" x14ac:dyDescent="0.2">
      <c r="A17" s="1280"/>
      <c r="B17" s="1281"/>
      <c r="C17" s="1282"/>
      <c r="D17" s="2438"/>
      <c r="E17" s="2438"/>
      <c r="F17" s="2438"/>
    </row>
    <row r="18" spans="1:6" ht="20.65" customHeight="1" x14ac:dyDescent="0.2">
      <c r="A18" s="1280"/>
      <c r="B18" s="1281"/>
      <c r="C18" s="1282"/>
      <c r="D18" s="2438"/>
      <c r="E18" s="2438"/>
      <c r="F18" s="2438"/>
    </row>
    <row r="19" spans="1:6" ht="20.65" customHeight="1" x14ac:dyDescent="0.2">
      <c r="A19" s="1280"/>
      <c r="B19" s="1281"/>
      <c r="C19" s="1282"/>
      <c r="D19" s="2438"/>
      <c r="E19" s="2438"/>
      <c r="F19" s="2438"/>
    </row>
    <row r="20" spans="1:6" ht="20.65" customHeight="1" x14ac:dyDescent="0.2">
      <c r="A20" s="1280"/>
      <c r="B20" s="1281"/>
      <c r="C20" s="1282"/>
      <c r="D20" s="2438"/>
      <c r="E20" s="2438"/>
      <c r="F20" s="2438"/>
    </row>
    <row r="21" spans="1:6" ht="20.65" customHeight="1" x14ac:dyDescent="0.2">
      <c r="A21" s="1280"/>
      <c r="B21" s="1281"/>
      <c r="C21" s="1282"/>
      <c r="D21" s="2438"/>
      <c r="E21" s="2438"/>
      <c r="F21" s="2438"/>
    </row>
    <row r="22" spans="1:6" ht="20.65" customHeight="1" x14ac:dyDescent="0.2">
      <c r="A22" s="1280"/>
      <c r="B22" s="1281"/>
      <c r="C22" s="1282"/>
      <c r="D22" s="2438"/>
      <c r="E22" s="2438"/>
      <c r="F22" s="2438"/>
    </row>
    <row r="23" spans="1:6" ht="20.65" customHeight="1" x14ac:dyDescent="0.2">
      <c r="A23" s="1280"/>
      <c r="B23" s="1281"/>
      <c r="C23" s="1282"/>
      <c r="D23" s="2438"/>
      <c r="E23" s="2438"/>
      <c r="F23" s="2438"/>
    </row>
    <row r="24" spans="1:6" ht="20.65" customHeight="1" x14ac:dyDescent="0.2">
      <c r="A24" s="1280"/>
      <c r="B24" s="1281"/>
      <c r="C24" s="1282"/>
      <c r="D24" s="2438"/>
      <c r="E24" s="2438"/>
      <c r="F24" s="2438"/>
    </row>
    <row r="25" spans="1:6" ht="20.65" customHeight="1" x14ac:dyDescent="0.2">
      <c r="A25" s="1280"/>
      <c r="B25" s="1281"/>
      <c r="C25" s="1282"/>
      <c r="D25" s="2438"/>
      <c r="E25" s="2438"/>
      <c r="F25" s="2438"/>
    </row>
    <row r="26" spans="1:6" ht="20.65" customHeight="1" x14ac:dyDescent="0.2">
      <c r="A26" s="1280"/>
      <c r="B26" s="1281"/>
      <c r="C26" s="1282"/>
      <c r="D26" s="2438"/>
      <c r="E26" s="2438"/>
      <c r="F26" s="2438"/>
    </row>
    <row r="27" spans="1:6" ht="20.65" customHeight="1" x14ac:dyDescent="0.2">
      <c r="A27" s="1280"/>
      <c r="B27" s="1281"/>
      <c r="C27" s="1282"/>
      <c r="D27" s="2438"/>
      <c r="E27" s="2438"/>
      <c r="F27" s="2438"/>
    </row>
    <row r="28" spans="1:6" ht="20.65" customHeight="1" x14ac:dyDescent="0.2">
      <c r="A28" s="1280"/>
      <c r="B28" s="1281"/>
      <c r="C28" s="1282"/>
      <c r="D28" s="2438"/>
      <c r="E28" s="2438"/>
      <c r="F28" s="2438"/>
    </row>
    <row r="29" spans="1:6" ht="20.65" customHeight="1" x14ac:dyDescent="0.2">
      <c r="A29" s="1280"/>
      <c r="B29" s="1281"/>
      <c r="C29" s="1282"/>
      <c r="D29" s="2438"/>
      <c r="E29" s="2438"/>
      <c r="F29" s="2438"/>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39" t="s">
        <v>1732</v>
      </c>
      <c r="B32" s="2439"/>
      <c r="C32" s="2439"/>
      <c r="D32" s="2439"/>
      <c r="E32" s="2439"/>
      <c r="F32" s="2439"/>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0">
        <f>+C33+C34</f>
        <v>0</v>
      </c>
      <c r="F34" s="2441"/>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2" t="s">
        <v>1590</v>
      </c>
      <c r="C49" s="2442"/>
      <c r="D49" s="2442"/>
      <c r="E49" s="1396"/>
    </row>
    <row r="50" spans="1:5" s="1297" customFormat="1" ht="3.75" customHeight="1" x14ac:dyDescent="0.2">
      <c r="A50" s="1296"/>
      <c r="B50" s="1845"/>
      <c r="C50" s="1845"/>
      <c r="D50" s="1845"/>
      <c r="E50" s="1396"/>
    </row>
    <row r="51" spans="1:5" s="1297" customFormat="1" ht="20.25" customHeight="1" x14ac:dyDescent="0.2">
      <c r="A51" s="1298">
        <v>6</v>
      </c>
      <c r="B51" s="2437" t="s">
        <v>1551</v>
      </c>
      <c r="C51" s="2437"/>
      <c r="D51" s="2437"/>
    </row>
    <row r="52" spans="1:5" ht="14.25" customHeight="1" x14ac:dyDescent="0.2">
      <c r="A52" s="1298"/>
      <c r="B52" s="2437"/>
      <c r="C52" s="2437"/>
      <c r="D52" s="2437"/>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0" t="str">
        <f>'Single Audit Cover'!A7</f>
        <v>Smithton CCSD 130</v>
      </c>
      <c r="C1" s="2461"/>
      <c r="D1" s="2461"/>
      <c r="E1" s="2461"/>
      <c r="F1" s="2461"/>
      <c r="G1" s="2461"/>
      <c r="H1" s="2461"/>
      <c r="I1" s="2461"/>
      <c r="J1" s="1406"/>
    </row>
    <row r="2" spans="2:10" s="317" customFormat="1" ht="12.75" customHeight="1" x14ac:dyDescent="0.2">
      <c r="B2" s="2462">
        <f>'Single Audit Cover'!E7</f>
        <v>50082130004</v>
      </c>
      <c r="C2" s="2463"/>
      <c r="D2" s="2463"/>
      <c r="E2" s="2463"/>
      <c r="F2" s="2463"/>
      <c r="G2" s="2463"/>
      <c r="H2" s="2463"/>
      <c r="I2" s="2463"/>
      <c r="J2" s="1406"/>
    </row>
    <row r="3" spans="2:10" s="317" customFormat="1" ht="12.75" customHeight="1" x14ac:dyDescent="0.2">
      <c r="B3" s="2464" t="s">
        <v>1285</v>
      </c>
      <c r="C3" s="2465"/>
      <c r="D3" s="2465"/>
      <c r="E3" s="2465"/>
      <c r="F3" s="2465"/>
      <c r="G3" s="2465"/>
      <c r="H3" s="2465"/>
      <c r="I3" s="2465"/>
      <c r="J3" s="1407"/>
    </row>
    <row r="4" spans="2:10" s="317" customFormat="1" ht="12.75" customHeight="1" x14ac:dyDescent="0.2">
      <c r="B4" s="2464" t="str">
        <f>'Single Audit Cover'!A4</f>
        <v>Year Ending June 30, 2019</v>
      </c>
      <c r="C4" s="2465"/>
      <c r="D4" s="2465"/>
      <c r="E4" s="2465"/>
      <c r="F4" s="2465"/>
      <c r="G4" s="2465"/>
      <c r="H4" s="2465"/>
      <c r="I4" s="2465"/>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4" t="s">
        <v>1284</v>
      </c>
      <c r="C7" s="2465"/>
      <c r="D7" s="2465"/>
      <c r="E7" s="2465"/>
      <c r="F7" s="2465"/>
      <c r="G7" s="2465"/>
      <c r="H7" s="2465"/>
      <c r="I7" s="2465"/>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6"/>
      <c r="D11" s="2466"/>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7"/>
      <c r="E29" s="2467"/>
      <c r="F29" s="2467"/>
      <c r="G29" s="2467"/>
      <c r="H29" s="2467"/>
      <c r="I29" s="2467"/>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8" t="s">
        <v>1751</v>
      </c>
      <c r="D37" s="2469"/>
      <c r="E37" s="2469"/>
      <c r="F37" s="2470"/>
      <c r="G37" s="2468" t="s">
        <v>1592</v>
      </c>
      <c r="H37" s="2469"/>
      <c r="I37" s="2470"/>
    </row>
    <row r="38" spans="2:9" ht="16.5" customHeight="1" x14ac:dyDescent="0.2">
      <c r="B38" s="1428"/>
      <c r="C38" s="2456"/>
      <c r="D38" s="2457"/>
      <c r="E38" s="2457"/>
      <c r="F38" s="2458"/>
      <c r="G38" s="2471"/>
      <c r="H38" s="2472"/>
      <c r="I38" s="2473"/>
    </row>
    <row r="39" spans="2:9" ht="16.5" customHeight="1" x14ac:dyDescent="0.2">
      <c r="B39" s="1428"/>
      <c r="C39" s="2456"/>
      <c r="D39" s="2457"/>
      <c r="E39" s="2457"/>
      <c r="F39" s="2458"/>
      <c r="G39" s="2459"/>
      <c r="H39" s="2459"/>
      <c r="I39" s="2459"/>
    </row>
    <row r="40" spans="2:9" ht="16.5" customHeight="1" x14ac:dyDescent="0.2">
      <c r="B40" s="1428"/>
      <c r="C40" s="2456"/>
      <c r="D40" s="2457"/>
      <c r="E40" s="2457"/>
      <c r="F40" s="2458"/>
      <c r="G40" s="2459"/>
      <c r="H40" s="2459"/>
      <c r="I40" s="2459"/>
    </row>
    <row r="41" spans="2:9" ht="16.5" customHeight="1" x14ac:dyDescent="0.2">
      <c r="B41" s="1428"/>
      <c r="C41" s="2456"/>
      <c r="D41" s="2457"/>
      <c r="E41" s="2457"/>
      <c r="F41" s="2458"/>
      <c r="G41" s="2459"/>
      <c r="H41" s="2459"/>
      <c r="I41" s="2459"/>
    </row>
    <row r="42" spans="2:9" ht="16.5" customHeight="1" x14ac:dyDescent="0.2">
      <c r="B42" s="1428"/>
      <c r="C42" s="2456"/>
      <c r="D42" s="2457"/>
      <c r="E42" s="2457"/>
      <c r="F42" s="2458"/>
      <c r="G42" s="2459"/>
      <c r="H42" s="2459"/>
      <c r="I42" s="2459"/>
    </row>
    <row r="43" spans="2:9" ht="16.5" customHeight="1" x14ac:dyDescent="0.2">
      <c r="B43" s="1428"/>
      <c r="C43" s="2449" t="s">
        <v>1593</v>
      </c>
      <c r="D43" s="2450"/>
      <c r="E43" s="2450"/>
      <c r="F43" s="2451"/>
      <c r="G43" s="2452">
        <f>SUM(G38:I42)</f>
        <v>0</v>
      </c>
      <c r="H43" s="2452"/>
      <c r="I43" s="2452"/>
    </row>
    <row r="44" spans="2:9" ht="12.75" customHeight="1" x14ac:dyDescent="0.2"/>
    <row r="45" spans="2:9" ht="12.75" customHeight="1" x14ac:dyDescent="0.2">
      <c r="B45" s="1419" t="s">
        <v>1841</v>
      </c>
      <c r="D45" s="2453">
        <v>0</v>
      </c>
      <c r="E45" s="2454"/>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5"/>
      <c r="F49" s="2455"/>
      <c r="G49" s="2455"/>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0" t="str">
        <f>'Single Audit Cover'!A7</f>
        <v>Smithton CCSD 130</v>
      </c>
      <c r="C1" s="2460"/>
      <c r="D1" s="2460"/>
      <c r="E1" s="2460"/>
      <c r="F1" s="2460"/>
      <c r="G1" s="2460"/>
      <c r="H1" s="2460"/>
      <c r="I1" s="2460"/>
      <c r="J1" s="2460"/>
      <c r="K1" s="2460"/>
      <c r="L1" s="1371"/>
      <c r="M1" s="1371"/>
    </row>
    <row r="2" spans="1:13" ht="12" customHeight="1" x14ac:dyDescent="0.2">
      <c r="B2" s="2462">
        <f>'Single Audit Cover'!E7</f>
        <v>50082130004</v>
      </c>
      <c r="C2" s="2462"/>
      <c r="D2" s="2462"/>
      <c r="E2" s="2462"/>
      <c r="F2" s="2462"/>
      <c r="G2" s="2462"/>
      <c r="H2" s="2462"/>
      <c r="I2" s="2462"/>
      <c r="J2" s="2462"/>
      <c r="K2" s="2462"/>
      <c r="L2" s="1372"/>
      <c r="M2" s="1373"/>
    </row>
    <row r="3" spans="1:13" ht="10.35" customHeight="1" x14ac:dyDescent="0.2">
      <c r="B3" s="2476" t="s">
        <v>1285</v>
      </c>
      <c r="C3" s="2476"/>
      <c r="D3" s="2476"/>
      <c r="E3" s="2476"/>
      <c r="F3" s="2476"/>
      <c r="G3" s="2476"/>
      <c r="H3" s="2476"/>
      <c r="I3" s="2476"/>
      <c r="J3" s="2476"/>
      <c r="K3" s="2476"/>
      <c r="L3" s="1374"/>
      <c r="M3" s="1374"/>
    </row>
    <row r="4" spans="1:13" ht="14.25" customHeight="1" x14ac:dyDescent="0.2">
      <c r="B4" s="2477" t="str">
        <f>'Single Audit Cover'!A4</f>
        <v>Year Ending June 30, 2019</v>
      </c>
      <c r="C4" s="2477"/>
      <c r="D4" s="2477"/>
      <c r="E4" s="2477"/>
      <c r="F4" s="2477"/>
      <c r="G4" s="2477"/>
      <c r="H4" s="2477"/>
      <c r="I4" s="2477"/>
      <c r="J4" s="2477"/>
      <c r="K4" s="2477"/>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7" t="s">
        <v>1296</v>
      </c>
      <c r="C7" s="2477"/>
      <c r="D7" s="2478"/>
      <c r="E7" s="2478"/>
      <c r="F7" s="2478"/>
      <c r="G7" s="2478"/>
      <c r="H7" s="2478"/>
      <c r="I7" s="2478"/>
      <c r="J7" s="2478"/>
      <c r="K7" s="2478"/>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5"/>
      <c r="C14" s="2475"/>
      <c r="D14" s="2475"/>
      <c r="E14" s="2475"/>
      <c r="F14" s="2475"/>
      <c r="G14" s="2475"/>
      <c r="H14" s="2475"/>
      <c r="I14" s="2475"/>
      <c r="J14" s="2475"/>
      <c r="K14" s="2475"/>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5"/>
      <c r="C17" s="2475"/>
      <c r="D17" s="2475"/>
      <c r="E17" s="2475"/>
      <c r="F17" s="2475"/>
      <c r="G17" s="2475"/>
      <c r="H17" s="2475"/>
      <c r="I17" s="2475"/>
      <c r="J17" s="2475"/>
      <c r="K17" s="2475"/>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9"/>
      <c r="C20" s="2479"/>
      <c r="D20" s="2475"/>
      <c r="E20" s="2475"/>
      <c r="F20" s="2475"/>
      <c r="G20" s="2475"/>
      <c r="H20" s="2475"/>
      <c r="I20" s="2475"/>
      <c r="J20" s="2475"/>
      <c r="K20" s="2475"/>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5"/>
      <c r="C23" s="2475"/>
      <c r="D23" s="2475"/>
      <c r="E23" s="2475"/>
      <c r="F23" s="2475"/>
      <c r="G23" s="2475"/>
      <c r="H23" s="2475"/>
      <c r="I23" s="2475"/>
      <c r="J23" s="2475"/>
      <c r="K23" s="2475"/>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5"/>
      <c r="C26" s="2475"/>
      <c r="D26" s="2475"/>
      <c r="E26" s="2475"/>
      <c r="F26" s="2475"/>
      <c r="G26" s="2475"/>
      <c r="H26" s="2475"/>
      <c r="I26" s="2475"/>
      <c r="J26" s="2475"/>
      <c r="K26" s="2475"/>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4"/>
      <c r="C29" s="2474"/>
      <c r="D29" s="2475"/>
      <c r="E29" s="2475"/>
      <c r="F29" s="2475"/>
      <c r="G29" s="2475"/>
      <c r="H29" s="2475"/>
      <c r="I29" s="2475"/>
      <c r="J29" s="2475"/>
      <c r="K29" s="2475"/>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4"/>
      <c r="C32" s="2474"/>
      <c r="D32" s="2475"/>
      <c r="E32" s="2475"/>
      <c r="F32" s="2475"/>
      <c r="G32" s="2475"/>
      <c r="H32" s="2475"/>
      <c r="I32" s="2475"/>
      <c r="J32" s="2475"/>
      <c r="K32" s="2475"/>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3" t="str">
        <f>'Single Audit Cover'!A7</f>
        <v>Smithton CCSD 130</v>
      </c>
      <c r="C1" s="2483"/>
      <c r="D1" s="2483"/>
      <c r="E1" s="2483"/>
      <c r="F1" s="2483"/>
      <c r="G1" s="2483"/>
      <c r="H1" s="2483"/>
      <c r="I1" s="2483"/>
      <c r="J1" s="2483"/>
      <c r="K1" s="2483"/>
      <c r="L1" s="1449"/>
    </row>
    <row r="2" spans="1:12" ht="12.75" customHeight="1" x14ac:dyDescent="0.2">
      <c r="B2" s="2484">
        <f>'Single Audit Cover'!E7</f>
        <v>50082130004</v>
      </c>
      <c r="C2" s="2484"/>
      <c r="D2" s="2484"/>
      <c r="E2" s="2484"/>
      <c r="F2" s="2484"/>
      <c r="G2" s="2484"/>
      <c r="H2" s="2484"/>
      <c r="I2" s="2484"/>
      <c r="J2" s="2484"/>
      <c r="K2" s="2484"/>
      <c r="L2" s="1450"/>
    </row>
    <row r="3" spans="1:12" ht="12.75" customHeight="1" x14ac:dyDescent="0.2">
      <c r="B3" s="2476" t="s">
        <v>1285</v>
      </c>
      <c r="C3" s="2476"/>
      <c r="D3" s="2476"/>
      <c r="E3" s="2476"/>
      <c r="F3" s="2476"/>
      <c r="G3" s="2476"/>
      <c r="H3" s="2476"/>
      <c r="I3" s="2476"/>
      <c r="J3" s="2476"/>
      <c r="K3" s="2476"/>
      <c r="L3" s="1374"/>
    </row>
    <row r="4" spans="1:12" ht="12.75" customHeight="1" x14ac:dyDescent="0.2">
      <c r="B4" s="2476" t="str">
        <f>'Single Audit Cover'!A4</f>
        <v>Year Ending June 30, 2019</v>
      </c>
      <c r="C4" s="2476"/>
      <c r="D4" s="2476"/>
      <c r="E4" s="2476"/>
      <c r="F4" s="2476"/>
      <c r="G4" s="2476"/>
      <c r="H4" s="2476"/>
      <c r="I4" s="2476"/>
      <c r="J4" s="2476"/>
      <c r="K4" s="2476"/>
      <c r="L4" s="1374"/>
    </row>
    <row r="5" spans="1:12" ht="5.25" customHeight="1" x14ac:dyDescent="0.2">
      <c r="B5" s="1257" t="s">
        <v>1169</v>
      </c>
      <c r="C5" s="1257"/>
      <c r="L5" s="322"/>
    </row>
    <row r="6" spans="1:12" ht="30.75" customHeight="1" x14ac:dyDescent="0.2">
      <c r="A6" s="322"/>
      <c r="B6" s="2485" t="s">
        <v>1308</v>
      </c>
      <c r="C6" s="2485"/>
      <c r="D6" s="2485"/>
      <c r="E6" s="2485"/>
      <c r="F6" s="2485"/>
      <c r="G6" s="2485"/>
      <c r="H6" s="2485"/>
      <c r="I6" s="2485"/>
      <c r="J6" s="2485"/>
      <c r="K6" s="2485"/>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7"/>
      <c r="G12" s="2467"/>
      <c r="H12" s="2467"/>
      <c r="I12" s="2467"/>
      <c r="J12" s="2467"/>
      <c r="K12" s="2467"/>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0"/>
      <c r="E14" s="2480"/>
      <c r="F14" s="2480"/>
      <c r="H14" s="1459" t="s">
        <v>1303</v>
      </c>
      <c r="I14" s="2481"/>
      <c r="J14" s="2481"/>
      <c r="K14" s="2481"/>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1"/>
      <c r="E16" s="2481"/>
      <c r="F16" s="2481"/>
      <c r="G16" s="2481"/>
      <c r="H16" s="2481"/>
      <c r="I16" s="2481"/>
      <c r="J16" s="2481"/>
      <c r="K16" s="2481"/>
      <c r="L16" s="322"/>
    </row>
    <row r="17" spans="2:12" ht="13.5" customHeight="1" x14ac:dyDescent="0.2">
      <c r="B17" s="1384" t="s">
        <v>1301</v>
      </c>
      <c r="C17" s="1384"/>
      <c r="D17" s="2482"/>
      <c r="E17" s="2482"/>
      <c r="F17" s="2482"/>
      <c r="G17" s="2482"/>
      <c r="H17" s="2482"/>
      <c r="I17" s="2482"/>
      <c r="J17" s="2482"/>
      <c r="K17" s="2482"/>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5"/>
      <c r="C20" s="2475"/>
      <c r="D20" s="2475"/>
      <c r="E20" s="2475"/>
      <c r="F20" s="2475"/>
      <c r="G20" s="2475"/>
      <c r="H20" s="2475"/>
      <c r="I20" s="2475"/>
      <c r="J20" s="2475"/>
      <c r="K20" s="2475"/>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5"/>
      <c r="C23" s="2475"/>
      <c r="D23" s="2475"/>
      <c r="E23" s="2475"/>
      <c r="F23" s="2475"/>
      <c r="G23" s="2475"/>
      <c r="H23" s="2475"/>
      <c r="I23" s="2475"/>
      <c r="J23" s="2475"/>
      <c r="K23" s="2475"/>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5"/>
      <c r="C26" s="2475"/>
      <c r="D26" s="2475"/>
      <c r="E26" s="2475"/>
      <c r="F26" s="2475"/>
      <c r="G26" s="2475"/>
      <c r="H26" s="2475"/>
      <c r="I26" s="2475"/>
      <c r="J26" s="2475"/>
      <c r="K26" s="2475"/>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5"/>
      <c r="C29" s="2475"/>
      <c r="D29" s="2475"/>
      <c r="E29" s="2475"/>
      <c r="F29" s="2475"/>
      <c r="G29" s="2475"/>
      <c r="H29" s="2475"/>
      <c r="I29" s="2475"/>
      <c r="J29" s="2475"/>
      <c r="K29" s="2475"/>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5"/>
      <c r="C32" s="2475"/>
      <c r="D32" s="2475"/>
      <c r="E32" s="2475"/>
      <c r="F32" s="2475"/>
      <c r="G32" s="2475"/>
      <c r="H32" s="2475"/>
      <c r="I32" s="2475"/>
      <c r="J32" s="2475"/>
      <c r="K32" s="2475"/>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5"/>
      <c r="C35" s="2475"/>
      <c r="D35" s="2475"/>
      <c r="E35" s="2475"/>
      <c r="F35" s="2475"/>
      <c r="G35" s="2475"/>
      <c r="H35" s="2475"/>
      <c r="I35" s="2475"/>
      <c r="J35" s="2475"/>
      <c r="K35" s="2475"/>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5"/>
      <c r="C38" s="2475"/>
      <c r="D38" s="2475"/>
      <c r="E38" s="2475"/>
      <c r="F38" s="2475"/>
      <c r="G38" s="2475"/>
      <c r="H38" s="2475"/>
      <c r="I38" s="2475"/>
      <c r="J38" s="2475"/>
      <c r="K38" s="2475"/>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5"/>
      <c r="C41" s="2475"/>
      <c r="D41" s="2475"/>
      <c r="E41" s="2475"/>
      <c r="F41" s="2475"/>
      <c r="G41" s="2475"/>
      <c r="H41" s="2475"/>
      <c r="I41" s="2475"/>
      <c r="J41" s="2475"/>
      <c r="K41" s="2475"/>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0" t="str">
        <f>'Single Audit Cover'!A7</f>
        <v>Smithton CCSD 130</v>
      </c>
      <c r="C1" s="2460"/>
      <c r="D1" s="2460"/>
      <c r="E1" s="1469"/>
    </row>
    <row r="2" spans="2:5" s="1279" customFormat="1" ht="12.75" customHeight="1" x14ac:dyDescent="0.2">
      <c r="B2" s="2462">
        <f>'Single Audit Cover'!E7</f>
        <v>50082130004</v>
      </c>
      <c r="C2" s="2462"/>
      <c r="D2" s="2462"/>
      <c r="E2" s="1470"/>
    </row>
    <row r="3" spans="2:5" ht="12.75" customHeight="1" x14ac:dyDescent="0.2">
      <c r="B3" s="2476" t="s">
        <v>1766</v>
      </c>
      <c r="C3" s="2476"/>
      <c r="D3" s="2476"/>
      <c r="E3" s="1271"/>
    </row>
    <row r="4" spans="2:5" s="1279" customFormat="1" ht="12.75" customHeight="1" x14ac:dyDescent="0.2">
      <c r="B4" s="2486" t="str">
        <f>'Single Audit Cover'!A4</f>
        <v>Year Ending June 30, 2019</v>
      </c>
      <c r="C4" s="2486"/>
      <c r="D4" s="2486"/>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www.w3.org/XML/1998/namespace"/>
    <ds:schemaRef ds:uri="http://schemas.microsoft.com/office/2006/metadata/properties"/>
    <ds:schemaRef ds:uri="http://purl.org/dc/dcmitype/"/>
    <ds:schemaRef ds:uri="http://purl.org/dc/terms/"/>
    <ds:schemaRef ds:uri="http://schemas.microsoft.com/office/2006/documentManagement/types"/>
    <ds:schemaRef ds:uri="http://schemas.microsoft.com/sharepoint/v3"/>
    <ds:schemaRef ds:uri="http://schemas.microsoft.com/office/infopath/2007/PartnerControls"/>
    <ds:schemaRef ds:uri="http://schemas.openxmlformats.org/package/2006/metadata/core-properties"/>
    <ds:schemaRef ds:uri="http://purl.org/dc/elements/1.1/"/>
    <ds:schemaRef ds:uri="4d435f69-8686-490b-bd6d-b153bf22ab50"/>
    <ds:schemaRef ds:uri="d21dc803-237d-4c68-8692-8d731fd29118"/>
    <ds:schemaRef ds:uri="6ce3111e-7420-4802-b50a-75d4e9a0b980"/>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HEMBERGER MICHELLE</cp:lastModifiedBy>
  <cp:lastPrinted>2019-10-08T18:32:30Z</cp:lastPrinted>
  <dcterms:created xsi:type="dcterms:W3CDTF">2003-10-29T19:06:34Z</dcterms:created>
  <dcterms:modified xsi:type="dcterms:W3CDTF">2019-12-19T14:24:33Z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