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New Emails\09172019\"/>
    </mc:Choice>
  </mc:AlternateContent>
  <xr:revisionPtr revIDLastSave="0" documentId="8_{738502E0-35DD-4C6F-AB1B-E8AA1F2E5504}" xr6:coauthVersionLast="36" xr6:coauthVersionMax="36" xr10:uidLastSave="{00000000-0000-0000-0000-000000000000}"/>
  <bookViews>
    <workbookView xWindow="2880" yWindow="600" windowWidth="22335" windowHeight="1473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SPAF" sheetId="177" r:id="rId36"/>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18">'Itemization 33'!$A$1:$B$19</definedName>
    <definedName name="_xlnm.Print_Area" localSheetId="7">'Revenues 9-14'!$A$1:$K$268</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Area" localSheetId="1">TOC!$A$1:$F$80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6" i="185" l="1"/>
  <c r="E26" i="185"/>
  <c r="K18" i="183"/>
  <c r="G18" i="183"/>
  <c r="F18" i="183"/>
  <c r="E18" i="183"/>
  <c r="G14" i="185"/>
  <c r="G26" i="185" s="1"/>
  <c r="F14" i="185"/>
  <c r="E14" i="185"/>
  <c r="I19" i="185"/>
  <c r="G19" i="185"/>
  <c r="E19" i="185"/>
  <c r="F19" i="185"/>
  <c r="I27" i="179"/>
  <c r="I14" i="185" s="1"/>
  <c r="I26" i="185" s="1"/>
  <c r="G27" i="179"/>
  <c r="F27" i="179"/>
  <c r="E27" i="179"/>
  <c r="I18" i="183" l="1"/>
  <c r="I26" i="184" s="1"/>
  <c r="I25" i="185"/>
  <c r="G25" i="185"/>
  <c r="F25" i="185"/>
  <c r="E25" i="185"/>
  <c r="K22" i="185"/>
  <c r="G22" i="185"/>
  <c r="F22" i="185"/>
  <c r="E22" i="185"/>
  <c r="I18" i="185"/>
  <c r="F18" i="185"/>
  <c r="I17" i="185"/>
  <c r="G17" i="185"/>
  <c r="F17" i="185"/>
  <c r="E17" i="185"/>
  <c r="I16" i="185"/>
  <c r="G16" i="185"/>
  <c r="F16" i="185"/>
  <c r="E16" i="185"/>
  <c r="I15" i="185"/>
  <c r="G15" i="185"/>
  <c r="F15" i="185"/>
  <c r="E15" i="185"/>
  <c r="K13" i="185"/>
  <c r="I13" i="185"/>
  <c r="G13" i="185"/>
  <c r="F13" i="185"/>
  <c r="E13" i="185"/>
  <c r="K12" i="185"/>
  <c r="I12" i="185"/>
  <c r="G12" i="185"/>
  <c r="F12" i="185"/>
  <c r="E12" i="185"/>
  <c r="K26" i="184"/>
  <c r="G16" i="183"/>
  <c r="G26" i="184" s="1"/>
  <c r="K18" i="179"/>
  <c r="I18" i="179"/>
  <c r="G18" i="179"/>
  <c r="I20" i="184"/>
  <c r="G20" i="184"/>
  <c r="F20" i="184"/>
  <c r="E20" i="184"/>
  <c r="F26" i="184"/>
  <c r="E26" i="184"/>
  <c r="I16" i="183"/>
  <c r="F16" i="183"/>
  <c r="E16" i="183"/>
  <c r="F18" i="179"/>
  <c r="E18" i="179"/>
  <c r="I22" i="185" l="1"/>
  <c r="L22" i="185" s="1"/>
  <c r="L27" i="185"/>
  <c r="L26" i="185"/>
  <c r="L25" i="185"/>
  <c r="L24" i="185"/>
  <c r="L23" i="185"/>
  <c r="L21" i="185"/>
  <c r="L20" i="185"/>
  <c r="L19" i="185"/>
  <c r="L18" i="185"/>
  <c r="L17" i="185"/>
  <c r="L16" i="185"/>
  <c r="L15" i="185"/>
  <c r="L14" i="185"/>
  <c r="L13" i="185"/>
  <c r="L12" i="185"/>
  <c r="L11" i="185"/>
  <c r="B4" i="185"/>
  <c r="B1" i="185"/>
  <c r="L27" i="184"/>
  <c r="L26" i="184"/>
  <c r="L25" i="184"/>
  <c r="L24" i="184"/>
  <c r="L23" i="184"/>
  <c r="L22" i="184"/>
  <c r="L21" i="184"/>
  <c r="L20" i="184"/>
  <c r="L19" i="184"/>
  <c r="L18" i="184"/>
  <c r="L17" i="184"/>
  <c r="L16" i="184"/>
  <c r="L15" i="184"/>
  <c r="L14" i="184"/>
  <c r="L13" i="184"/>
  <c r="L12" i="184"/>
  <c r="L11" i="184"/>
  <c r="B4" i="184"/>
  <c r="B1" i="184"/>
  <c r="L27" i="183"/>
  <c r="L26" i="183"/>
  <c r="L25" i="183"/>
  <c r="L24" i="183"/>
  <c r="L23" i="183"/>
  <c r="L22" i="183"/>
  <c r="L21" i="183"/>
  <c r="L20" i="183"/>
  <c r="L19" i="183"/>
  <c r="L18" i="183"/>
  <c r="L17" i="183"/>
  <c r="L16" i="183"/>
  <c r="L15" i="183"/>
  <c r="L14" i="183"/>
  <c r="L13" i="183"/>
  <c r="L12" i="183"/>
  <c r="L11" i="183"/>
  <c r="B4" i="183"/>
  <c r="B1"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5" i="179" l="1"/>
  <c r="L24" i="179"/>
  <c r="L23" i="179"/>
  <c r="L22" i="179"/>
  <c r="L18" i="179"/>
  <c r="L17" i="179"/>
  <c r="L16" i="179"/>
  <c r="L15" i="179"/>
  <c r="L14" i="179"/>
  <c r="L13" i="179"/>
  <c r="L12" i="179"/>
  <c r="L11" i="179"/>
  <c r="L27" i="179" l="1"/>
  <c r="D14" i="17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c r="D6262" i="106" s="1"/>
  <c r="B6264" i="106"/>
  <c r="D6264" i="106" s="1"/>
  <c r="B6265" i="106"/>
  <c r="D6265" i="106" s="1"/>
  <c r="B6285" i="106"/>
  <c r="D628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C43" i="34"/>
  <c r="D43" i="34"/>
  <c r="C44" i="34"/>
  <c r="D44" i="34"/>
  <c r="F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D11" i="37"/>
  <c r="D22" i="37"/>
  <c r="J22" i="37"/>
  <c r="L22" i="37"/>
  <c r="D24" i="37"/>
  <c r="B4270" i="106" s="1"/>
  <c r="D4270" i="106" s="1"/>
  <c r="L5" i="11"/>
  <c r="B2056" i="106" s="1"/>
  <c r="D2056" i="106" s="1"/>
  <c r="B5752" i="106"/>
  <c r="D5752" i="106" s="1"/>
  <c r="H33" i="118" l="1"/>
  <c r="F19" i="7"/>
  <c r="B1807" i="106" s="1"/>
  <c r="D1807" i="106" s="1"/>
  <c r="C342" i="29"/>
  <c r="B7216" i="106" s="1"/>
  <c r="D7216" i="106" s="1"/>
  <c r="F50" i="34"/>
  <c r="F34" i="34"/>
  <c r="F77" i="4"/>
  <c r="B3255" i="106" s="1"/>
  <c r="D3255" i="106" s="1"/>
  <c r="F42" i="34"/>
  <c r="D17" i="7"/>
  <c r="B4104" i="106" s="1"/>
  <c r="D4104" i="106" s="1"/>
  <c r="B7235" i="106"/>
  <c r="D7235" i="106" s="1"/>
  <c r="C129" i="29"/>
  <c r="C352" i="29"/>
  <c r="B3621" i="106" s="1"/>
  <c r="D3621" i="106" s="1"/>
  <c r="D9" i="7"/>
  <c r="B1767" i="106" s="1"/>
  <c r="D1767" i="106" s="1"/>
  <c r="K28" i="118"/>
  <c r="O27" i="118" s="1"/>
  <c r="O29" i="118" s="1"/>
  <c r="L342" i="29"/>
  <c r="F49" i="34"/>
  <c r="K184" i="29"/>
  <c r="F13" i="4" s="1"/>
  <c r="B2596" i="106" s="1"/>
  <c r="D2596" i="106" s="1"/>
  <c r="G210" i="29"/>
  <c r="G15" i="145"/>
  <c r="K41" i="3"/>
  <c r="I129" i="29"/>
  <c r="B7037" i="106" s="1"/>
  <c r="D7037" i="106" s="1"/>
  <c r="D6103" i="106"/>
  <c r="B3647" i="106"/>
  <c r="D3647" i="106" s="1"/>
  <c r="L13" i="11"/>
  <c r="B2060" i="106" s="1"/>
  <c r="D2060" i="106" s="1"/>
  <c r="B1308" i="106"/>
  <c r="D1308" i="106" s="1"/>
  <c r="E174" i="29"/>
  <c r="B1309" i="106" s="1"/>
  <c r="D1309" i="106" s="1"/>
  <c r="I210" i="29"/>
  <c r="B7071" i="106" s="1"/>
  <c r="D7071"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1317" i="106" l="1"/>
  <c r="D1317" i="106" s="1"/>
  <c r="L16" i="11"/>
  <c r="B2061" i="106" s="1"/>
  <c r="D2061" i="106" s="1"/>
  <c r="C114" i="29"/>
  <c r="B757" i="106" s="1"/>
  <c r="D757" i="106" s="1"/>
  <c r="D44" i="36"/>
  <c r="B1328" i="106"/>
  <c r="D1328" i="106" s="1"/>
  <c r="B5527" i="106"/>
  <c r="D5527" i="106" s="1"/>
  <c r="B1381" i="106"/>
  <c r="D1381" i="106" s="1"/>
  <c r="F174" i="34"/>
  <c r="K342" i="29"/>
  <c r="F13" i="34" s="1"/>
  <c r="B5778" i="106"/>
  <c r="D5778" i="106" s="1"/>
  <c r="G6" i="4"/>
  <c r="B2604" i="106" s="1"/>
  <c r="D2604" i="106" s="1"/>
  <c r="J16" i="4"/>
  <c r="B6226" i="106" s="1"/>
  <c r="D6226" i="106" s="1"/>
  <c r="B3568" i="106"/>
  <c r="D3568" i="106" s="1"/>
  <c r="D52" i="36"/>
  <c r="B7215" i="106"/>
  <c r="D7215" i="106" s="1"/>
  <c r="B1365" i="106"/>
  <c r="D1365" i="106" s="1"/>
  <c r="F65" i="34"/>
  <c r="H151" i="29"/>
  <c r="B1273" i="106" s="1"/>
  <c r="D1273" i="106" s="1"/>
  <c r="K365" i="29"/>
  <c r="B5770" i="106"/>
  <c r="D5770" i="106" s="1"/>
  <c r="C367" i="29"/>
  <c r="B3622" i="106" s="1"/>
  <c r="D3622" i="106" s="1"/>
  <c r="L114" i="29"/>
  <c r="B1996" i="106"/>
  <c r="D1996" i="106" s="1"/>
  <c r="I26" i="12"/>
  <c r="B7741" i="106" s="1"/>
  <c r="D7741"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J10" i="4"/>
  <c r="B6225" i="106" s="1"/>
  <c r="D6225" i="106" s="1"/>
  <c r="F8" i="4"/>
  <c r="B2595" i="106" s="1"/>
  <c r="D259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<sst xmlns="http://schemas.openxmlformats.org/spreadsheetml/2006/main" count="5335" uniqueCount="2175">
  <si>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</si>
  <si>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</si>
  <si>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</si>
  <si>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</si>
  <si>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</si>
  <si>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</si>
  <si>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</si>
  <si>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</si>
  <si>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</si>
  <si>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</si>
  <si>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</si>
  <si>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</si>
  <si>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</si>
  <si>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</si>
  <si>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</si>
  <si>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</si>
  <si>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</si>
  <si>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</si>
  <si>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</si>
  <si>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</si>
  <si>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</si>
  <si>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</si>
  <si>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</si>
  <si>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</si>
  <si>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</si>
  <si>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</si>
  <si>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</si>
  <si>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</si>
  <si>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</si>
  <si>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</si>
  <si>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</si>
  <si>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</si>
  <si>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</si>
  <si>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</si>
  <si>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</si>
  <si>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</si>
  <si>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</si>
  <si>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</si>
  <si>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</si>
  <si>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</si>
  <si>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</si>
  <si>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</si>
  <si>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</si>
  <si>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</si>
  <si>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</si>
  <si>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</si>
  <si>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</si>
  <si>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</si>
  <si>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</si>
  <si>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</si>
  <si>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</si>
  <si>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</si>
  <si>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</si>
  <si>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</si>
  <si>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</si>
  <si>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</si>
  <si>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</si>
  <si>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</si>
  <si>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</si>
  <si>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</si>
  <si>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</si>
  <si>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</si>
  <si>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</si>
  <si>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</si>
  <si>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</si>
  <si>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</si>
  <si>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</si>
  <si>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</si>
  <si>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</si>
  <si>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</si>
  <si>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</si>
  <si>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</si>
  <si>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</si>
  <si>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</si>
  <si>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</si>
  <si>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</si>
  <si>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</si>
  <si>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</si>
  <si>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</si>
  <si>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</si>
  <si>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</si>
  <si>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</si>
  <si>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</si>
  <si>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</si>
  <si>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</si>
  <si>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</si>
  <si>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</si>
  <si>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</si>
  <si>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</si>
  <si>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</si>
  <si>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</si>
  <si>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</si>
  <si>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</si>
  <si>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</si>
  <si>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</si>
  <si>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</si>
  <si>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</si>
  <si>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</si>
  <si>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</si>
  <si>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</si>
  <si>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</si>
  <si>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</si>
  <si>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</si>
  <si>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</si>
  <si>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</si>
  <si>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</si>
  <si>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</si>
  <si>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</si>
  <si>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</si>
  <si>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</si>
  <si>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</si>
  <si>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</si>
  <si>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</si>
  <si>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</si>
  <si>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</si>
  <si>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</si>
  <si>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</si>
  <si>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</si>
  <si>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</si>
  <si>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</si>
  <si>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</si>
  <si>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</si>
  <si>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</si>
  <si>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</si>
  <si>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</si>
  <si>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</si>
  <si>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</si>
  <si>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</si>
  <si>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</si>
  <si>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</si>
  <si>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</si>
  <si>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</si>
  <si>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</si>
  <si>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</si>
  <si>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</si>
  <si>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</si>
  <si>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</si>
  <si>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</si>
  <si>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</si>
  <si>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</si>
  <si>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</si>
  <si>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</si>
  <si>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</si>
  <si>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</si>
  <si>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</si>
  <si>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</si>
  <si>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</si>
  <si>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</si>
  <si>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</si>
  <si>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</si>
  <si>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</si>
  <si>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</si>
  <si>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</si>
  <si>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</si>
  <si>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</si>
  <si>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</si>
  <si>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</si>
  <si>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</si>
  <si>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</si>
  <si>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</si>
  <si>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</si>
  <si>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</si>
  <si>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</si>
  <si>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</si>
  <si>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</si>
  <si>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</si>
  <si>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</si>
  <si>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</si>
  <si>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</si>
  <si>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</si>
  <si>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</si>
  <si>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</si>
  <si>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</si>
  <si>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</si>
  <si>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</si>
  <si>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</si>
  <si>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</si>
  <si>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</si>
  <si>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</si>
  <si>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</si>
  <si>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</si>
  <si>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</si>
  <si>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</si>
  <si>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</si>
  <si>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</si>
  <si>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</si>
  <si>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</si>
  <si>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</si>
  <si>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</si>
  <si>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</si>
  <si>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</si>
  <si>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</si>
  <si>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</si>
  <si>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</si>
  <si>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</si>
  <si>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</si>
  <si>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</si>
  <si>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</si>
  <si>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</si>
  <si>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</si>
  <si>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</si>
  <si>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</si>
  <si>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</si>
  <si>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</si>
  <si>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</si>
  <si>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</si>
  <si>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</si>
  <si>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</si>
  <si>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</si>
  <si>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</si>
  <si>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</si>
  <si>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</si>
  <si>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</si>
  <si>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</si>
  <si>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</si>
  <si>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</si>
  <si>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</si>
  <si>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</si>
  <si>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</si>
  <si>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</si>
  <si>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</si>
  <si>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</si>
  <si>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</si>
  <si>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</si>
  <si>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</si>
  <si>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</si>
  <si>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</si>
  <si>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</si>
  <si>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</si>
  <si>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</si>
  <si>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</si>
  <si>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</si>
  <si>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</si>
  <si>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</si>
  <si>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</si>
  <si>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</si>
  <si>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</si>
  <si>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</si>
  <si>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</si>
  <si>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</si>
  <si>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</si>
  <si>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</si>
  <si>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</si>
  <si>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</si>
  <si>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</si>
  <si>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</si>
  <si>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</si>
  <si>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</si>
  <si>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</si>
  <si>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</si>
  <si>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</si>
  <si>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</si>
  <si>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</si>
  <si>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</si>
  <si>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</si>
  <si>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</si>
  <si>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</si>
  <si>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</si>
  <si>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</si>
  <si>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</si>
  <si>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</si>
  <si>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</si>
  <si>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</si>
  <si>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</si>
  <si>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</si>
  <si>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</si>
  <si>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</si>
  <si>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</si>
  <si>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</si>
  <si>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</si>
  <si>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</si>
  <si>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</si>
  <si>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</si>
  <si>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</si>
  <si>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</si>
  <si>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</si>
  <si>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</si>
  <si>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</si>
  <si>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</si>
  <si>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</si>
  <si>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</si>
  <si>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</si>
  <si>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</si>
  <si>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</si>
  <si>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</si>
  <si>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</si>
  <si>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</si>
  <si>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</si>
  <si>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</si>
  <si>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</si>
  <si>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</si>
  <si>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</si>
  <si>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</si>
  <si>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</si>
  <si>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</si>
  <si>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</si>
  <si>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</si>
  <si>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</si>
  <si>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</si>
  <si>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</si>
  <si>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</si>
  <si>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</si>
  <si>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</si>
  <si>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</si>
  <si>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</si>
  <si>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</si>
  <si>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</si>
  <si>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</si>
  <si>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</si>
  <si>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</si>
  <si>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</si>
  <si>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</si>
  <si>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</si>
  <si>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</si>
  <si>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</si>
  <si>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</si>
  <si>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</si>
  <si>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</si>
  <si>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</si>
  <si>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</si>
  <si>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</si>
  <si>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</si>
  <si>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</si>
  <si>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</si>
  <si>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</si>
  <si>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</si>
  <si>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</si>
  <si>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</si>
  <si>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</si>
  <si>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</si>
  <si>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</si>
  <si>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</si>
  <si>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</si>
  <si>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</si>
  <si>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</si>
  <si>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</si>
  <si>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</si>
  <si>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</si>
  <si>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</si>
  <si>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</si>
  <si>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</si>
  <si>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</si>
  <si>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</si>
  <si>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</si>
  <si>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</si>
  <si>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</si>
  <si>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</si>
  <si>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</si>
  <si>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</si>
  <si>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</si>
  <si>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</si>
  <si>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</si>
  <si>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</si>
  <si>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</si>
  <si>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</si>
  <si>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</si>
  <si>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</si>
  <si>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</si>
  <si>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</si>
  <si>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</si>
  <si>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</si>
  <si>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</si>
  <si>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</si>
  <si>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</si>
  <si>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</si>
  <si>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</si>
  <si>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</si>
  <si>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</si>
  <si>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</si>
  <si>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</si>
  <si>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</si>
  <si>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</si>
  <si>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</si>
  <si>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</si>
  <si>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</si>
  <si>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</si>
  <si>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</si>
  <si>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</si>
  <si>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</si>
  <si>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</si>
  <si>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</si>
  <si>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</si>
  <si>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</si>
  <si>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</si>
  <si>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</si>
  <si>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</si>
  <si>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</si>
  <si>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</si>
  <si>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</si>
  <si>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</si>
  <si>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</si>
  <si>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</si>
  <si>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</si>
  <si>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</si>
  <si>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</si>
  <si>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</si>
  <si>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</si>
  <si>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</si>
  <si>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</si>
  <si>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</si>
  <si>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</si>
  <si>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</si>
  <si>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</si>
  <si>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</si>
  <si>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</si>
  <si>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</si>
  <si>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</si>
  <si>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</si>
  <si>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</si>
  <si>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</si>
  <si>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</si>
  <si>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</si>
  <si>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</si>
  <si>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</si>
  <si>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</si>
  <si>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</si>
  <si>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</si>
  <si>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</si>
  <si>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</si>
  <si>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</si>
  <si>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</si>
  <si>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</si>
  <si>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</si>
  <si>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</si>
  <si>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</si>
  <si>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</si>
  <si>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</si>
  <si>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</si>
  <si>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</si>
  <si>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</si>
  <si>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</si>
  <si>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</si>
  <si>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</si>
  <si>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</si>
  <si>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</si>
  <si>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</si>
  <si>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</si>
  <si>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</si>
  <si>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</si>
  <si>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</si>
  <si>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</si>
  <si>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</si>
  <si>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</si>
  <si>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</si>
  <si>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</si>
  <si>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</si>
  <si>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</si>
  <si>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</si>
  <si>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</si>
  <si>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</si>
  <si>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</si>
  <si>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</si>
  <si>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</si>
  <si>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</si>
  <si>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</si>
  <si>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</si>
  <si>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</si>
  <si>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</si>
  <si>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</si>
  <si>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</si>
  <si>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</si>
  <si>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</si>
  <si>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</si>
  <si>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</si>
  <si>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</si>
  <si>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</si>
  <si>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</si>
  <si>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</si>
  <si>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</si>
  <si>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</si>
  <si>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</si>
  <si>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</si>
  <si>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</si>
  <si>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</si>
  <si>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</si>
  <si>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</si>
  <si>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</si>
  <si>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</si>
  <si>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</si>
  <si>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</si>
  <si>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</si>
  <si>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</si>
  <si>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</si>
  <si>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</si>
  <si>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</si>
  <si>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</si>
  <si>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</si>
  <si>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</si>
  <si>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</si>
  <si>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</si>
  <si>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</si>
  <si>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</si>
  <si>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</si>
  <si>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</si>
  <si>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</si>
  <si>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</si>
  <si>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</si>
  <si>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</si>
  <si>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</si>
  <si>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</si>
  <si>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</si>
  <si>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</si>
  <si>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</si>
  <si>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</si>
  <si>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</si>
  <si>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</si>
  <si>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</si>
  <si>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</si>
  <si>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</si>
  <si>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</si>
  <si>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</si>
  <si>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</si>
  <si>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</si>
  <si>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</si>
  <si>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</si>
  <si>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</si>
  <si>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</si>
  <si>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</si>
  <si>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</si>
  <si>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</si>
  <si>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</si>
  <si>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</si>
  <si>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</si>
  <si>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</si>
  <si>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</si>
  <si>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</si>
  <si>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</si>
  <si>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</si>
  <si>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</si>
  <si>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</si>
  <si>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</si>
  <si>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</si>
  <si>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</si>
  <si>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</si>
  <si>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</si>
  <si>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</si>
  <si>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</si>
  <si>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</si>
  <si>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</si>
  <si>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</si>
  <si>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</si>
  <si>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</si>
  <si>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</si>
  <si>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</si>
  <si>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</si>
  <si>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</si>
  <si>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</si>
  <si>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</si>
  <si>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</si>
  <si>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</si>
  <si>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</si>
  <si>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</si>
  <si>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</si>
  <si>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</si>
  <si>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</si>
  <si>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</si>
  <si>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</si>
  <si>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</si>
  <si>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</si>
  <si>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</si>
  <si>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</si>
  <si>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</si>
  <si>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</si>
  <si>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</si>
  <si>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</si>
  <si>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</si>
  <si>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</si>
  <si>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</si>
  <si>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</si>
  <si>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</si>
  <si>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</si>
  <si>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</si>
  <si>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</si>
  <si>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</si>
  <si>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</si>
  <si>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</si>
  <si>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</si>
  <si>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</si>
  <si>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</si>
  <si>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</si>
  <si>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</si>
  <si>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</si>
  <si>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</si>
  <si>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</si>
  <si>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</si>
  <si>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</si>
  <si>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</si>
  <si>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</si>
  <si>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</si>
  <si>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</si>
  <si>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</si>
  <si>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</si>
  <si>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</si>
  <si>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</si>
  <si>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</si>
  <si>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</si>
  <si>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</si>
  <si>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</si>
  <si>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</si>
  <si>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</si>
  <si>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</si>
  <si>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</si>
  <si>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</si>
  <si>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</si>
  <si>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</si>
  <si>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</si>
  <si>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</si>
  <si>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</si>
  <si>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</si>
  <si>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</si>
  <si>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</si>
  <si>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</si>
  <si>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</si>
  <si>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</si>
  <si>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</si>
  <si>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</si>
  <si>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</si>
  <si>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</si>
  <si>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</si>
  <si>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</si>
  <si>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</si>
  <si>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</si>
  <si>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</si>
  <si>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</si>
  <si>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</si>
  <si>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</si>
  <si>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</si>
  <si>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</si>
  <si>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</si>
  <si>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</si>
  <si>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</si>
  <si>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</si>
  <si>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</si>
  <si>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</si>
  <si>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</si>
  <si>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</si>
  <si>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</si>
  <si>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</si>
  <si>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</si>
  <si>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</si>
  <si>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</si>
  <si>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</si>
  <si>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</si>
  <si>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</si>
  <si>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</si>
  <si>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</si>
  <si>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</si>
  <si>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</si>
  <si>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</si>
  <si>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</si>
  <si>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</si>
  <si>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</si>
  <si>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</si>
  <si>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</si>
  <si>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</si>
  <si>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</si>
  <si>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</si>
  <si>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</si>
  <si>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</si>
  <si>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</si>
  <si>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</si>
  <si>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</si>
  <si>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</si>
  <si>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</si>
  <si>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</si>
  <si>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</si>
  <si>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</si>
  <si>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</si>
  <si>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</si>
  <si>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</si>
  <si>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</si>
  <si>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</si>
  <si>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</si>
  <si>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</si>
  <si>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</si>
  <si>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</si>
  <si>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</si>
  <si>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</si>
  <si>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</si>
  <si>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</si>
  <si>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</si>
  <si>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</si>
  <si>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</si>
  <si>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</si>
  <si>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</si>
  <si>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</si>
  <si>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</si>
  <si>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</si>
  <si>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</si>
  <si>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</si>
  <si>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</si>
  <si>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</si>
  <si>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</si>
  <si>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</si>
  <si>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</si>
  <si>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</si>
  <si>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</si>
  <si>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</si>
  <si>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</si>
  <si>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</si>
  <si>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</si>
  <si>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</si>
  <si>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</si>
  <si>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</si>
  <si>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</si>
  <si>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</si>
  <si>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</si>
  <si>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</si>
  <si>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</si>
  <si>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</si>
  <si>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</si>
  <si>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</si>
  <si>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</si>
  <si>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</si>
  <si>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</si>
  <si>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</si>
  <si>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</si>
  <si>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</si>
  <si>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</si>
  <si>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</si>
  <si>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</si>
  <si>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</si>
  <si>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</si>
  <si>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</si>
  <si>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</si>
  <si>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</si>
  <si>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</si>
  <si>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</si>
  <si>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</si>
  <si>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</si>
  <si>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</si>
  <si>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</si>
  <si>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</si>
  <si>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</si>
  <si>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</si>
  <si>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</si>
  <si>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</si>
  <si>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</si>
  <si>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</si>
  <si>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</si>
  <si>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</si>
  <si>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</si>
  <si>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</si>
  <si>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</si>
  <si>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</si>
  <si>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</si>
  <si>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</si>
  <si>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</si>
  <si>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</si>
  <si>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</si>
  <si>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</si>
  <si>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</si>
  <si>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</si>
  <si>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</si>
  <si>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</si>
  <si>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</si>
  <si>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</si>
  <si>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</si>
  <si>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</si>
  <si>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</si>
  <si>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</si>
  <si>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</si>
  <si>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</si>
  <si>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</si>
  <si>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</si>
  <si>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</si>
  <si>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</si>
  <si>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</si>
  <si>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</si>
  <si>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</si>
  <si>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</si>
  <si>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</si>
  <si>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</si>
  <si>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</si>
  <si>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</si>
  <si>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</si>
  <si>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</si>
  <si>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</si>
  <si>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</si>
  <si>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</si>
  <si>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</si>
  <si>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</si>
  <si>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</si>
  <si>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</si>
  <si>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</si>
  <si>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</si>
  <si>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</si>
  <si>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</si>
  <si>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</si>
  <si>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</si>
  <si>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</si>
  <si>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</si>
  <si>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</si>
  <si>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</si>
  <si>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</si>
  <si>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</si>
  <si>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</si>
  <si>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</si>
  <si>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</si>
  <si>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</si>
  <si>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</si>
  <si>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</si>
  <si>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</si>
  <si>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</si>
  <si>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</si>
  <si>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</si>
  <si>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</si>
  <si>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</si>
  <si>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</si>
  <si>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</si>
  <si>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</si>
  <si>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</si>
  <si>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</si>
  <si>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</si>
  <si>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</si>
  <si>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</si>
  <si>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</si>
  <si>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</si>
  <si>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</si>
  <si>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</si>
  <si>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</si>
  <si>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</si>
  <si>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</si>
  <si>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</si>
  <si>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</si>
  <si>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</si>
  <si>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</si>
  <si>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</si>
  <si>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</si>
  <si>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</si>
  <si>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</si>
  <si>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</si>
  <si>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</si>
  <si>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</si>
  <si>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</si>
  <si>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</si>
  <si>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</si>
  <si>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</si>
  <si>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</si>
  <si>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</si>
  <si>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</si>
  <si>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</si>
  <si>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</si>
  <si>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</si>
  <si>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</si>
  <si>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</si>
  <si>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</si>
  <si>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</si>
  <si>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</si>
  <si>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</si>
  <si>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</si>
  <si>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</si>
  <si>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</si>
  <si>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</si>
  <si>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</si>
  <si>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</si>
  <si>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</si>
  <si>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</si>
  <si>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</si>
  <si>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</si>
  <si>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</si>
  <si>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</si>
  <si>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</si>
  <si>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</si>
  <si>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</si>
  <si>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</si>
  <si>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</si>
  <si>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</si>
  <si>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</si>
  <si>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</si>
  <si>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</si>
  <si>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</si>
  <si>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</si>
  <si>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</si>
  <si>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</si>
  <si>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</si>
  <si>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</si>
  <si>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</si>
  <si>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</si>
  <si>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</si>
  <si>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</si>
  <si>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</si>
  <si>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</si>
  <si>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</si>
  <si>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</si>
  <si>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</si>
  <si>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</si>
  <si>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</si>
  <si>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</si>
  <si>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</si>
  <si>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</si>
  <si>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</si>
  <si>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</si>
  <si>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</si>
  <si>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</si>
  <si>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</si>
  <si>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</si>
  <si>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</si>
  <si>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</si>
  <si>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</si>
  <si>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</si>
  <si>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</si>
  <si>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</si>
  <si>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</si>
  <si>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</si>
  <si>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</si>
  <si>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</si>
  <si>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</si>
  <si>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</si>
  <si>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</si>
  <si>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</si>
  <si>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</si>
  <si>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</si>
  <si>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</si>
  <si>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</si>
  <si>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</si>
  <si>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</si>
  <si>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</si>
  <si>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</si>
  <si>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</si>
  <si>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</si>
  <si>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</si>
  <si>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</si>
  <si>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</si>
  <si>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</si>
  <si>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</si>
  <si>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</si>
  <si>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</si>
  <si>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</si>
  <si>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</si>
  <si>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</si>
  <si>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</si>
  <si>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</si>
  <si>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</si>
  <si>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</si>
  <si>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</si>
  <si>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</si>
  <si>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</si>
  <si>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</si>
  <si>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</si>
  <si>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</si>
  <si>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</si>
  <si>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</si>
  <si>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</si>
  <si>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</si>
  <si>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</si>
  <si>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</si>
  <si>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</si>
  <si>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</si>
  <si>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</si>
  <si>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</si>
  <si>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</si>
  <si>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</si>
  <si>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</si>
  <si>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</si>
  <si>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</si>
  <si>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</si>
  <si>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</si>
  <si>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</si>
  <si>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</si>
  <si>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</si>
  <si>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</si>
  <si>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</si>
  <si>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</si>
  <si>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</si>
  <si>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</si>
  <si>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</si>
  <si>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</si>
  <si>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</si>
  <si>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</si>
  <si>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</si>
  <si>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</si>
  <si>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</si>
  <si>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</si>
  <si>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</si>
  <si>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</si>
  <si>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</si>
  <si>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</si>
  <si>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</si>
  <si>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</si>
  <si>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</si>
  <si>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</si>
  <si>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</si>
  <si>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</si>
  <si>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</si>
  <si>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</si>
  <si>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</si>
  <si>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</si>
  <si>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</si>
  <si>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</si>
  <si>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</si>
  <si>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</si>
  <si>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</si>
  <si>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</si>
  <si>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</si>
  <si>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</si>
  <si>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</si>
  <si>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</si>
  <si>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</si>
  <si>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</si>
  <si>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</si>
  <si>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</si>
  <si>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</si>
  <si>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</si>
  <si>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</si>
  <si>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</si>
  <si>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</si>
  <si>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</si>
  <si>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</si>
  <si>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</si>
  <si>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</si>
  <si>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</si>
  <si>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</si>
  <si>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</si>
  <si>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</si>
  <si>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</si>
  <si>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</si>
  <si>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</si>
  <si>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</si>
  <si>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</si>
  <si>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</si>
  <si>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</si>
  <si>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</si>
  <si>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</si>
  <si>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</si>
  <si>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</si>
  <si>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</si>
  <si>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</si>
  <si>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</si>
  <si>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</si>
  <si>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</si>
  <si>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</si>
  <si>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</si>
  <si>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</si>
  <si>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</si>
  <si>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</si>
  <si>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</si>
  <si>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</si>
  <si>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</si>
  <si>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</si>
  <si>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</si>
  <si>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</si>
  <si>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</si>
  <si>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</si>
  <si>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</si>
  <si>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</si>
  <si>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</si>
  <si>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</si>
  <si>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</si>
  <si>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</si>
  <si>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</si>
  <si>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</si>
  <si>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</si>
  <si>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</si>
  <si>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</si>
  <si>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</si>
  <si>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</si>
  <si>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</si>
  <si>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</si>
  <si>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</si>
  <si>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</si>
  <si>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</si>
  <si>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</si>
  <si>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</si>
  <si>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</si>
  <si>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</si>
  <si>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</si>
  <si>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</si>
  <si>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</si>
  <si>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</si>
  <si>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</si>
  <si>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</si>
  <si>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</si>
  <si>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</si>
  <si>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</si>
  <si>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</si>
  <si>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</si>
  <si>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</si>
  <si>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</si>
  <si>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</si>
  <si>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</si>
  <si>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</si>
  <si>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</si>
  <si>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</si>
  <si>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</si>
  <si>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</si>
  <si>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</si>
  <si>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</si>
  <si>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</si>
  <si>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</si>
  <si>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</si>
  <si>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</si>
  <si>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</si>
  <si>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</si>
  <si>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</si>
  <si>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</si>
  <si>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</si>
  <si>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</si>
  <si>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</si>
  <si>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</si>
  <si>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</si>
  <si>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</si>
  <si>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</si>
  <si>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</si>
  <si>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</si>
  <si>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</si>
  <si>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</si>
  <si>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</si>
  <si>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</si>
  <si>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</si>
  <si>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</si>
  <si>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</si>
  <si>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</si>
  <si>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</si>
  <si>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</si>
  <si>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</si>
  <si>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</si>
  <si>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</si>
  <si>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</si>
  <si>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</si>
  <si>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</si>
  <si>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</si>
  <si>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</si>
  <si>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</si>
  <si>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</si>
  <si>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</si>
  <si>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</si>
  <si>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</si>
  <si>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</si>
  <si>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</si>
  <si>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</si>
  <si>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</si>
  <si>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</si>
  <si>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</si>
  <si>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</si>
  <si>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</si>
  <si>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</si>
  <si>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</si>
  <si>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</si>
  <si>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</si>
  <si>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</si>
  <si>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</si>
  <si>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</si>
  <si>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</si>
  <si>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</si>
  <si>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</si>
  <si>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</si>
  <si>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</si>
  <si>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</si>
  <si>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</si>
  <si>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</si>
  <si>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</si>
  <si>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</si>
  <si>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</si>
  <si>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</si>
  <si>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</si>
  <si>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</si>
  <si>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</si>
  <si>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</si>
  <si>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</si>
  <si>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</si>
  <si>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</si>
  <si>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</si>
  <si>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</si>
  <si>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</si>
  <si>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</si>
  <si>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</si>
  <si>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</si>
  <si>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</si>
  <si>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</si>
  <si>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</si>
  <si>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</si>
  <si>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</si>
  <si>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</si>
  <si>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</si>
  <si>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</si>
  <si>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</si>
  <si>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</si>
  <si>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</si>
  <si>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</si>
  <si>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</si>
  <si>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</si>
  <si>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</si>
  <si>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</si>
  <si>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</si>
  <si>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</si>
  <si>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</si>
  <si>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</si>
  <si>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</si>
  <si>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</si>
  <si>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</si>
  <si>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</si>
  <si>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</si>
  <si>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</si>
  <si>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</si>
  <si>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</si>
  <si>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</si>
  <si>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</si>
  <si>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</si>
  <si>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</si>
  <si>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</si>
  <si>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</si>
  <si>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</si>
  <si>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</si>
  <si>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</si>
  <si>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</si>
  <si>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</si>
  <si>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</si>
  <si>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</si>
  <si>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</si>
  <si>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</si>
  <si>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</si>
  <si>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</si>
  <si>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</si>
  <si>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</si>
  <si>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</si>
  <si>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</si>
  <si>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</si>
  <si>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</si>
  <si>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</si>
  <si>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</si>
  <si>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</si>
  <si>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</si>
  <si>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</si>
  <si>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</si>
  <si>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</si>
  <si>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</si>
  <si>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</si>
  <si>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</si>
  <si>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</si>
  <si>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</si>
  <si>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</si>
  <si>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</si>
  <si>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</si>
  <si>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</si>
  <si>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</si>
  <si>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</si>
  <si>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</si>
  <si>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</si>
  <si>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</si>
  <si>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</si>
  <si>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</si>
  <si>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</si>
  <si>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</si>
  <si>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</si>
  <si>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</si>
  <si>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</si>
  <si>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</si>
  <si>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</si>
  <si>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</si>
  <si>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</si>
  <si>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</si>
  <si>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</si>
  <si>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</si>
  <si>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</si>
  <si>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</si>
  <si>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</si>
  <si>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</si>
  <si>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</si>
  <si>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</si>
  <si>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</si>
  <si>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</si>
  <si>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</si>
  <si>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</si>
  <si>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</si>
  <si>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</si>
  <si>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</si>
  <si>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</si>
  <si>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</si>
  <si>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</si>
  <si>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</si>
  <si>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</si>
  <si>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</si>
  <si>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</si>
  <si>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</si>
  <si>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</si>
  <si>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</si>
  <si>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</si>
  <si>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</si>
  <si>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</si>
  <si>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</si>
  <si>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</si>
  <si>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</si>
  <si>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</si>
  <si>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</si>
  <si>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</si>
  <si>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</si>
  <si>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</si>
  <si>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</si>
  <si>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</si>
  <si>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</si>
  <si>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</si>
  <si>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</si>
  <si>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</si>
  <si>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</si>
  <si>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</si>
  <si>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</si>
  <si>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</si>
  <si>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</si>
  <si>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</si>
  <si>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</si>
  <si>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</si>
  <si>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</si>
  <si>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</si>
  <si>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</si>
  <si>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</si>
  <si>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</si>
  <si>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</si>
  <si>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</si>
  <si>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</si>
  <si>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</si>
  <si>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</si>
  <si>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</si>
  <si>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</si>
  <si>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</si>
  <si>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</si>
  <si>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</si>
  <si>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</si>
  <si>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</si>
  <si>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</si>
  <si>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</si>
  <si>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</si>
  <si>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</si>
  <si>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</si>
  <si>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</si>
  <si>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</si>
  <si>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</si>
  <si>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</si>
  <si>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</si>
  <si>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</si>
  <si>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</si>
  <si>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</si>
  <si>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</si>
  <si>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</si>
  <si>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</si>
  <si>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</si>
  <si>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</si>
  <si>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</si>
  <si>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</si>
  <si>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</si>
  <si>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</si>
  <si>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</si>
  <si>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</si>
  <si>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</si>
  <si>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</si>
  <si>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</si>
  <si>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</si>
  <si>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</si>
  <si>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</si>
  <si>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</si>
  <si>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</si>
  <si>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</si>
  <si>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</si>
  <si>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</si>
  <si>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</si>
  <si>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</si>
  <si>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</si>
  <si>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</si>
  <si>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</si>
  <si>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</si>
  <si>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</si>
  <si>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</si>
  <si>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</si>
  <si>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</si>
  <si>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</si>
  <si>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</si>
  <si>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</si>
  <si>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</si>
  <si>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</si>
  <si>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</si>
  <si>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</si>
  <si>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</si>
  <si>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</si>
  <si>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</si>
  <si>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</si>
  <si>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</si>
  <si>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</si>
  <si>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</si>
  <si>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</si>
  <si>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</si>
  <si>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</si>
  <si>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</si>
  <si>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</si>
  <si>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</si>
  <si>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</si>
  <si>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</si>
  <si>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</si>
  <si>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</si>
  <si>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</si>
  <si>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</si>
  <si>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</si>
  <si>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</si>
  <si>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</si>
  <si>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</si>
  <si>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</si>
  <si>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</si>
  <si>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</si>
  <si>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</si>
  <si>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</si>
  <si>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</si>
  <si>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</si>
  <si>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</si>
  <si>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</si>
  <si>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</si>
  <si>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</si>
  <si>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</si>
  <si>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</si>
  <si>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</si>
  <si>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</si>
  <si>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</si>
  <si>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</si>
  <si>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</si>
  <si>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</si>
  <si>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</si>
  <si>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</si>
  <si>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</si>
  <si>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</si>
  <si>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</si>
  <si>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</si>
  <si>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</si>
  <si>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</si>
  <si>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</si>
  <si>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</si>
  <si>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</si>
  <si>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</si>
  <si>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</si>
  <si>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</si>
  <si>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</si>
  <si>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</si>
  <si>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</si>
  <si>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</si>
  <si>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</si>
  <si>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</si>
  <si>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</si>
  <si>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</si>
  <si>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</si>
  <si>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</si>
  <si>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</si>
  <si>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</si>
  <si>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</si>
  <si>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</si>
  <si>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</si>
  <si>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</si>
  <si>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</si>
  <si>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</si>
  <si>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</si>
  <si>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</si>
  <si>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</si>
  <si>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</si>
  <si>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</si>
  <si>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</si>
  <si>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</si>
  <si>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</si>
  <si>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</si>
  <si>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</si>
  <si>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</si>
  <si>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</si>
  <si>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</si>
  <si>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</si>
  <si>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</si>
  <si>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</si>
  <si>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</si>
  <si>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</si>
  <si>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</si>
  <si>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</si>
  <si>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</si>
  <si>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</si>
  <si>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</si>
  <si>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</si>
  <si>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</si>
  <si>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</si>
  <si>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</si>
  <si>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</si>
  <si>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</si>
  <si>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</si>
  <si>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</si>
  <si>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</si>
  <si>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</si>
  <si>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</si>
  <si>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</si>
  <si>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</si>
  <si>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</si>
  <si>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</si>
  <si>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</si>
  <si>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</si>
  <si>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</si>
  <si>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</si>
  <si>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</si>
  <si>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</si>
  <si>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</si>
  <si>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</si>
  <si>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</si>
  <si>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</si>
  <si>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</si>
  <si>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</si>
  <si>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</si>
  <si>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</si>
  <si>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</si>
  <si>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</si>
  <si>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</si>
  <si>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</si>
  <si>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</si>
  <si>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</si>
  <si>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</si>
  <si>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</si>
  <si>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</si>
  <si>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</si>
  <si>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</si>
  <si>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</si>
  <si>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</si>
  <si>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</si>
  <si>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</si>
  <si>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</si>
  <si>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</si>
  <si>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</si>
  <si>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</si>
  <si>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</si>
  <si>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</si>
  <si>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</si>
  <si>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</si>
  <si>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</si>
  <si>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</si>
  <si>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</si>
  <si>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</si>
  <si>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</si>
  <si>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</si>
  <si>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</si>
  <si>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</si>
  <si>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</si>
  <si>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</si>
  <si>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</si>
  <si>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</si>
  <si>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</si>
  <si>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</si>
  <si>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</si>
  <si>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</si>
  <si>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</si>
  <si>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</si>
  <si>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</si>
  <si>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</si>
  <si>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</si>
  <si>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</si>
  <si>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</si>
  <si>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</si>
  <si>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</si>
  <si>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</si>
  <si>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</si>
  <si>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</si>
  <si>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</si>
  <si>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</si>
  <si>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</si>
  <si>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</si>
  <si>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</si>
  <si>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</si>
  <si>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</si>
  <si>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</si>
  <si>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</si>
  <si>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</si>
  <si>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</si>
  <si>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</si>
  <si>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</si>
  <si>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</si>
  <si>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</si>
  <si>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</si>
  <si>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</si>
  <si>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</si>
  <si>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</si>
  <si>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</si>
  <si>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</si>
  <si>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</si>
  <si>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</si>
  <si>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</si>
  <si>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</si>
  <si>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</si>
  <si>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</si>
  <si>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</si>
  <si>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</si>
  <si>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</si>
  <si>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</si>
  <si>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</si>
  <si>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</si>
  <si>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</si>
  <si>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</si>
  <si>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</si>
  <si>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</si>
  <si>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</si>
  <si>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</si>
  <si>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</si>
  <si>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</si>
  <si>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</si>
  <si>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</si>
  <si>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</si>
  <si>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</si>
  <si>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</si>
  <si>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</si>
  <si>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</si>
  <si>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</si>
  <si>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</si>
  <si>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</si>
  <si>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</si>
  <si>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</si>
  <si>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</si>
  <si>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</si>
  <si>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</si>
  <si>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</si>
  <si>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</si>
  <si>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</si>
  <si>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</si>
  <si>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</si>
  <si>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</si>
  <si>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</si>
  <si>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</si>
  <si>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</si>
  <si>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</si>
  <si>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</si>
  <si>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</si>
  <si>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</si>
  <si>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</si>
  <si>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</si>
  <si>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</si>
  <si>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</si>
  <si>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</si>
  <si>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</si>
  <si>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</si>
  <si>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</si>
  <si>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</si>
  <si>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</si>
  <si>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</si>
  <si>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</si>
  <si>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</si>
  <si>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</si>
  <si>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</si>
  <si>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</si>
  <si>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</si>
  <si>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</si>
  <si>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</si>
  <si>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</si>
  <si>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</si>
  <si>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</si>
  <si>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</si>
  <si>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</si>
  <si>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</si>
  <si>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</si>
  <si>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</si>
  <si>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</si>
  <si>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</si>
  <si>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</si>
  <si>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</si>
  <si>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</si>
  <si>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</si>
  <si>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</si>
  <si>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</si>
  <si>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</si>
  <si>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</si>
  <si>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</si>
  <si>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</si>
  <si>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</si>
  <si>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</si>
  <si>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</si>
  <si>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</si>
  <si>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</si>
  <si>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</si>
  <si>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</si>
  <si>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</si>
  <si>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</si>
  <si>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</si>
  <si>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</si>
  <si>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</si>
  <si>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</si>
  <si>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</si>
  <si>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</si>
  <si>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</si>
  <si>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</si>
  <si>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</si>
  <si>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</si>
  <si>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</si>
  <si>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</si>
  <si>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</si>
  <si>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</si>
  <si>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</si>
  <si>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</si>
  <si>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</si>
  <si>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</si>
  <si>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</si>
  <si>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</si>
  <si>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</si>
  <si>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</si>
  <si>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</si>
  <si>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</si>
  <si>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</si>
  <si>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</si>
  <si>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</si>
  <si>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</si>
  <si>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</si>
  <si>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</si>
  <si>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</si>
  <si>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</si>
  <si>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</si>
  <si>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</si>
  <si>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</si>
  <si>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</si>
  <si>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</si>
  <si>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</si>
  <si>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</si>
  <si>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</si>
  <si>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</si>
  <si>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</si>
  <si>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</si>
  <si>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</si>
  <si>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</si>
  <si>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</si>
  <si>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</si>
  <si>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</si>
  <si>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</si>
  <si>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</si>
  <si>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</si>
  <si>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</si>
  <si>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</si>
  <si>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</si>
  <si>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</si>
  <si>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</si>
  <si>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</si>
  <si>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</si>
  <si>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</si>
  <si>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</si>
  <si>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</si>
  <si>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</si>
  <si>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</si>
  <si>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</si>
  <si>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</si>
  <si>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</si>
  <si>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</si>
  <si>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</si>
  <si>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</si>
  <si>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</si>
  <si>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</si>
  <si>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</si>
  <si>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</si>
  <si>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</si>
  <si>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</si>
  <si>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</si>
  <si>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</si>
  <si>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</si>
  <si>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</si>
  <si>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</si>
  <si>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</si>
  <si>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</si>
  <si>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</si>
  <si>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</si>
  <si>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</si>
  <si>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</si>
  <si>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</si>
  <si>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</si>
  <si>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</si>
  <si>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</si>
  <si>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</si>
  <si>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</si>
  <si>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</si>
  <si>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</si>
  <si>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</si>
  <si>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</si>
  <si>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</si>
  <si>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</si>
  <si>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</si>
  <si>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</si>
  <si>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</si>
  <si>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</si>
  <si>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</si>
  <si>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</si>
  <si>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</si>
  <si>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</si>
  <si>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</si>
  <si>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</si>
  <si>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</si>
  <si>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</si>
  <si>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</si>
  <si>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</si>
  <si>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</si>
  <si>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</si>
  <si>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</si>
  <si>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</si>
  <si>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</si>
  <si>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</si>
  <si>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</si>
  <si>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</si>
  <si>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</si>
  <si>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</si>
  <si>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</si>
  <si>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</si>
  <si>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</si>
  <si>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</si>
  <si>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</si>
  <si>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</si>
  <si>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</si>
  <si>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</si>
  <si>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</si>
  <si>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</si>
  <si>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</si>
  <si>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</si>
  <si>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</si>
  <si>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</si>
  <si>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</si>
  <si>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</si>
  <si>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</si>
  <si>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</si>
  <si>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</si>
  <si>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</si>
  <si>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</si>
  <si>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</si>
  <si>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</si>
  <si>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</si>
  <si>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</si>
  <si>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</si>
  <si>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</si>
  <si>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</si>
  <si>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</si>
  <si>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</si>
  <si>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</si>
  <si>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</si>
  <si>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</si>
  <si>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</si>
  <si>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</si>
  <si>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</si>
  <si>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</si>
  <si>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</si>
  <si>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</si>
  <si>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</si>
  <si>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</si>
  <si>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</si>
  <si>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</si>
  <si>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</si>
  <si>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</si>
  <si>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</si>
  <si>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</si>
  <si>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</si>
  <si>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</si>
  <si>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</si>
  <si>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</si>
  <si>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</si>
  <si>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</si>
  <si>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</si>
  <si>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</si>
  <si>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</si>
  <si>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</si>
  <si>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</si>
  <si>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</si>
  <si>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</si>
  <si>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</si>
  <si>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</si>
  <si>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</si>
  <si>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</si>
  <si>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</si>
  <si>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</si>
  <si>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</si>
  <si>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</si>
  <si>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</si>
  <si>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</si>
  <si>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</si>
  <si>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</si>
  <si>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</si>
  <si>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</si>
  <si>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</si>
  <si>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</si>
  <si>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</si>
  <si>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</si>
  <si>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</si>
  <si>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</si>
  <si>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</si>
  <si>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</si>
  <si>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</si>
  <si>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</si>
  <si>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</si>
  <si>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</si>
  <si>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</si>
  <si>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</si>
  <si>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</si>
  <si>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</si>
  <si>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</si>
  <si>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</si>
  <si>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</si>
  <si>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</si>
  <si>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</si>
  <si>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</si>
  <si>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</si>
  <si>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</si>
  <si>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</si>
  <si>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</si>
  <si>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</si>
  <si>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</si>
  <si>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</si>
  <si>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</si>
  <si>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</si>
  <si>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</si>
  <si>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</si>
  <si>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</si>
  <si>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</si>
  <si>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</si>
  <si>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</si>
  <si>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</si>
  <si>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</si>
  <si>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</si>
  <si>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</si>
  <si>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</si>
  <si>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</si>
  <si>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</si>
  <si>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</si>
  <si>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</si>
  <si>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</si>
  <si>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</si>
  <si>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</si>
  <si>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</si>
  <si>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</si>
  <si>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</si>
  <si>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</si>
  <si>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</si>
  <si>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</si>
  <si>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</si>
  <si>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</si>
  <si>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</si>
  <si>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</si>
  <si>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</si>
  <si>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</si>
  <si>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</si>
  <si>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</si>
  <si>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</si>
  <si>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</si>
  <si>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</si>
  <si>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</si>
  <si>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</si>
  <si>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</si>
  <si>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</si>
  <si>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</si>
  <si>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</si>
  <si>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</si>
  <si>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</si>
  <si>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</si>
  <si>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</si>
  <si>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</si>
  <si>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</si>
  <si>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</si>
  <si>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</si>
  <si>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</si>
  <si>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</si>
  <si>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</si>
  <si>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</si>
  <si>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</si>
  <si>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</si>
  <si>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</si>
  <si>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</si>
  <si>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</si>
  <si>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</si>
  <si>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</si>
  <si>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</si>
  <si>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</si>
  <si>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</si>
  <si>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</si>
  <si>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</si>
  <si>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</si>
  <si>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</si>
  <si>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</si>
  <si>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</si>
  <si>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</si>
  <si>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</si>
  <si>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</si>
  <si>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</si>
  <si>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</si>
  <si>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</si>
  <si>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</si>
  <si>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</si>
  <si>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</si>
  <si>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</si>
  <si>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</si>
  <si>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</si>
  <si>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</si>
  <si>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</si>
  <si>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</si>
  <si>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</si>
  <si>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</si>
  <si>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</si>
  <si>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</si>
  <si>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</si>
  <si>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</si>
  <si>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</si>
  <si>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</si>
  <si>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</si>
  <si>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</si>
  <si>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</si>
  <si>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</si>
  <si>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</si>
  <si>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</si>
  <si>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</si>
  <si>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</si>
  <si>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</si>
  <si>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</si>
  <si>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</si>
  <si>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</si>
  <si>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</si>
  <si>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</si>
  <si>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</si>
  <si>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</si>
  <si>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</si>
  <si>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</si>
  <si>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</si>
  <si>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</si>
  <si>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</si>
  <si>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</si>
  <si>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</si>
  <si>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</si>
  <si>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</si>
  <si>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</si>
  <si>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</si>
  <si>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</si>
  <si>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</si>
  <si>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</si>
  <si>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</si>
  <si>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</si>
  <si>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</si>
  <si>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</si>
  <si>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</si>
  <si>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</si>
  <si>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</si>
  <si>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</si>
  <si>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</si>
  <si>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</si>
  <si>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</si>
  <si>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</si>
  <si>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</si>
  <si>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</si>
  <si>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</si>
  <si>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</si>
  <si>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</si>
  <si>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</si>
  <si>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</si>
  <si>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</si>
  <si>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</si>
  <si>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</si>
  <si>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</si>
  <si>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</si>
  <si>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</si>
  <si>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</si>
  <si>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</si>
  <si>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</si>
  <si>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</si>
  <si>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</si>
  <si>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</si>
  <si>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</si>
  <si>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</si>
  <si>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</si>
  <si>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</si>
  <si>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</si>
  <si>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</si>
  <si>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</si>
  <si>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</si>
  <si>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</si>
  <si>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</si>
  <si>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</si>
  <si>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</si>
  <si>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</si>
  <si>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</si>
  <si>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</si>
  <si>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</si>
  <si>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</si>
  <si>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DENNIS ROSE &amp; ASSOCIATES, P.C.</t>
  </si>
  <si>
    <t>DENNIS ROSE</t>
  </si>
  <si>
    <t>1904 STATE STREET</t>
  </si>
  <si>
    <t>ALTON</t>
  </si>
  <si>
    <t>IL</t>
  </si>
  <si>
    <t>618-465-4999</t>
  </si>
  <si>
    <t>618-465-5050</t>
  </si>
  <si>
    <t>066-005060</t>
  </si>
  <si>
    <t>DROSECPA@DRA-CPA.COM</t>
  </si>
  <si>
    <t>x</t>
  </si>
  <si>
    <t>ST. CLAIR</t>
  </si>
  <si>
    <t>BELLE VALLEY SCHOOL DISTRICT NO. 119</t>
  </si>
  <si>
    <t>2465 AMANN DR.</t>
  </si>
  <si>
    <t>BELLEVILLE</t>
  </si>
  <si>
    <t>RDGALE@BV119.NET</t>
  </si>
  <si>
    <t>The accompanying Schedule of Expenditures of Federal Awards includes the federal grant activity of Belle Valley School District No. 119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</si>
  <si>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Belle Valley School District No. 119 provided federal awards to subrecipients as follows:</t>
  </si>
  <si>
    <r>
      <t xml:space="preserve">The following amounts were expended in the form of non-cash assistance by Belle Valley School District No. 119 and </t>
    </r>
    <r>
      <rPr>
        <b/>
        <sz val="9"/>
        <rFont val="Calibri"/>
        <family val="2"/>
        <scheme val="minor"/>
      </rPr>
      <t>should be</t>
    </r>
    <r>
      <rPr>
        <sz val="9"/>
        <rFont val="Calibri"/>
        <family val="2"/>
        <scheme val="minor"/>
      </rPr>
      <t xml:space="preserve"> included in the Schedule of Expenditures of Federal Awards:</t>
    </r>
  </si>
  <si>
    <t>NONE</t>
  </si>
  <si>
    <t>BUILDING AMERICA BONDS, 2009A</t>
  </si>
  <si>
    <t>GO REFUNDING SCHOOL BONDS, SERIES 2017</t>
  </si>
  <si>
    <t>BUILDING AMERICA BONDS, 2009B</t>
  </si>
  <si>
    <t>GO REFUNDING SCHOOL BONDS, SERIES 2019A</t>
  </si>
  <si>
    <t>GO REFUNDING SCHOOL BONDS, SERIES 2019B</t>
  </si>
  <si>
    <t>BELLEVILLE AREA SPECIAL SERVICES COOPERATIVE (BASSC)</t>
  </si>
  <si>
    <t>BELLEVILLE TOWNSHIP HIGH SCHOOL #201</t>
  </si>
  <si>
    <t>R5-6 A/C 190 ED FUND - MISCELLANEOUS</t>
  </si>
  <si>
    <t>R9-14 A/C 1999 ED FUND - MISCELLANEOUS</t>
  </si>
  <si>
    <t>R9-14 A/C 1999 O&amp;M FUND - MISCELLANEOUS</t>
  </si>
  <si>
    <t>R9-14 A/C 1999 DEBT SERVICE - MISCELLANEOUS</t>
  </si>
  <si>
    <t>R9-14 A/C 1999 TRANSPORTATION - MISCELLANEOUS</t>
  </si>
  <si>
    <t>R9-14 A/C 1999 TORT FUND - MISCELLANEOUS</t>
  </si>
  <si>
    <t>R9-14 A/C 1993 ED FUND -  MISCELLANEOUS</t>
  </si>
  <si>
    <t>R9-14 A/C 3999 ED FUND - MISCELLANEOUS</t>
  </si>
  <si>
    <t>R9-14 A/C 4299 ED FUND - MISCELLANEOUS</t>
  </si>
  <si>
    <t>R15-22 A/C 2900 SUPPLIES &amp; MATTERIALS - MISCELLANEOUS</t>
  </si>
  <si>
    <t>R15-22 A/C 5400 DEBT SERVICE - MISCELLANEOUS</t>
  </si>
  <si>
    <t>U.S. DEPARTMENT OF EDUCATION:</t>
  </si>
  <si>
    <t>PASS THROUGH FROM THE ILLINOIS STATE BOARD OF EDUCATION:</t>
  </si>
  <si>
    <t>84.010A</t>
  </si>
  <si>
    <t>2018-4300-00</t>
  </si>
  <si>
    <t>2019-4300-00</t>
  </si>
  <si>
    <t>TITLE II - TEACHER QUALITY</t>
  </si>
  <si>
    <t>84.367A</t>
  </si>
  <si>
    <t>2018-4932-00</t>
  </si>
  <si>
    <t>2019-4932-00</t>
  </si>
  <si>
    <t>FED SP ED I.D.E.A. ROOM &amp; BOARD</t>
  </si>
  <si>
    <t>84.027A</t>
  </si>
  <si>
    <t>2018-4625-00</t>
  </si>
  <si>
    <t xml:space="preserve">     TOTAL ILLINOIS STATE BOARD OF EDUCATION</t>
  </si>
  <si>
    <t>PASS THROUGH BELLEVILLE AREA SPECIAL SERVICES COOPERATIVE:</t>
  </si>
  <si>
    <t>2018-4620</t>
  </si>
  <si>
    <t>2019-4620</t>
  </si>
  <si>
    <t>I.D.E.A.PART B 94-142 FLOW THROUGH</t>
  </si>
  <si>
    <t>I.D.E.A. PART B 94-142 FLOW THROUGH</t>
  </si>
  <si>
    <t>I.D.E.A. PART B 94-142 PRE-SCHOOL</t>
  </si>
  <si>
    <t>2018-4600</t>
  </si>
  <si>
    <t>2019-4600</t>
  </si>
  <si>
    <t>DIRECT PROGRAMS:</t>
  </si>
  <si>
    <t>TITLE VIII - IMPACT AID</t>
  </si>
  <si>
    <t>23-IL-17</t>
  </si>
  <si>
    <t>23-IL-18</t>
  </si>
  <si>
    <t>23-IL-19</t>
  </si>
  <si>
    <t>U.S. DEPARTMENT OF HEALTH &amp; HUMAN SERVICES:</t>
  </si>
  <si>
    <t>PASS THROUGH STATE OF ILLINOIS DEPARTMENT OF HEALTHCARE AND FAMILY SERVICES:</t>
  </si>
  <si>
    <t>MEDICAID MATCHING</t>
  </si>
  <si>
    <t xml:space="preserve">     TOTAL DIRECT PROGRAMS</t>
  </si>
  <si>
    <t>TOTAL U.S. DEPARTMENT OF EDUCATION</t>
  </si>
  <si>
    <t>U.S. DEPARTMENT OF AGRICULTURE:</t>
  </si>
  <si>
    <t>NATIONAL SCHOOL LUNCH PROGRAM     (M)</t>
  </si>
  <si>
    <t>2018-4210-00</t>
  </si>
  <si>
    <t>2019-4210-00</t>
  </si>
  <si>
    <t>SCHOOL BREAKFAST PROGRAM                    (M)</t>
  </si>
  <si>
    <t>2018-4220-00</t>
  </si>
  <si>
    <t>2019-4220-00</t>
  </si>
  <si>
    <t>COMMODITIES (NON-CASH ASSISTANCE)  (M)</t>
  </si>
  <si>
    <t>2019-4299-00</t>
  </si>
  <si>
    <t>TOTAL U.S. DEPARTMENT OF AGRICULTURE</t>
  </si>
  <si>
    <t>U.S. DEPARTMENT OF DEFENSE:</t>
  </si>
  <si>
    <t>TOTAL FEDERAL PROGRAMS</t>
  </si>
  <si>
    <t>INFORMATIONAL ONLY:</t>
  </si>
  <si>
    <t>TOTAL CFDA 84.010A</t>
  </si>
  <si>
    <t>TOTAL CFDA 84.367A</t>
  </si>
  <si>
    <t>TOTAL CFDA 84.027</t>
  </si>
  <si>
    <t>TOTAL CFDA 10.555</t>
  </si>
  <si>
    <t>TOTAL CFDA 10.553</t>
  </si>
  <si>
    <t>TOTAL CFDA 93.778</t>
  </si>
  <si>
    <t>TOTAL ALL CFDAS</t>
  </si>
  <si>
    <t>CLUSTER PROGRAMS:</t>
  </si>
  <si>
    <t>10.553, 10.555</t>
  </si>
  <si>
    <t>TOTAL CFDA 84.041</t>
  </si>
  <si>
    <t>BUILD AMERICA BOND INTEREST</t>
  </si>
  <si>
    <t>VALUE OF COMMODITIES</t>
  </si>
  <si>
    <t>ADVERSE</t>
  </si>
  <si>
    <t>UNMODIFIED</t>
  </si>
  <si>
    <t>CHILD NUTRITION</t>
  </si>
  <si>
    <t>BTHS 201</t>
  </si>
  <si>
    <t>10-2560-300</t>
  </si>
  <si>
    <t>OPAA</t>
  </si>
  <si>
    <t>SUMNER ONE</t>
  </si>
  <si>
    <t>THERAKIDS, PC</t>
  </si>
  <si>
    <t>ED-PURCHASE SERVICES</t>
  </si>
  <si>
    <t>TRANS-REGULAR STUDENT TRANSPORTATION</t>
  </si>
  <si>
    <t>TRANS-SPEC ED TRANSPORTATION</t>
  </si>
  <si>
    <t xml:space="preserve">TITLE I - LOW INCOME    </t>
  </si>
  <si>
    <t xml:space="preserve">TITLE I - LOW INCOME     </t>
  </si>
  <si>
    <t>TOTAL CFDA 84.027A</t>
  </si>
  <si>
    <t>84.027, 84.027A</t>
  </si>
  <si>
    <t xml:space="preserve">  TOTAL BELLEVILLE  AREA SPECIAL SERVICES COOPERATIVE</t>
  </si>
  <si>
    <t>2017-4620</t>
  </si>
  <si>
    <t>40-2550-300</t>
  </si>
  <si>
    <t>10-2540-300</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</si>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</sst>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14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zoomScalePageLayoutView="86"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81" t="s">
        <v>405</v>
      </c>
      <c r="J1" s="1982"/>
      <c r="K1" s="1982"/>
      <c r="L1" s="1982"/>
      <c r="M1" s="1982"/>
      <c r="N1" s="1982"/>
      <c r="O1" s="1982"/>
      <c r="P1" s="1982"/>
      <c r="Q1" s="1982"/>
      <c r="R1" s="1982"/>
      <c r="S1" s="1982"/>
    </row>
    <row r="2" spans="1:28" ht="12" customHeight="1" x14ac:dyDescent="0.2">
      <c r="A2" s="47" t="s">
        <v>1990</v>
      </c>
      <c r="D2" s="48"/>
      <c r="I2" s="1983" t="s">
        <v>979</v>
      </c>
      <c r="J2" s="1982"/>
      <c r="K2" s="1982"/>
      <c r="L2" s="1982"/>
      <c r="M2" s="1982"/>
      <c r="N2" s="1982"/>
      <c r="O2" s="1982"/>
      <c r="P2" s="1982"/>
      <c r="Q2" s="1982"/>
      <c r="R2" s="1982"/>
      <c r="S2" s="1982"/>
    </row>
    <row r="3" spans="1:28" ht="12" customHeight="1" x14ac:dyDescent="0.2">
      <c r="A3" s="155" t="s">
        <v>1942</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2061</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2061</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6">
        <v>50082119002</v>
      </c>
      <c r="B13" s="2017"/>
      <c r="C13" s="2017"/>
      <c r="D13" s="2017"/>
      <c r="E13" s="2017"/>
      <c r="F13" s="2017"/>
      <c r="G13" s="2017"/>
      <c r="H13" s="2018"/>
      <c r="I13" s="31"/>
      <c r="J13" s="30"/>
      <c r="K13" s="28"/>
      <c r="L13" s="30"/>
      <c r="M13" s="30"/>
      <c r="N13" s="30"/>
      <c r="O13" s="30"/>
      <c r="P13" s="30"/>
      <c r="Q13" s="30"/>
      <c r="R13" s="30"/>
      <c r="S13" s="30"/>
      <c r="T13" s="2021" t="s">
        <v>2062</v>
      </c>
      <c r="U13" s="2022"/>
      <c r="V13" s="2022"/>
      <c r="W13" s="2022"/>
      <c r="X13" s="2022"/>
      <c r="Y13" s="2023"/>
      <c r="Z13" s="2023"/>
      <c r="AA13" s="2024"/>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2072</v>
      </c>
      <c r="B15" s="2019"/>
      <c r="C15" s="2019"/>
      <c r="D15" s="2019"/>
      <c r="E15" s="2019"/>
      <c r="F15" s="2019"/>
      <c r="G15" s="2019"/>
      <c r="H15" s="2020"/>
      <c r="T15" s="2025" t="s">
        <v>2063</v>
      </c>
      <c r="U15" s="1969"/>
      <c r="V15" s="1969"/>
      <c r="W15" s="1969"/>
      <c r="X15" s="1969"/>
      <c r="Y15" s="2026"/>
      <c r="Z15" s="2026"/>
      <c r="AA15" s="202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2073</v>
      </c>
      <c r="B17" s="1976"/>
      <c r="C17" s="1976"/>
      <c r="D17" s="1976"/>
      <c r="E17" s="1976"/>
      <c r="F17" s="1976"/>
      <c r="G17" s="1976"/>
      <c r="H17" s="2001"/>
      <c r="T17" s="2032" t="s">
        <v>2064</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1"/>
      <c r="K18" s="1951"/>
      <c r="L18" s="1951"/>
      <c r="M18" s="1951"/>
      <c r="N18" s="1951"/>
      <c r="O18" s="1951"/>
      <c r="P18" s="1951"/>
      <c r="Q18" s="1951"/>
      <c r="R18" s="1951"/>
      <c r="S18" s="1952"/>
      <c r="T18" s="85" t="s">
        <v>711</v>
      </c>
      <c r="U18" s="51"/>
      <c r="V18" s="72"/>
      <c r="W18" s="50"/>
      <c r="X18" s="85" t="s">
        <v>266</v>
      </c>
      <c r="Y18" s="81"/>
      <c r="Z18" s="159" t="s">
        <v>677</v>
      </c>
      <c r="AA18" s="46"/>
    </row>
    <row r="19" spans="1:27" ht="13.5" customHeight="1" x14ac:dyDescent="0.2">
      <c r="A19" s="2015" t="s">
        <v>2074</v>
      </c>
      <c r="B19" s="1961"/>
      <c r="C19" s="1961"/>
      <c r="D19" s="1961"/>
      <c r="E19" s="1961"/>
      <c r="F19" s="1961"/>
      <c r="G19" s="1961"/>
      <c r="H19" s="1941"/>
      <c r="I19" s="30"/>
      <c r="J19" s="99"/>
      <c r="K19" s="40"/>
      <c r="L19" s="38"/>
      <c r="M19" s="112" t="s">
        <v>315</v>
      </c>
      <c r="P19" s="27"/>
      <c r="Q19" s="27"/>
      <c r="R19" s="27"/>
      <c r="S19" s="31"/>
      <c r="T19" s="2015" t="s">
        <v>2065</v>
      </c>
      <c r="U19" s="1940"/>
      <c r="V19" s="1940"/>
      <c r="W19" s="1941"/>
      <c r="X19" s="2030" t="s">
        <v>2066</v>
      </c>
      <c r="Y19" s="2031"/>
      <c r="Z19" s="2028">
        <v>62002</v>
      </c>
      <c r="AA19" s="202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9" t="s">
        <v>2075</v>
      </c>
      <c r="B21" s="1940"/>
      <c r="C21" s="1940"/>
      <c r="D21" s="1940"/>
      <c r="E21" s="1940"/>
      <c r="F21" s="1940"/>
      <c r="G21" s="1940"/>
      <c r="H21" s="1941"/>
      <c r="I21" s="1995" t="s">
        <v>678</v>
      </c>
      <c r="J21" s="1990"/>
      <c r="K21" s="1990"/>
      <c r="L21" s="1990"/>
      <c r="M21" s="1990"/>
      <c r="N21" s="1990"/>
      <c r="O21" s="1990"/>
      <c r="P21" s="1990"/>
      <c r="Q21" s="1990"/>
      <c r="R21" s="1990"/>
      <c r="S21" s="1996"/>
      <c r="T21" s="2039" t="s">
        <v>2067</v>
      </c>
      <c r="U21" s="2040"/>
      <c r="V21" s="2040"/>
      <c r="W21" s="2040"/>
      <c r="X21" s="2045" t="s">
        <v>2068</v>
      </c>
      <c r="Y21" s="2046"/>
      <c r="Z21" s="2046"/>
      <c r="AA21" s="2047"/>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2076</v>
      </c>
      <c r="B23" s="1993"/>
      <c r="C23" s="1993"/>
      <c r="D23" s="1993"/>
      <c r="E23" s="1993"/>
      <c r="F23" s="1993"/>
      <c r="G23" s="1993"/>
      <c r="H23" s="1994"/>
      <c r="T23" s="1975" t="s">
        <v>2069</v>
      </c>
      <c r="U23" s="2038"/>
      <c r="V23" s="2038"/>
      <c r="W23" s="2038"/>
      <c r="X23" s="2042">
        <v>44530</v>
      </c>
      <c r="Y23" s="2043"/>
      <c r="Z23" s="2043"/>
      <c r="AA23" s="2044"/>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9">
        <v>62220</v>
      </c>
      <c r="B25" s="1940"/>
      <c r="C25" s="1940"/>
      <c r="D25" s="1940"/>
      <c r="E25" s="1940"/>
      <c r="F25" s="1940"/>
      <c r="G25" s="1940"/>
      <c r="H25" s="1941"/>
      <c r="I25" s="113"/>
      <c r="J25" s="1964"/>
      <c r="K25" s="1964"/>
      <c r="L25" s="1964"/>
      <c r="M25" s="1964"/>
      <c r="N25" s="1964"/>
      <c r="O25" s="1964"/>
      <c r="P25" s="1964"/>
      <c r="Q25" s="1964"/>
      <c r="R25" s="1964"/>
      <c r="S25" s="1965"/>
      <c r="T25" s="2035" t="s">
        <v>2070</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0" t="s">
        <v>1511</v>
      </c>
      <c r="J27" s="1951"/>
      <c r="K27" s="1951"/>
      <c r="L27" s="1951"/>
      <c r="M27" s="1951"/>
      <c r="N27" s="1951"/>
      <c r="O27" s="1951"/>
      <c r="P27" s="1951"/>
      <c r="Q27" s="1951"/>
      <c r="R27" s="1951"/>
      <c r="S27" s="195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2061</v>
      </c>
      <c r="C30" s="124" t="s">
        <v>1164</v>
      </c>
      <c r="D30" s="28"/>
      <c r="E30" s="28"/>
      <c r="F30" s="140"/>
      <c r="G30" s="114"/>
      <c r="H30" s="114"/>
      <c r="I30" s="54"/>
      <c r="J30" s="148" t="s">
        <v>2061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1"/>
      <c r="Q35" s="1940"/>
      <c r="R35" s="194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c r="B38" s="1976"/>
      <c r="C38" s="1976"/>
      <c r="D38" s="1976"/>
      <c r="E38" s="1976"/>
      <c r="F38" s="1940"/>
      <c r="G38" s="1940"/>
      <c r="H38" s="1941"/>
      <c r="I38" s="1968"/>
      <c r="J38" s="1969"/>
      <c r="K38" s="1969"/>
      <c r="L38" s="1969"/>
      <c r="M38" s="1969"/>
      <c r="N38" s="1969"/>
      <c r="O38" s="1969"/>
      <c r="P38" s="1970"/>
      <c r="Q38" s="1970"/>
      <c r="R38" s="1970"/>
      <c r="S38" s="1971"/>
      <c r="T38" s="2025"/>
      <c r="U38" s="1969"/>
      <c r="V38" s="1969"/>
      <c r="W38" s="1969"/>
      <c r="X38" s="1970"/>
      <c r="Y38" s="1970"/>
      <c r="Z38" s="1970"/>
      <c r="AA38" s="1971"/>
    </row>
    <row r="39" spans="1:27" ht="12" customHeight="1" x14ac:dyDescent="0.2">
      <c r="A39" s="1945" t="s">
        <v>531</v>
      </c>
      <c r="B39" s="1946"/>
      <c r="C39" s="72"/>
      <c r="D39" s="69"/>
      <c r="E39" s="69"/>
      <c r="F39" s="79"/>
      <c r="G39" s="69"/>
      <c r="H39" s="56"/>
      <c r="I39" s="1945" t="s">
        <v>531</v>
      </c>
      <c r="J39" s="1946"/>
      <c r="K39" s="1946"/>
      <c r="L39" s="1946"/>
      <c r="M39" s="1946"/>
      <c r="N39" s="67"/>
      <c r="O39" s="72"/>
      <c r="P39" s="72"/>
      <c r="Q39" s="78"/>
      <c r="R39" s="72"/>
      <c r="S39" s="56"/>
      <c r="T39" s="72" t="s">
        <v>531</v>
      </c>
      <c r="U39" s="51"/>
      <c r="V39" s="72"/>
      <c r="W39" s="50"/>
      <c r="X39" s="78"/>
      <c r="Y39" s="45"/>
      <c r="Z39" s="45"/>
      <c r="AA39" s="46"/>
    </row>
    <row r="40" spans="1:27" ht="13.5" customHeight="1" x14ac:dyDescent="0.2">
      <c r="A40" s="1953"/>
      <c r="B40" s="1954"/>
      <c r="C40" s="1955"/>
      <c r="D40" s="1955"/>
      <c r="E40" s="1955"/>
      <c r="F40" s="1956"/>
      <c r="G40" s="1956"/>
      <c r="H40" s="1957"/>
      <c r="I40" s="1978"/>
      <c r="J40" s="1979"/>
      <c r="K40" s="1979"/>
      <c r="L40" s="1979"/>
      <c r="M40" s="1979"/>
      <c r="N40" s="1979"/>
      <c r="O40" s="1979"/>
      <c r="P40" s="1979"/>
      <c r="Q40" s="1979"/>
      <c r="R40" s="1979"/>
      <c r="S40" s="1980"/>
      <c r="T40" s="1978"/>
      <c r="U40" s="2041"/>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c r="B42" s="1959"/>
      <c r="C42" s="1960"/>
      <c r="D42" s="1958"/>
      <c r="E42" s="1959"/>
      <c r="F42" s="1959"/>
      <c r="G42" s="1959"/>
      <c r="H42" s="1960"/>
      <c r="I42" s="1942"/>
      <c r="J42" s="1943"/>
      <c r="K42" s="1943"/>
      <c r="L42" s="1943"/>
      <c r="M42" s="1943"/>
      <c r="N42" s="1943"/>
      <c r="O42" s="1944"/>
      <c r="P42" s="1977"/>
      <c r="Q42" s="1943"/>
      <c r="R42" s="1943"/>
      <c r="S42" s="1944"/>
      <c r="T42" s="1942"/>
      <c r="U42" s="1943"/>
      <c r="V42" s="1943"/>
      <c r="W42" s="1944"/>
      <c r="X42" s="1977"/>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7"/>
      <c r="J44" s="1948"/>
      <c r="K44" s="1948"/>
      <c r="L44" s="1948"/>
      <c r="M44" s="1948"/>
      <c r="N44" s="1948"/>
      <c r="O44" s="1948"/>
      <c r="P44" s="1948"/>
      <c r="Q44" s="1948"/>
      <c r="R44" s="1948"/>
      <c r="S44" s="1949"/>
      <c r="T44" s="1947"/>
      <c r="U44" s="1966"/>
      <c r="V44" s="1966"/>
      <c r="W44" s="1966"/>
      <c r="X44" s="1966"/>
      <c r="Y44" s="1966"/>
      <c r="Z44" s="1948"/>
      <c r="AA44" s="1949"/>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rintOptions horizontalCentered="1"/>
  <pageMargins left="0.75" right="0.75" top="1" bottom="0.5" header="0.5" footer="0.5"/>
  <pageSetup scale="65" orientation="landscape" r:id="rId3"/>
  <headerFooter>
    <oddFooter>&amp;C&amp;"Times New Roman,Regular"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K21" sqref="K2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36" t="s">
        <v>1611</v>
      </c>
    </row>
    <row r="23" spans="1:5" x14ac:dyDescent="0.2">
      <c r="A23" s="168"/>
      <c r="B23" s="162" t="s">
        <v>1854</v>
      </c>
      <c r="D23" s="167" t="s">
        <v>637</v>
      </c>
      <c r="E23" s="1836"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5" right="0.75" top="1" bottom="0.5" header="0.5" footer="0.5"/>
  <pageSetup scale="70" fitToHeight="0" orientation="portrait" r:id="rId4"/>
  <headerFooter>
    <oddHeader>&amp;C&amp;"Times New Roman,Regular"BELLE VALLEY SCHOOL DISTRICT NO. 119</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1" colorId="8" zoomScale="110" zoomScaleNormal="110" zoomScaleSheetLayoutView="160" workbookViewId="0">
      <selection activeCell="F85" sqref="F8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2062</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1903</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rintOptions horizontalCentered="1"/>
  <pageMargins left="0.75" right="0.75" top="1" bottom="0.5" header="0.5" footer="0.5"/>
  <pageSetup scale="45" firstPageNumber="2" orientation="portrait" r:id="rId1"/>
  <headerFooter>
    <oddHeader>&amp;C&amp;"Times New Roman,Regular"BELLE VALLEY SCHOOL DISTRICT NO. 119</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BreakPreview" topLeftCell="A25" colorId="8" zoomScale="140" zoomScaleNormal="110" zoomScaleSheetLayoutView="140" workbookViewId="0">
      <selection activeCell="L11" sqref="L1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91813808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1.9900000000000001E-2</v>
      </c>
      <c r="E10" s="356" t="s">
        <v>1005</v>
      </c>
      <c r="F10" s="355">
        <v>3.5000000000000001E-3</v>
      </c>
      <c r="G10" s="356" t="s">
        <v>1005</v>
      </c>
      <c r="H10" s="355">
        <v>1.1999999999999999E-3</v>
      </c>
      <c r="I10" s="356" t="s">
        <v>1006</v>
      </c>
      <c r="J10" s="1732">
        <f>ROUND(D10+F10+H10,5)</f>
        <v>2.46E-2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10368612</v>
      </c>
      <c r="E16" s="356"/>
      <c r="F16" s="1733">
        <f>SUM('Acct Summary 7-8'!C17,'Acct Summary 7-8'!D17,'Acct Summary 7-8'!F17)</f>
        <v>9422616</v>
      </c>
      <c r="G16" s="356"/>
      <c r="H16" s="1733">
        <f>SUM(D16-F16)</f>
        <v>945996</v>
      </c>
      <c r="I16" s="222"/>
      <c r="J16" s="1733">
        <f>SUM('Acct Summary 7-8'!C81,'Acct Summary 7-8'!D81,'Acct Summary 7-8'!F81,'Acct Summary 7-8'!I81)</f>
        <v>8707036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2061</v>
      </c>
      <c r="C31" s="367" t="s">
        <v>586</v>
      </c>
      <c r="D31" s="237" t="s">
        <v>1072</v>
      </c>
      <c r="E31" s="222"/>
      <c r="F31" s="222"/>
      <c r="G31" s="363"/>
      <c r="H31" s="1735">
        <f>IF(B31="X",(J7*0.069),IF(B32="X",(J7*0.138),"Enter x in a.or b."))</f>
        <v>6335152.7520000003</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33375000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orizontalCentered="1"/>
  <pageMargins left="0.75" right="0.75" top="1" bottom="0.5" header="0.5" footer="0.5"/>
  <pageSetup scale="90" firstPageNumber="3" orientation="portrait" r:id="rId1"/>
  <headerFooter>
    <oddHeader>&amp;C&amp;"Times New Roman,Regular"BELLE VALLEY SCHOOL DISTRICT NO. 119</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BreakPreview" zoomScale="91" zoomScaleNormal="86" zoomScaleSheetLayoutView="91" workbookViewId="0">
      <selection activeCell="AE35" sqref="AE3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BELLE VALLEY SCHOOL DISTRICT NO. 119</v>
      </c>
      <c r="E7" s="391"/>
      <c r="G7" s="252"/>
      <c r="H7" s="387"/>
      <c r="I7" s="387"/>
      <c r="J7" s="387"/>
      <c r="K7" s="387"/>
      <c r="L7" s="329"/>
      <c r="M7" s="329"/>
      <c r="N7" s="329"/>
      <c r="O7" s="329"/>
      <c r="P7" s="329"/>
    </row>
    <row r="8" spans="1:18" ht="12.75" x14ac:dyDescent="0.2">
      <c r="A8" s="329"/>
      <c r="B8" s="329"/>
      <c r="C8" s="389" t="s">
        <v>1125</v>
      </c>
      <c r="D8" s="392">
        <f>COVER!A13</f>
        <v>50082119002</v>
      </c>
      <c r="E8" s="393"/>
      <c r="G8" s="329"/>
      <c r="H8" s="329"/>
      <c r="I8" s="329"/>
      <c r="J8" s="329"/>
      <c r="K8" s="329"/>
      <c r="L8" s="329"/>
      <c r="M8" s="329"/>
      <c r="N8" s="329"/>
      <c r="O8" s="329"/>
      <c r="P8" s="329"/>
    </row>
    <row r="9" spans="1:18" ht="12.75" x14ac:dyDescent="0.2">
      <c r="A9" s="329"/>
      <c r="B9" s="329"/>
      <c r="C9" s="389" t="s">
        <v>713</v>
      </c>
      <c r="D9" s="394" t="str">
        <f>COVER!A15</f>
        <v>ST. CLAIR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8707036</v>
      </c>
      <c r="I12" s="404"/>
      <c r="J12" s="404"/>
      <c r="K12" s="405">
        <f>TRUNC((H12/H13*100000),5)/100000</f>
        <v>0.83974942829999999</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10368612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9422616</v>
      </c>
      <c r="I17" s="404"/>
      <c r="J17" s="416"/>
      <c r="K17" s="405">
        <f>TRUNC((H17/H18*100000),5)/100000</f>
        <v>0.90876348730000001</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10368612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8704692</v>
      </c>
      <c r="I24" s="422"/>
      <c r="J24" s="422"/>
      <c r="K24" s="423">
        <f>TRUNC(((H24/H25*100000)/100000),2)</f>
        <v>332.57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26173.93333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1919826.7252799999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33375000</v>
      </c>
      <c r="I32" s="420"/>
      <c r="J32" s="420"/>
      <c r="K32" s="423">
        <f>TRUNC(100-((((H32/H33*100))*100)/100),2)</f>
        <v>-426.82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6335152.7520000003</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pageMargins left="0.75" right="0.75" top="1" bottom="0.5" header="0.5" footer="0.5"/>
  <pageSetup scale="75" firstPageNumber="4" orientation="landscape" r:id="rId3"/>
  <headerFooter>
    <oddHeader>&amp;C&amp;"Times New Roman,Regular"BELLE VALLEY SCHOOL DISTRICT NO. 119</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activeCell="V29" sqref="V29"/>
      <selection pane="bottomLeft" activeCell="C5" sqref="C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4895540</v>
      </c>
      <c r="D4" s="466">
        <v>418179</v>
      </c>
      <c r="E4" s="466">
        <v>961217</v>
      </c>
      <c r="F4" s="466">
        <v>142</v>
      </c>
      <c r="G4" s="466">
        <v>518136</v>
      </c>
      <c r="H4" s="466"/>
      <c r="I4" s="466">
        <v>359755</v>
      </c>
      <c r="J4" s="467">
        <v>671357</v>
      </c>
      <c r="K4" s="466">
        <v>248956</v>
      </c>
      <c r="L4" s="466">
        <v>69936</v>
      </c>
      <c r="M4" s="468"/>
      <c r="N4" s="469"/>
    </row>
    <row r="5" spans="1:14" x14ac:dyDescent="0.2">
      <c r="A5" s="463" t="s">
        <v>992</v>
      </c>
      <c r="B5" s="470">
        <v>120</v>
      </c>
      <c r="C5" s="465">
        <v>2533817</v>
      </c>
      <c r="D5" s="466"/>
      <c r="E5" s="466"/>
      <c r="F5" s="466"/>
      <c r="G5" s="466">
        <v>415999</v>
      </c>
      <c r="H5" s="466"/>
      <c r="I5" s="466">
        <v>497259</v>
      </c>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2344</v>
      </c>
      <c r="D12" s="466"/>
      <c r="E12" s="466"/>
      <c r="F12" s="466"/>
      <c r="G12" s="466"/>
      <c r="H12" s="466"/>
      <c r="I12" s="466"/>
      <c r="J12" s="467"/>
      <c r="K12" s="466"/>
      <c r="L12" s="466"/>
      <c r="M12" s="469"/>
      <c r="N12" s="469"/>
    </row>
    <row r="13" spans="1:14" ht="13.5" customHeight="1" thickBot="1" x14ac:dyDescent="0.25">
      <c r="A13" s="1736" t="s">
        <v>644</v>
      </c>
      <c r="B13" s="1709"/>
      <c r="C13" s="1737">
        <f>SUM(C4:C12)</f>
        <v>7431701</v>
      </c>
      <c r="D13" s="1737">
        <f t="shared" ref="D13:L13" si="0">SUM(D4:D12)</f>
        <v>418179</v>
      </c>
      <c r="E13" s="1737">
        <f t="shared" si="0"/>
        <v>961217</v>
      </c>
      <c r="F13" s="1737">
        <f t="shared" si="0"/>
        <v>142</v>
      </c>
      <c r="G13" s="1737">
        <f t="shared" si="0"/>
        <v>934135</v>
      </c>
      <c r="H13" s="1737">
        <f t="shared" si="0"/>
        <v>0</v>
      </c>
      <c r="I13" s="1737">
        <f t="shared" si="0"/>
        <v>857014</v>
      </c>
      <c r="J13" s="1737">
        <f t="shared" si="0"/>
        <v>671357</v>
      </c>
      <c r="K13" s="1737">
        <f t="shared" si="0"/>
        <v>248956</v>
      </c>
      <c r="L13" s="1737">
        <f t="shared" si="0"/>
        <v>69936</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1086741</v>
      </c>
      <c r="N16" s="484"/>
    </row>
    <row r="17" spans="1:14" s="485" customFormat="1" ht="12.75" customHeight="1" x14ac:dyDescent="0.2">
      <c r="A17" s="482" t="s">
        <v>1403</v>
      </c>
      <c r="B17" s="483">
        <v>230</v>
      </c>
      <c r="C17" s="477"/>
      <c r="D17" s="477"/>
      <c r="E17" s="477"/>
      <c r="F17" s="477"/>
      <c r="G17" s="477"/>
      <c r="H17" s="477"/>
      <c r="I17" s="477"/>
      <c r="J17" s="477"/>
      <c r="K17" s="477"/>
      <c r="L17" s="477"/>
      <c r="M17" s="467">
        <v>32227693</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1247501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961217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32413783</v>
      </c>
    </row>
    <row r="23" spans="1:14" ht="13.5" customHeight="1" thickBot="1" x14ac:dyDescent="0.25">
      <c r="A23" s="1736" t="s">
        <v>643</v>
      </c>
      <c r="B23" s="1741"/>
      <c r="C23" s="468"/>
      <c r="D23" s="468"/>
      <c r="E23" s="468"/>
      <c r="F23" s="468"/>
      <c r="G23" s="468"/>
      <c r="H23" s="468"/>
      <c r="I23" s="468"/>
      <c r="J23" s="468"/>
      <c r="K23" s="468"/>
      <c r="L23" s="468"/>
      <c r="M23" s="1688">
        <f>SUM(M15:M22)</f>
        <v>34561935</v>
      </c>
      <c r="N23" s="1688">
        <f>SUM(N21:N22)</f>
        <v>33375000</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69936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69936</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33375000</v>
      </c>
    </row>
    <row r="37" spans="1:14" ht="13.5" thickBot="1" x14ac:dyDescent="0.25">
      <c r="A37" s="1736" t="s">
        <v>653</v>
      </c>
      <c r="B37" s="1741"/>
      <c r="C37" s="477"/>
      <c r="D37" s="477"/>
      <c r="E37" s="477"/>
      <c r="F37" s="477"/>
      <c r="G37" s="477"/>
      <c r="H37" s="477"/>
      <c r="I37" s="477"/>
      <c r="J37" s="477"/>
      <c r="K37" s="477"/>
      <c r="L37" s="480"/>
      <c r="M37" s="468"/>
      <c r="N37" s="1688">
        <f>SUM(N36:N36)</f>
        <v>33375000</v>
      </c>
    </row>
    <row r="38" spans="1:14" s="329" customFormat="1" ht="13.5" customHeight="1" thickTop="1" x14ac:dyDescent="0.2">
      <c r="A38" s="496" t="s">
        <v>420</v>
      </c>
      <c r="B38" s="483">
        <v>714</v>
      </c>
      <c r="C38" s="466"/>
      <c r="D38" s="466"/>
      <c r="E38" s="466"/>
      <c r="F38" s="466"/>
      <c r="G38" s="466">
        <v>457563</v>
      </c>
      <c r="H38" s="466"/>
      <c r="I38" s="466"/>
      <c r="J38" s="467"/>
      <c r="K38" s="466"/>
      <c r="L38" s="481"/>
      <c r="M38" s="497"/>
      <c r="N38" s="497"/>
    </row>
    <row r="39" spans="1:14" s="329" customFormat="1" ht="13.5" customHeight="1" x14ac:dyDescent="0.2">
      <c r="A39" s="496" t="s">
        <v>342</v>
      </c>
      <c r="B39" s="483">
        <v>730</v>
      </c>
      <c r="C39" s="466">
        <v>7431701</v>
      </c>
      <c r="D39" s="466">
        <v>418179</v>
      </c>
      <c r="E39" s="466">
        <v>961217</v>
      </c>
      <c r="F39" s="466">
        <v>142</v>
      </c>
      <c r="G39" s="466">
        <v>476572</v>
      </c>
      <c r="H39" s="466"/>
      <c r="I39" s="466">
        <v>857014</v>
      </c>
      <c r="J39" s="467">
        <v>671357</v>
      </c>
      <c r="K39" s="466">
        <v>248956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34561935</v>
      </c>
      <c r="N40" s="497"/>
    </row>
    <row r="41" spans="1:14" ht="13.5" customHeight="1" thickBot="1" x14ac:dyDescent="0.25">
      <c r="A41" s="1736" t="s">
        <v>655</v>
      </c>
      <c r="B41" s="1706"/>
      <c r="C41" s="1688">
        <f>(SUM(C34,C37,C38,C39))</f>
        <v>7431701</v>
      </c>
      <c r="D41" s="1688">
        <f t="shared" ref="D41:L41" si="2">SUM(D34,D37,D38:D39)</f>
        <v>418179</v>
      </c>
      <c r="E41" s="1688">
        <f t="shared" si="2"/>
        <v>961217</v>
      </c>
      <c r="F41" s="1688">
        <f t="shared" si="2"/>
        <v>142</v>
      </c>
      <c r="G41" s="1688">
        <f t="shared" si="2"/>
        <v>934135</v>
      </c>
      <c r="H41" s="1688">
        <f t="shared" si="2"/>
        <v>0</v>
      </c>
      <c r="I41" s="1688">
        <f t="shared" si="2"/>
        <v>857014</v>
      </c>
      <c r="J41" s="1688">
        <f t="shared" si="2"/>
        <v>671357</v>
      </c>
      <c r="K41" s="1688">
        <f t="shared" si="2"/>
        <v>248956</v>
      </c>
      <c r="L41" s="1688">
        <f t="shared" si="2"/>
        <v>69936</v>
      </c>
      <c r="M41" s="1688">
        <f>SUM(M40)</f>
        <v>34561935</v>
      </c>
      <c r="N41" s="1688">
        <f>SUM(N37)</f>
        <v>33375000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orizontalCentered="1" gridLinesSet="0"/>
  <pageMargins left="0.75" right="0.75" top="1.5" bottom="0.5" header="0.5" footer="0.5"/>
  <pageSetup scale="55" firstPageNumber="13" orientation="landscape" useFirstPageNumber="1" r:id="rId1"/>
  <headerFooter>
    <oddHeader>&amp;C&amp;"Times New Roman,Regular"BELLE VALLEY SCHOOL DISTRICT NO. 119
STATEMENT OF ASSETS AND LIABILITIES FROM CASH TRANSACTIONS - CASH - REGULATORY BASIS
ALL FUNDS AND ACCOUNT GROUPS
 JUNE 30, 2019</oddHeader>
    <oddFooter>&amp;C&amp;"Times New Roman,Regular"See Notes to Financial Statements and Independent Auditor's Reports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64" colorId="8" zoomScale="110" zoomScaleNormal="110" zoomScaleSheetLayoutView="100" workbookViewId="0">
      <selection activeCell="C49" sqref="C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2864759</v>
      </c>
      <c r="D4" s="1742">
        <f>'Revenues 9-14'!D109</f>
        <v>328756</v>
      </c>
      <c r="E4" s="1742">
        <f>'Revenues 9-14'!E109</f>
        <v>1943224</v>
      </c>
      <c r="F4" s="1742">
        <f>'Revenues 9-14'!F109</f>
        <v>119423</v>
      </c>
      <c r="G4" s="1742">
        <f>'Revenues 9-14'!G109</f>
        <v>357469</v>
      </c>
      <c r="H4" s="1742">
        <f>'Revenues 9-14'!H109</f>
        <v>0</v>
      </c>
      <c r="I4" s="1742">
        <f>'Revenues 9-14'!I109</f>
        <v>52317</v>
      </c>
      <c r="J4" s="1742">
        <f>'Revenues 9-14'!J109</f>
        <v>220775</v>
      </c>
      <c r="K4" s="1742">
        <f>'Revenues 9-14'!K109</f>
        <v>15060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5352292</v>
      </c>
      <c r="D6" s="1743">
        <f>'Revenues 9-14'!D170</f>
        <v>0</v>
      </c>
      <c r="E6" s="1743">
        <f>'Revenues 9-14'!E170</f>
        <v>200000</v>
      </c>
      <c r="F6" s="1743">
        <f>'Revenues 9-14'!F170</f>
        <v>365784</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1285281</v>
      </c>
      <c r="D7" s="1743">
        <f>'Revenues 9-14'!D267</f>
        <v>0</v>
      </c>
      <c r="E7" s="1743">
        <f>'Revenues 9-14'!E267</f>
        <v>486824</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9502332</v>
      </c>
      <c r="D8" s="1688">
        <f t="shared" ref="D8:K8" si="0">SUM(D4:D7)</f>
        <v>328756</v>
      </c>
      <c r="E8" s="1688">
        <f t="shared" si="0"/>
        <v>2630048</v>
      </c>
      <c r="F8" s="1688">
        <f t="shared" si="0"/>
        <v>485207</v>
      </c>
      <c r="G8" s="1688">
        <f t="shared" si="0"/>
        <v>357469</v>
      </c>
      <c r="H8" s="1688">
        <f t="shared" si="0"/>
        <v>0</v>
      </c>
      <c r="I8" s="1688">
        <f t="shared" si="0"/>
        <v>52317</v>
      </c>
      <c r="J8" s="1688">
        <f t="shared" si="0"/>
        <v>220775</v>
      </c>
      <c r="K8" s="1688">
        <f t="shared" si="0"/>
        <v>15060</v>
      </c>
      <c r="L8" s="347"/>
    </row>
    <row r="9" spans="1:13" ht="15.75" thickTop="1" x14ac:dyDescent="0.2">
      <c r="A9" s="514" t="s">
        <v>1653</v>
      </c>
      <c r="B9" s="515">
        <v>3998</v>
      </c>
      <c r="C9" s="481">
        <v>3221642</v>
      </c>
      <c r="D9" s="516"/>
      <c r="E9" s="481"/>
      <c r="F9" s="481"/>
      <c r="G9" s="517"/>
      <c r="H9" s="481"/>
      <c r="I9" s="509" t="s">
        <v>1169</v>
      </c>
      <c r="J9" s="478"/>
      <c r="K9" s="481"/>
      <c r="L9" s="347"/>
    </row>
    <row r="10" spans="1:13" s="519" customFormat="1" ht="13.5" thickBot="1" x14ac:dyDescent="0.25">
      <c r="A10" s="1736" t="s">
        <v>1173</v>
      </c>
      <c r="B10" s="1709"/>
      <c r="C10" s="1688">
        <f>SUM(C8:C9)</f>
        <v>12723974</v>
      </c>
      <c r="D10" s="1688">
        <f t="shared" ref="D10:K10" si="1">SUM(D8:D9)</f>
        <v>328756</v>
      </c>
      <c r="E10" s="1688">
        <f t="shared" si="1"/>
        <v>2630048</v>
      </c>
      <c r="F10" s="1688">
        <f t="shared" si="1"/>
        <v>485207</v>
      </c>
      <c r="G10" s="1688">
        <f t="shared" si="1"/>
        <v>357469</v>
      </c>
      <c r="H10" s="1688">
        <f t="shared" si="1"/>
        <v>0</v>
      </c>
      <c r="I10" s="1688">
        <f t="shared" si="1"/>
        <v>52317</v>
      </c>
      <c r="J10" s="1688">
        <f t="shared" si="1"/>
        <v>220775</v>
      </c>
      <c r="K10" s="1688">
        <f t="shared" si="1"/>
        <v>15060</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5442791</v>
      </c>
      <c r="D12" s="520" t="s">
        <v>1169</v>
      </c>
      <c r="E12" s="468" t="s">
        <v>1169</v>
      </c>
      <c r="F12" s="468" t="s">
        <v>1169</v>
      </c>
      <c r="G12" s="1742">
        <f>'Expenditures 15-22'!K229</f>
        <v>124974</v>
      </c>
      <c r="H12" s="521"/>
      <c r="I12" s="468" t="s">
        <v>1169</v>
      </c>
      <c r="J12" s="468" t="s">
        <v>1169</v>
      </c>
      <c r="K12" s="521" t="s">
        <v>1169</v>
      </c>
      <c r="L12" s="347"/>
    </row>
    <row r="13" spans="1:13" ht="15.75" customHeight="1" x14ac:dyDescent="0.2">
      <c r="A13" s="1576" t="s">
        <v>457</v>
      </c>
      <c r="B13" s="1578">
        <v>2000</v>
      </c>
      <c r="C13" s="1743">
        <f>'Expenditures 15-22'!K74</f>
        <v>2496714</v>
      </c>
      <c r="D13" s="1743">
        <f>'Expenditures 15-22'!K129</f>
        <v>439862</v>
      </c>
      <c r="E13" s="469" t="s">
        <v>1169</v>
      </c>
      <c r="F13" s="1743">
        <f>'Expenditures 15-22'!K184</f>
        <v>558570</v>
      </c>
      <c r="G13" s="1743">
        <f>'Expenditures 15-22'!K279</f>
        <v>151098</v>
      </c>
      <c r="H13" s="1743">
        <f>'Expenditures 15-22'!K303</f>
        <v>0</v>
      </c>
      <c r="I13" s="468" t="s">
        <v>1169</v>
      </c>
      <c r="J13" s="1743">
        <f>'Expenditures 15-22'!K330</f>
        <v>150840</v>
      </c>
      <c r="K13" s="1747">
        <f>'Expenditures 15-22'!K352</f>
        <v>36553</v>
      </c>
      <c r="L13" s="347"/>
    </row>
    <row r="14" spans="1:13" ht="15.75" customHeight="1" x14ac:dyDescent="0.2">
      <c r="A14" s="1576" t="s">
        <v>449</v>
      </c>
      <c r="B14" s="1578">
        <v>3000</v>
      </c>
      <c r="C14" s="1743">
        <f>'Expenditures 15-22'!K75</f>
        <v>97517</v>
      </c>
      <c r="D14" s="1743">
        <f>'Expenditures 15-22'!K130</f>
        <v>0</v>
      </c>
      <c r="E14" s="520" t="s">
        <v>1169</v>
      </c>
      <c r="F14" s="1743">
        <f>'Expenditures 15-22'!K185</f>
        <v>0</v>
      </c>
      <c r="G14" s="1743">
        <f>'Expenditures 15-22'!K280</f>
        <v>8464</v>
      </c>
      <c r="H14" s="512"/>
      <c r="I14" s="468" t="s">
        <v>1169</v>
      </c>
      <c r="J14" s="468" t="s">
        <v>1169</v>
      </c>
      <c r="K14" s="512" t="s">
        <v>1169</v>
      </c>
      <c r="L14" s="347"/>
    </row>
    <row r="15" spans="1:13" ht="15.75" customHeight="1" x14ac:dyDescent="0.2">
      <c r="A15" s="1576" t="s">
        <v>107</v>
      </c>
      <c r="B15" s="1578">
        <v>4000</v>
      </c>
      <c r="C15" s="1743">
        <f>'Expenditures 15-22'!K102</f>
        <v>387162</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22455393</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8424184</v>
      </c>
      <c r="D17" s="1688">
        <f t="shared" si="2"/>
        <v>439862</v>
      </c>
      <c r="E17" s="1688">
        <f t="shared" si="2"/>
        <v>22455393</v>
      </c>
      <c r="F17" s="1688">
        <f t="shared" si="2"/>
        <v>558570</v>
      </c>
      <c r="G17" s="1688">
        <f t="shared" si="2"/>
        <v>284536</v>
      </c>
      <c r="H17" s="1688">
        <f t="shared" si="2"/>
        <v>0</v>
      </c>
      <c r="I17" s="468"/>
      <c r="J17" s="1688">
        <f>SUM(J12:J16)</f>
        <v>150840</v>
      </c>
      <c r="K17" s="1688">
        <f>SUM(K12:K16)</f>
        <v>36553</v>
      </c>
      <c r="L17" s="347"/>
    </row>
    <row r="18" spans="1:12" ht="15" customHeight="1" thickTop="1" x14ac:dyDescent="0.2">
      <c r="A18" s="1744" t="s">
        <v>1654</v>
      </c>
      <c r="B18" s="1745">
        <v>4180</v>
      </c>
      <c r="C18" s="1742">
        <f t="shared" ref="C18:H18" si="3">C9</f>
        <v>3221642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11645826</v>
      </c>
      <c r="D19" s="1688">
        <f t="shared" si="4"/>
        <v>439862</v>
      </c>
      <c r="E19" s="1688">
        <f t="shared" si="4"/>
        <v>22455393</v>
      </c>
      <c r="F19" s="1688">
        <f t="shared" si="4"/>
        <v>558570</v>
      </c>
      <c r="G19" s="1688">
        <f t="shared" si="4"/>
        <v>284536</v>
      </c>
      <c r="H19" s="1688">
        <f t="shared" si="4"/>
        <v>0</v>
      </c>
      <c r="I19" s="468"/>
      <c r="J19" s="1688">
        <f>SUM(J17:J18)</f>
        <v>150840</v>
      </c>
      <c r="K19" s="1688">
        <f>SUM(K17:K18)</f>
        <v>36553</v>
      </c>
      <c r="L19" s="347"/>
    </row>
    <row r="20" spans="1:12" ht="16.5" thickTop="1" thickBot="1" x14ac:dyDescent="0.25">
      <c r="A20" s="2124" t="s">
        <v>1655</v>
      </c>
      <c r="B20" s="2125"/>
      <c r="C20" s="1746">
        <f>C8-C17</f>
        <v>1078148</v>
      </c>
      <c r="D20" s="1746">
        <f t="shared" ref="D20:K20" si="5">D8-D17</f>
        <v>-111106</v>
      </c>
      <c r="E20" s="1746">
        <f t="shared" si="5"/>
        <v>-19825345</v>
      </c>
      <c r="F20" s="1746">
        <f t="shared" si="5"/>
        <v>-73363</v>
      </c>
      <c r="G20" s="1746">
        <f t="shared" si="5"/>
        <v>72933</v>
      </c>
      <c r="H20" s="1746">
        <f t="shared" si="5"/>
        <v>0</v>
      </c>
      <c r="I20" s="1746">
        <f t="shared" si="5"/>
        <v>52317</v>
      </c>
      <c r="J20" s="1746">
        <f t="shared" si="5"/>
        <v>69935</v>
      </c>
      <c r="K20" s="1746">
        <f t="shared" si="5"/>
        <v>-21493</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v>800000</v>
      </c>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v>18385000</v>
      </c>
      <c r="F33" s="467"/>
      <c r="G33" s="477"/>
      <c r="H33" s="467"/>
      <c r="I33" s="467"/>
      <c r="J33" s="467"/>
      <c r="K33" s="467"/>
      <c r="L33" s="524"/>
    </row>
    <row r="34" spans="1:12" s="485" customFormat="1" x14ac:dyDescent="0.2">
      <c r="A34" s="1489" t="s">
        <v>1001</v>
      </c>
      <c r="B34" s="525">
        <v>7220</v>
      </c>
      <c r="C34" s="467"/>
      <c r="D34" s="467"/>
      <c r="E34" s="467">
        <v>890715</v>
      </c>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800000</v>
      </c>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800000</v>
      </c>
      <c r="E44" s="1703">
        <f t="shared" si="6"/>
        <v>20075715</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800000</v>
      </c>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v>800000</v>
      </c>
      <c r="E75" s="530"/>
      <c r="F75" s="532"/>
      <c r="G75" s="532"/>
      <c r="H75" s="532"/>
      <c r="I75" s="530"/>
      <c r="J75" s="530"/>
      <c r="K75" s="532"/>
      <c r="L75" s="524"/>
    </row>
    <row r="76" spans="1:12" s="485" customFormat="1" ht="14.25" thickTop="1" thickBot="1" x14ac:dyDescent="0.25">
      <c r="A76" s="2114" t="s">
        <v>440</v>
      </c>
      <c r="B76" s="2115"/>
      <c r="C76" s="1703">
        <f t="shared" ref="C76:K76" si="7">SUM(C47:C75)</f>
        <v>800000</v>
      </c>
      <c r="D76" s="1703">
        <f t="shared" si="7"/>
        <v>800000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-800000</v>
      </c>
      <c r="D77" s="1703">
        <f t="shared" si="8"/>
        <v>0</v>
      </c>
      <c r="E77" s="1703">
        <f t="shared" si="8"/>
        <v>20075715</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278148</v>
      </c>
      <c r="D78" s="1702">
        <f t="shared" si="9"/>
        <v>-111106</v>
      </c>
      <c r="E78" s="1702">
        <f t="shared" si="9"/>
        <v>250370</v>
      </c>
      <c r="F78" s="1702">
        <f t="shared" si="9"/>
        <v>-73363</v>
      </c>
      <c r="G78" s="1702">
        <f t="shared" si="9"/>
        <v>72933</v>
      </c>
      <c r="H78" s="1702">
        <f t="shared" si="9"/>
        <v>0</v>
      </c>
      <c r="I78" s="1702">
        <f t="shared" si="9"/>
        <v>52317</v>
      </c>
      <c r="J78" s="1702">
        <f t="shared" si="9"/>
        <v>69935</v>
      </c>
      <c r="K78" s="1702">
        <f t="shared" si="9"/>
        <v>-21493</v>
      </c>
      <c r="L78" s="533"/>
    </row>
    <row r="79" spans="1:12" ht="13.5" thickTop="1" x14ac:dyDescent="0.2">
      <c r="A79" s="1494" t="s">
        <v>1946</v>
      </c>
      <c r="B79" s="534"/>
      <c r="C79" s="478">
        <v>7153553</v>
      </c>
      <c r="D79" s="535">
        <v>529285</v>
      </c>
      <c r="E79" s="535">
        <v>710847</v>
      </c>
      <c r="F79" s="535">
        <v>73505</v>
      </c>
      <c r="G79" s="535">
        <v>861202</v>
      </c>
      <c r="H79" s="535"/>
      <c r="I79" s="535">
        <v>804697</v>
      </c>
      <c r="J79" s="535">
        <v>601422</v>
      </c>
      <c r="K79" s="535">
        <v>270449</v>
      </c>
      <c r="L79" s="347"/>
    </row>
    <row r="80" spans="1:12" x14ac:dyDescent="0.2">
      <c r="A80" s="2126" t="s">
        <v>1792</v>
      </c>
      <c r="B80" s="2127"/>
      <c r="C80" s="467"/>
      <c r="D80" s="467"/>
      <c r="E80" s="467"/>
      <c r="F80" s="467"/>
      <c r="G80" s="467"/>
      <c r="H80" s="467"/>
      <c r="I80" s="467"/>
      <c r="J80" s="467"/>
      <c r="K80" s="467"/>
      <c r="L80" s="347"/>
    </row>
    <row r="81" spans="1:12" ht="13.5" thickBot="1" x14ac:dyDescent="0.25">
      <c r="A81" s="2118" t="s">
        <v>1947</v>
      </c>
      <c r="B81" s="2119"/>
      <c r="C81" s="1688">
        <f>(SUM(C78:C80))</f>
        <v>7431701</v>
      </c>
      <c r="D81" s="1688">
        <f>SUM(D78:D80)</f>
        <v>418179</v>
      </c>
      <c r="E81" s="1688">
        <f t="shared" ref="E81:K81" si="10">SUM(E78:E80)</f>
        <v>961217</v>
      </c>
      <c r="F81" s="1688">
        <f t="shared" si="10"/>
        <v>142</v>
      </c>
      <c r="G81" s="1688">
        <f t="shared" si="10"/>
        <v>934135</v>
      </c>
      <c r="H81" s="1688">
        <f t="shared" si="10"/>
        <v>0</v>
      </c>
      <c r="I81" s="1688">
        <f t="shared" si="10"/>
        <v>857014</v>
      </c>
      <c r="J81" s="1688">
        <f t="shared" si="10"/>
        <v>671357</v>
      </c>
      <c r="K81" s="1688">
        <f t="shared" si="10"/>
        <v>248956</v>
      </c>
      <c r="L81" s="347"/>
    </row>
    <row r="82" spans="1:12" ht="0.75" customHeight="1" thickTop="1" thickBot="1" x14ac:dyDescent="0.25">
      <c r="A82" s="536" t="s">
        <v>343</v>
      </c>
      <c r="B82" s="537"/>
      <c r="C82" s="538">
        <f>(C81-C79)</f>
        <v>278148</v>
      </c>
      <c r="D82" s="538">
        <f t="shared" ref="D82:K82" si="11">(D81-D79)</f>
        <v>-111106</v>
      </c>
      <c r="E82" s="538">
        <f t="shared" si="11"/>
        <v>250370</v>
      </c>
      <c r="F82" s="538">
        <f t="shared" si="11"/>
        <v>-73363</v>
      </c>
      <c r="G82" s="538">
        <f t="shared" si="11"/>
        <v>72933</v>
      </c>
      <c r="H82" s="538">
        <f t="shared" si="11"/>
        <v>0</v>
      </c>
      <c r="I82" s="538">
        <f t="shared" si="11"/>
        <v>52317</v>
      </c>
      <c r="J82" s="538">
        <f t="shared" si="11"/>
        <v>69935</v>
      </c>
      <c r="K82" s="538">
        <f t="shared" si="11"/>
        <v>-21493</v>
      </c>
    </row>
    <row r="83" spans="1:12" ht="14.25" hidden="1" thickTop="1" thickBot="1" x14ac:dyDescent="0.25">
      <c r="A83" s="539" t="s">
        <v>344</v>
      </c>
      <c r="B83" s="464"/>
      <c r="C83" s="540">
        <f>C82/C81</f>
        <v>3.7427232338868313E-2</v>
      </c>
      <c r="D83" s="540">
        <f t="shared" ref="D83:K83" si="12">D82/D81</f>
        <v>-0.26569005138947677</v>
      </c>
      <c r="E83" s="540">
        <f t="shared" si="12"/>
        <v>0.26047188095924229</v>
      </c>
      <c r="F83" s="540">
        <f t="shared" si="12"/>
        <v>-516.64084507042253</v>
      </c>
      <c r="G83" s="540">
        <f t="shared" si="12"/>
        <v>7.8075438774909411E-2</v>
      </c>
      <c r="H83" s="540" t="e">
        <f t="shared" si="12"/>
        <v>#DIV/0!</v>
      </c>
      <c r="I83" s="540">
        <f t="shared" si="12"/>
        <v>6.1045677200139085E-2</v>
      </c>
      <c r="J83" s="540">
        <f t="shared" si="12"/>
        <v>0.10416961467594738</v>
      </c>
      <c r="K83" s="540">
        <f t="shared" si="12"/>
        <v>-8.633252462282491E-2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orizontalCentered="1"/>
  <pageMargins left="0.75" right="0.75" top="1.35" bottom="0.5" header="0.5" footer="0.5"/>
  <pageSetup scale="47" firstPageNumber="7" orientation="portrait" r:id="rId1"/>
  <headerFooter>
    <oddHeader>&amp;C&amp;"Times New Roman,Regular"BELLE VALLEY SCHOOL DISTRICT NO. 119
STATEMENT OF RECEIPTS , DISBURSEMENTS, OTHER SOURCES (USES) AND CHANGES IN FUND BALANCES - CASH - REGULATORY BASIS
ALL FUNDS
FOR THE YEAR ENDED JUNE 30, 2019</oddHeader>
    <oddFooter>&amp;C&amp;"Times New Roman,Regular"See Notes to Financial Statements and Independent Auditor's Reports
&amp;P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30" zoomScaleNormal="130" zoomScaleSheetLayoutView="100" workbookViewId="0">
      <pane ySplit="2" topLeftCell="A3" activePane="bottomLeft" state="frozen"/>
      <selection activeCell="V29" sqref="V29"/>
      <selection pane="bottomLeft" activeCell="D5" sqref="D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1799</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1823594</v>
      </c>
      <c r="D5" s="481">
        <v>320732</v>
      </c>
      <c r="E5" s="466">
        <v>1933238</v>
      </c>
      <c r="F5" s="548">
        <v>109966</v>
      </c>
      <c r="G5" s="466">
        <v>145122</v>
      </c>
      <c r="H5" s="466"/>
      <c r="I5" s="466">
        <v>45818</v>
      </c>
      <c r="J5" s="467">
        <v>212128</v>
      </c>
      <c r="K5" s="466">
        <v>10141</v>
      </c>
    </row>
    <row r="6" spans="1:12" ht="15" x14ac:dyDescent="0.2">
      <c r="A6" s="463" t="s">
        <v>1662</v>
      </c>
      <c r="B6" s="470">
        <v>1130</v>
      </c>
      <c r="C6" s="466">
        <v>45627</v>
      </c>
      <c r="D6" s="466"/>
      <c r="E6" s="475"/>
      <c r="F6" s="475"/>
      <c r="G6" s="468"/>
      <c r="H6" s="468"/>
      <c r="I6" s="468"/>
      <c r="J6" s="468"/>
      <c r="K6" s="468"/>
    </row>
    <row r="7" spans="1:12" x14ac:dyDescent="0.2">
      <c r="A7" s="463" t="s">
        <v>110</v>
      </c>
      <c r="B7" s="549">
        <v>1140</v>
      </c>
      <c r="C7" s="466">
        <v>18329</v>
      </c>
      <c r="D7" s="466"/>
      <c r="E7" s="468"/>
      <c r="F7" s="467"/>
      <c r="G7" s="467"/>
      <c r="H7" s="467"/>
      <c r="I7" s="468"/>
      <c r="J7" s="468"/>
      <c r="K7" s="468"/>
    </row>
    <row r="8" spans="1:12" x14ac:dyDescent="0.2">
      <c r="A8" s="463" t="s">
        <v>413</v>
      </c>
      <c r="B8" s="470">
        <v>1150</v>
      </c>
      <c r="C8" s="475"/>
      <c r="D8" s="475"/>
      <c r="E8" s="477"/>
      <c r="F8" s="477"/>
      <c r="G8" s="481">
        <v>188882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1887550</v>
      </c>
      <c r="D12" s="1707">
        <f t="shared" si="0"/>
        <v>320732</v>
      </c>
      <c r="E12" s="1707">
        <f t="shared" si="0"/>
        <v>1933238</v>
      </c>
      <c r="F12" s="1707">
        <f t="shared" si="0"/>
        <v>109966</v>
      </c>
      <c r="G12" s="1707">
        <f t="shared" si="0"/>
        <v>334004</v>
      </c>
      <c r="H12" s="1707">
        <f t="shared" si="0"/>
        <v>0</v>
      </c>
      <c r="I12" s="1707">
        <f t="shared" si="0"/>
        <v>45818</v>
      </c>
      <c r="J12" s="1707">
        <f t="shared" si="0"/>
        <v>212128</v>
      </c>
      <c r="K12" s="1688">
        <f t="shared" si="0"/>
        <v>10141</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1748</v>
      </c>
      <c r="D14" s="466">
        <v>297</v>
      </c>
      <c r="E14" s="466">
        <v>1784</v>
      </c>
      <c r="F14" s="466">
        <v>102</v>
      </c>
      <c r="G14" s="466">
        <v>314</v>
      </c>
      <c r="H14" s="466"/>
      <c r="I14" s="466">
        <v>42</v>
      </c>
      <c r="J14" s="467">
        <v>197</v>
      </c>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107142</v>
      </c>
      <c r="D16" s="466"/>
      <c r="E16" s="466"/>
      <c r="F16" s="466"/>
      <c r="G16" s="466">
        <v>10000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108890</v>
      </c>
      <c r="D18" s="1710">
        <f t="shared" ref="D18:K18" si="1">SUM(D14:D17)</f>
        <v>297</v>
      </c>
      <c r="E18" s="1710">
        <f t="shared" si="1"/>
        <v>1784</v>
      </c>
      <c r="F18" s="1710">
        <f t="shared" si="1"/>
        <v>102</v>
      </c>
      <c r="G18" s="1710">
        <f t="shared" si="1"/>
        <v>10314</v>
      </c>
      <c r="H18" s="1710">
        <f t="shared" si="1"/>
        <v>0</v>
      </c>
      <c r="I18" s="1710">
        <f t="shared" si="1"/>
        <v>42</v>
      </c>
      <c r="J18" s="1710">
        <f t="shared" si="1"/>
        <v>197</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9400</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9400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88471</v>
      </c>
      <c r="D65" s="466">
        <v>3695</v>
      </c>
      <c r="E65" s="466">
        <v>8194</v>
      </c>
      <c r="F65" s="467">
        <v>569</v>
      </c>
      <c r="G65" s="466">
        <v>13151</v>
      </c>
      <c r="H65" s="466"/>
      <c r="I65" s="466">
        <v>6457</v>
      </c>
      <c r="J65" s="467">
        <v>8132</v>
      </c>
      <c r="K65" s="466">
        <v>4919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88471</v>
      </c>
      <c r="D67" s="1688">
        <f t="shared" ref="D67:K67" si="2">SUM(D65:D66)</f>
        <v>3695</v>
      </c>
      <c r="E67" s="1688">
        <f t="shared" si="2"/>
        <v>8194</v>
      </c>
      <c r="F67" s="1688">
        <f t="shared" si="2"/>
        <v>569</v>
      </c>
      <c r="G67" s="1688">
        <f t="shared" si="2"/>
        <v>13151</v>
      </c>
      <c r="H67" s="1688">
        <f t="shared" si="2"/>
        <v>0</v>
      </c>
      <c r="I67" s="1688">
        <f t="shared" si="2"/>
        <v>6457</v>
      </c>
      <c r="J67" s="1688">
        <f t="shared" si="2"/>
        <v>8132</v>
      </c>
      <c r="K67" s="1688">
        <f t="shared" si="2"/>
        <v>4919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78026</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v>8698</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7329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94053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7035</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7035</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23144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23144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v>535423</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82608</v>
      </c>
      <c r="D106" s="489"/>
      <c r="E106" s="467"/>
      <c r="F106" s="467"/>
      <c r="G106" s="467"/>
      <c r="H106" s="467"/>
      <c r="I106" s="521"/>
      <c r="J106" s="467"/>
      <c r="K106" s="467"/>
    </row>
    <row r="107" spans="1:12" ht="12.75" customHeight="1" x14ac:dyDescent="0.2">
      <c r="A107" s="463" t="s">
        <v>78</v>
      </c>
      <c r="B107" s="470">
        <v>1999</v>
      </c>
      <c r="C107" s="551">
        <v>28185</v>
      </c>
      <c r="D107" s="466">
        <v>4032</v>
      </c>
      <c r="E107" s="466">
        <v>8</v>
      </c>
      <c r="F107" s="466">
        <v>8786</v>
      </c>
      <c r="G107" s="466"/>
      <c r="H107" s="466"/>
      <c r="I107" s="466"/>
      <c r="J107" s="467">
        <v>318</v>
      </c>
      <c r="K107" s="466"/>
    </row>
    <row r="108" spans="1:12" ht="12.75" customHeight="1" thickBot="1" x14ac:dyDescent="0.25">
      <c r="A108" s="1708" t="s">
        <v>487</v>
      </c>
      <c r="B108" s="1712"/>
      <c r="C108" s="1707">
        <f>SUM(C95:C107)</f>
        <v>646216</v>
      </c>
      <c r="D108" s="1707">
        <f t="shared" ref="D108:K108" si="3">SUM(D95:D107)</f>
        <v>4032</v>
      </c>
      <c r="E108" s="1707">
        <f t="shared" si="3"/>
        <v>8</v>
      </c>
      <c r="F108" s="1707">
        <f t="shared" si="3"/>
        <v>8786</v>
      </c>
      <c r="G108" s="1707">
        <f t="shared" si="3"/>
        <v>0</v>
      </c>
      <c r="H108" s="1707">
        <f t="shared" si="3"/>
        <v>0</v>
      </c>
      <c r="I108" s="1707">
        <f t="shared" si="3"/>
        <v>0</v>
      </c>
      <c r="J108" s="1707">
        <f t="shared" si="3"/>
        <v>318</v>
      </c>
      <c r="K108" s="1688">
        <f t="shared" si="3"/>
        <v>0</v>
      </c>
    </row>
    <row r="109" spans="1:12" ht="14.25" thickTop="1" thickBot="1" x14ac:dyDescent="0.25">
      <c r="A109" s="1713" t="s">
        <v>248</v>
      </c>
      <c r="B109" s="1714" t="s">
        <v>570</v>
      </c>
      <c r="C109" s="1715">
        <f t="shared" ref="C109:K109" si="4">SUM(C12,C18,C40,C63,C67,C75,C82,C93,C108,)</f>
        <v>2864759</v>
      </c>
      <c r="D109" s="1715">
        <f t="shared" si="4"/>
        <v>328756</v>
      </c>
      <c r="E109" s="1715">
        <f t="shared" si="4"/>
        <v>1943224</v>
      </c>
      <c r="F109" s="1715">
        <f t="shared" si="4"/>
        <v>119423</v>
      </c>
      <c r="G109" s="1715">
        <f t="shared" si="4"/>
        <v>357469</v>
      </c>
      <c r="H109" s="1715">
        <f t="shared" si="4"/>
        <v>0</v>
      </c>
      <c r="I109" s="1715">
        <f t="shared" si="4"/>
        <v>52317</v>
      </c>
      <c r="J109" s="1715">
        <f t="shared" si="4"/>
        <v>220775</v>
      </c>
      <c r="K109" s="1702">
        <f t="shared" si="4"/>
        <v>15060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5118932</v>
      </c>
      <c r="D117" s="481"/>
      <c r="E117" s="466">
        <v>200000</v>
      </c>
      <c r="F117" s="481">
        <v>66500</v>
      </c>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1933</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5118932</v>
      </c>
      <c r="D122" s="1707">
        <f t="shared" si="5"/>
        <v>0</v>
      </c>
      <c r="E122" s="1707">
        <f t="shared" si="5"/>
        <v>200000</v>
      </c>
      <c r="F122" s="1707">
        <f t="shared" si="5"/>
        <v>66500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542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106664</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107206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936</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936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8224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131556</v>
      </c>
      <c r="G152" s="467"/>
      <c r="H152" s="468"/>
      <c r="I152" s="468"/>
      <c r="J152" s="468"/>
      <c r="K152" s="468"/>
    </row>
    <row r="153" spans="1:11" ht="12.75" customHeight="1" x14ac:dyDescent="0.2">
      <c r="A153" s="463" t="s">
        <v>1057</v>
      </c>
      <c r="B153" s="562">
        <v>3510</v>
      </c>
      <c r="C153" s="551"/>
      <c r="D153" s="466"/>
      <c r="E153" s="561"/>
      <c r="F153" s="466">
        <v>167728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299284</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100697</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16297</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233360</v>
      </c>
      <c r="D169" s="1722">
        <f t="shared" si="6"/>
        <v>0</v>
      </c>
      <c r="E169" s="1722">
        <f t="shared" si="6"/>
        <v>0</v>
      </c>
      <c r="F169" s="1722">
        <f t="shared" si="6"/>
        <v>299284</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5352292</v>
      </c>
      <c r="D170" s="1715">
        <f t="shared" si="7"/>
        <v>0</v>
      </c>
      <c r="E170" s="1715">
        <f t="shared" si="7"/>
        <v>200000</v>
      </c>
      <c r="F170" s="1715">
        <f t="shared" si="7"/>
        <v>365784</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v>40705</v>
      </c>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40705</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1800</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353492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127702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v>38099</v>
      </c>
      <c r="D197" s="468"/>
      <c r="E197" s="561"/>
      <c r="F197" s="468"/>
      <c r="G197" s="585"/>
      <c r="H197" s="468"/>
      <c r="I197" s="468"/>
      <c r="J197" s="468"/>
      <c r="K197" s="468"/>
    </row>
    <row r="198" spans="1:11" ht="12.75" customHeight="1" thickBot="1" x14ac:dyDescent="0.25">
      <c r="A198" s="1708" t="s">
        <v>548</v>
      </c>
      <c r="B198" s="1709"/>
      <c r="C198" s="1688">
        <f>SUM(C190:C197)</f>
        <v>519293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379094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379094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v>742</v>
      </c>
      <c r="D212" s="466"/>
      <c r="E212" s="468"/>
      <c r="F212" s="466"/>
      <c r="G212" s="466"/>
      <c r="H212" s="468"/>
      <c r="I212" s="468"/>
      <c r="J212" s="468"/>
      <c r="K212" s="468"/>
    </row>
    <row r="213" spans="1:11" ht="12.75" customHeight="1" x14ac:dyDescent="0.2">
      <c r="A213" s="463" t="s">
        <v>1454</v>
      </c>
      <c r="B213" s="557">
        <v>4620</v>
      </c>
      <c r="C213" s="551">
        <v>234907</v>
      </c>
      <c r="D213" s="466"/>
      <c r="E213" s="468"/>
      <c r="F213" s="466"/>
      <c r="G213" s="466"/>
      <c r="H213" s="468"/>
      <c r="I213" s="468"/>
      <c r="J213" s="468"/>
      <c r="K213" s="468"/>
    </row>
    <row r="214" spans="1:11" ht="12.75" customHeight="1" x14ac:dyDescent="0.2">
      <c r="A214" s="463" t="s">
        <v>1054</v>
      </c>
      <c r="B214" s="470">
        <v>4625</v>
      </c>
      <c r="C214" s="551">
        <v>4722</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240371</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v>486824</v>
      </c>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486824</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29725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1934</v>
      </c>
      <c r="B261" s="470">
        <v>4981</v>
      </c>
      <c r="C261" s="575"/>
      <c r="D261" s="576"/>
      <c r="E261" s="468"/>
      <c r="F261" s="576"/>
      <c r="G261" s="576"/>
      <c r="H261" s="468"/>
      <c r="I261" s="468"/>
      <c r="J261" s="468"/>
      <c r="K261" s="468"/>
    </row>
    <row r="262" spans="1:11" ht="12.75" customHeight="1" thickTop="1" thickBot="1" x14ac:dyDescent="0.25">
      <c r="A262" s="1931"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13338</v>
      </c>
      <c r="D263" s="576"/>
      <c r="E263" s="468"/>
      <c r="F263" s="576"/>
      <c r="G263" s="576"/>
      <c r="H263" s="468"/>
      <c r="I263" s="468"/>
      <c r="J263" s="468"/>
      <c r="K263" s="468"/>
    </row>
    <row r="264" spans="1:11" ht="12.75" customHeight="1" thickTop="1" thickBot="1" x14ac:dyDescent="0.25">
      <c r="A264" s="463" t="s">
        <v>377</v>
      </c>
      <c r="B264" s="470">
        <v>4992</v>
      </c>
      <c r="C264" s="575">
        <v>62755</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1244576</v>
      </c>
      <c r="D266" s="1715">
        <f t="shared" si="10"/>
        <v>0</v>
      </c>
      <c r="E266" s="1715">
        <f t="shared" si="10"/>
        <v>486824</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1285281</v>
      </c>
      <c r="D267" s="1715">
        <f>SUM(D175,D181,D266)</f>
        <v>0</v>
      </c>
      <c r="E267" s="1715">
        <f>SUM(E175,E266)</f>
        <v>486824</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9502332</v>
      </c>
      <c r="D268" s="1715">
        <f t="shared" si="12"/>
        <v>328756</v>
      </c>
      <c r="E268" s="1715">
        <f t="shared" si="12"/>
        <v>2630048</v>
      </c>
      <c r="F268" s="1715">
        <f t="shared" si="12"/>
        <v>485207</v>
      </c>
      <c r="G268" s="1715">
        <f t="shared" si="12"/>
        <v>357469</v>
      </c>
      <c r="H268" s="1715">
        <f t="shared" si="12"/>
        <v>0</v>
      </c>
      <c r="I268" s="1715">
        <f t="shared" si="12"/>
        <v>52317</v>
      </c>
      <c r="J268" s="1715">
        <f t="shared" si="12"/>
        <v>220775</v>
      </c>
      <c r="K268" s="1702">
        <f t="shared" si="12"/>
        <v>15060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orizontalCentered="1"/>
  <pageMargins left="0.75" right="0.75" top="1" bottom="0.5" header="0.5" footer="0.5"/>
  <pageSetup scale="61" firstPageNumber="9" orientation="landscape" r:id="rId1"/>
  <headerFooter>
    <oddHeader>&amp;C&amp;"Times New Roman,Regular"BELLE VALLEY SCHOOL DISTRICT NO. 119
STATEMENT OF RECEIPTS - CASH - REGULATORY BASIS
ALL FUNDS
FOR THE YEAR ENDED JUNE 30, 2019</oddHeader>
    <oddFooter>&amp;C&amp;"Times New Roman,Regular"See Notes to Financial Statements and Independent Auditor's Reports
&amp;P</oddFooter>
  </headerFooter>
  <rowBreaks count="4" manualBreakCount="4">
    <brk id="56" max="10" man="1"/>
    <brk id="109" max="10" man="1"/>
    <brk id="161" max="10" man="1"/>
    <brk id="213"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pane ySplit="2" topLeftCell="A39" activePane="bottomLeft" state="frozen"/>
      <selection activeCell="V29" sqref="V29"/>
      <selection pane="bottomLeft" activeCell="D50" sqref="D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6"/>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2" t="s">
        <v>297</v>
      </c>
      <c r="B3" s="2163"/>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2951102</v>
      </c>
      <c r="D5" s="466">
        <v>761419</v>
      </c>
      <c r="E5" s="466">
        <v>45865</v>
      </c>
      <c r="F5" s="466">
        <v>226260</v>
      </c>
      <c r="G5" s="466">
        <v>104257</v>
      </c>
      <c r="H5" s="466"/>
      <c r="I5" s="467"/>
      <c r="J5" s="467"/>
      <c r="K5" s="1671">
        <f>SUM(C5:J5)</f>
        <v>4088903</v>
      </c>
      <c r="L5" s="466">
        <v>4374650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13233</v>
      </c>
      <c r="D7" s="467">
        <v>2600</v>
      </c>
      <c r="E7" s="467"/>
      <c r="F7" s="467">
        <v>1896</v>
      </c>
      <c r="G7" s="467">
        <v>28015</v>
      </c>
      <c r="H7" s="467"/>
      <c r="I7" s="467"/>
      <c r="J7" s="467"/>
      <c r="K7" s="1671">
        <f t="shared" ref="K7:K32" si="0">SUM(C7:J7)</f>
        <v>45744</v>
      </c>
      <c r="L7" s="466">
        <v>48300</v>
      </c>
    </row>
    <row r="8" spans="1:14" x14ac:dyDescent="0.2">
      <c r="A8" s="1504" t="s">
        <v>164</v>
      </c>
      <c r="B8" s="614">
        <v>1200</v>
      </c>
      <c r="C8" s="466">
        <v>1068225</v>
      </c>
      <c r="D8" s="466">
        <v>211666</v>
      </c>
      <c r="E8" s="466">
        <v>2535</v>
      </c>
      <c r="F8" s="466">
        <v>11765</v>
      </c>
      <c r="G8" s="466">
        <v>2073</v>
      </c>
      <c r="H8" s="466"/>
      <c r="I8" s="467"/>
      <c r="J8" s="467"/>
      <c r="K8" s="1671">
        <f t="shared" si="0"/>
        <v>1296264</v>
      </c>
      <c r="L8" s="466">
        <v>1431350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v>11880</v>
      </c>
      <c r="I19" s="467"/>
      <c r="J19" s="467"/>
      <c r="K19" s="1671">
        <f t="shared" si="0"/>
        <v>11880</v>
      </c>
      <c r="L19" s="466">
        <v>13000</v>
      </c>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4032560</v>
      </c>
      <c r="D33" s="1670">
        <f t="shared" ref="D33:L33" si="1">SUM(D5:D32)</f>
        <v>975685</v>
      </c>
      <c r="E33" s="1670">
        <f t="shared" si="1"/>
        <v>48400</v>
      </c>
      <c r="F33" s="1670">
        <f t="shared" si="1"/>
        <v>239921</v>
      </c>
      <c r="G33" s="1670">
        <f t="shared" si="1"/>
        <v>134345</v>
      </c>
      <c r="H33" s="1670">
        <f t="shared" si="1"/>
        <v>11880</v>
      </c>
      <c r="I33" s="1670">
        <f t="shared" si="1"/>
        <v>0</v>
      </c>
      <c r="J33" s="1670">
        <f t="shared" si="1"/>
        <v>0</v>
      </c>
      <c r="K33" s="1670">
        <f t="shared" si="1"/>
        <v>5442791</v>
      </c>
      <c r="L33" s="1670">
        <f t="shared" si="1"/>
        <v>5867300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75845</v>
      </c>
      <c r="D36" s="481">
        <v>28484</v>
      </c>
      <c r="E36" s="481"/>
      <c r="F36" s="481">
        <v>1323</v>
      </c>
      <c r="G36" s="481"/>
      <c r="H36" s="481"/>
      <c r="I36" s="467"/>
      <c r="J36" s="467"/>
      <c r="K36" s="1671">
        <f t="shared" ref="K36:K41" si="2">SUM(C36:J36)</f>
        <v>105652</v>
      </c>
      <c r="L36" s="466">
        <v>130150</v>
      </c>
    </row>
    <row r="37" spans="1:14" x14ac:dyDescent="0.2">
      <c r="A37" s="1504" t="s">
        <v>1090</v>
      </c>
      <c r="B37" s="614">
        <v>2120</v>
      </c>
      <c r="C37" s="466">
        <v>5810</v>
      </c>
      <c r="D37" s="466"/>
      <c r="E37" s="466"/>
      <c r="F37" s="466"/>
      <c r="G37" s="466"/>
      <c r="H37" s="466"/>
      <c r="I37" s="467"/>
      <c r="J37" s="467"/>
      <c r="K37" s="1671">
        <f t="shared" si="2"/>
        <v>5810</v>
      </c>
      <c r="L37" s="466">
        <v>6000</v>
      </c>
    </row>
    <row r="38" spans="1:14" x14ac:dyDescent="0.2">
      <c r="A38" s="1504" t="s">
        <v>198</v>
      </c>
      <c r="B38" s="614">
        <v>2130</v>
      </c>
      <c r="C38" s="466">
        <v>56561</v>
      </c>
      <c r="D38" s="466">
        <v>4100</v>
      </c>
      <c r="E38" s="466">
        <v>78837</v>
      </c>
      <c r="F38" s="466">
        <v>2313</v>
      </c>
      <c r="G38" s="466"/>
      <c r="H38" s="466"/>
      <c r="I38" s="467"/>
      <c r="J38" s="467"/>
      <c r="K38" s="1671">
        <f t="shared" si="2"/>
        <v>141811</v>
      </c>
      <c r="L38" s="466">
        <v>159300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89095</v>
      </c>
      <c r="D40" s="466">
        <v>20073</v>
      </c>
      <c r="E40" s="466">
        <v>17625</v>
      </c>
      <c r="F40" s="466">
        <v>1220</v>
      </c>
      <c r="G40" s="466"/>
      <c r="H40" s="466"/>
      <c r="I40" s="467"/>
      <c r="J40" s="467"/>
      <c r="K40" s="1671">
        <f t="shared" si="2"/>
        <v>128013</v>
      </c>
      <c r="L40" s="466">
        <v>153550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227311</v>
      </c>
      <c r="D42" s="1670">
        <f t="shared" ref="D42:L42" si="3">SUM(D36:D41)</f>
        <v>52657</v>
      </c>
      <c r="E42" s="1670">
        <f t="shared" si="3"/>
        <v>96462</v>
      </c>
      <c r="F42" s="1670">
        <f t="shared" si="3"/>
        <v>4856</v>
      </c>
      <c r="G42" s="1670">
        <f t="shared" si="3"/>
        <v>0</v>
      </c>
      <c r="H42" s="1670">
        <f t="shared" si="3"/>
        <v>0</v>
      </c>
      <c r="I42" s="1670">
        <f t="shared" si="3"/>
        <v>0</v>
      </c>
      <c r="J42" s="1670">
        <f t="shared" si="3"/>
        <v>0</v>
      </c>
      <c r="K42" s="1670">
        <f t="shared" si="3"/>
        <v>381286</v>
      </c>
      <c r="L42" s="1670">
        <f t="shared" si="3"/>
        <v>449000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32715</v>
      </c>
      <c r="D44" s="481">
        <v>1535</v>
      </c>
      <c r="E44" s="481">
        <v>24645</v>
      </c>
      <c r="F44" s="481">
        <v>4968</v>
      </c>
      <c r="G44" s="481"/>
      <c r="H44" s="481"/>
      <c r="I44" s="467"/>
      <c r="J44" s="467"/>
      <c r="K44" s="1672">
        <f>SUM(C44:J44)</f>
        <v>63863</v>
      </c>
      <c r="L44" s="481">
        <v>81400</v>
      </c>
    </row>
    <row r="45" spans="1:14" x14ac:dyDescent="0.2">
      <c r="A45" s="1504" t="s">
        <v>815</v>
      </c>
      <c r="B45" s="614">
        <v>2220</v>
      </c>
      <c r="C45" s="466">
        <v>74042</v>
      </c>
      <c r="D45" s="466">
        <v>5047</v>
      </c>
      <c r="E45" s="466">
        <v>2482</v>
      </c>
      <c r="F45" s="466">
        <v>19562</v>
      </c>
      <c r="G45" s="466"/>
      <c r="H45" s="466"/>
      <c r="I45" s="467"/>
      <c r="J45" s="467"/>
      <c r="K45" s="1672">
        <f>SUM(C45:J45)</f>
        <v>101133</v>
      </c>
      <c r="L45" s="466">
        <v>131550</v>
      </c>
    </row>
    <row r="46" spans="1:14" x14ac:dyDescent="0.2">
      <c r="A46" s="1504" t="s">
        <v>816</v>
      </c>
      <c r="B46" s="614">
        <v>2230</v>
      </c>
      <c r="C46" s="466"/>
      <c r="D46" s="466"/>
      <c r="E46" s="466">
        <v>30886</v>
      </c>
      <c r="F46" s="466"/>
      <c r="G46" s="466"/>
      <c r="H46" s="466"/>
      <c r="I46" s="467"/>
      <c r="J46" s="467"/>
      <c r="K46" s="1672">
        <f>SUM(C46:J46)</f>
        <v>30886</v>
      </c>
      <c r="L46" s="466">
        <v>32000</v>
      </c>
    </row>
    <row r="47" spans="1:14" ht="12.75" customHeight="1" thickBot="1" x14ac:dyDescent="0.25">
      <c r="A47" s="1668" t="s">
        <v>561</v>
      </c>
      <c r="B47" s="1669" t="s">
        <v>32</v>
      </c>
      <c r="C47" s="1670">
        <f>SUM(C44:C46)</f>
        <v>106757</v>
      </c>
      <c r="D47" s="1670">
        <f t="shared" ref="D47:K47" si="4">SUM(D44:D46)</f>
        <v>6582</v>
      </c>
      <c r="E47" s="1670">
        <f t="shared" si="4"/>
        <v>58013</v>
      </c>
      <c r="F47" s="1670">
        <f t="shared" si="4"/>
        <v>24530</v>
      </c>
      <c r="G47" s="1670">
        <f t="shared" si="4"/>
        <v>0</v>
      </c>
      <c r="H47" s="1670">
        <f t="shared" si="4"/>
        <v>0</v>
      </c>
      <c r="I47" s="1670">
        <f t="shared" si="4"/>
        <v>0</v>
      </c>
      <c r="J47" s="1670">
        <f t="shared" si="4"/>
        <v>0</v>
      </c>
      <c r="K47" s="1670">
        <f t="shared" si="4"/>
        <v>195882</v>
      </c>
      <c r="L47" s="1670">
        <f>SUM(L44:L46)</f>
        <v>244950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20500</v>
      </c>
      <c r="D49" s="481">
        <v>4234</v>
      </c>
      <c r="E49" s="481">
        <v>68348</v>
      </c>
      <c r="F49" s="481">
        <v>3811</v>
      </c>
      <c r="G49" s="481"/>
      <c r="H49" s="481"/>
      <c r="I49" s="467"/>
      <c r="J49" s="467"/>
      <c r="K49" s="1672">
        <f>SUM(C49:J49)</f>
        <v>96893</v>
      </c>
      <c r="L49" s="481">
        <v>103850</v>
      </c>
    </row>
    <row r="50" spans="1:14" x14ac:dyDescent="0.2">
      <c r="A50" s="1504" t="s">
        <v>818</v>
      </c>
      <c r="B50" s="614">
        <v>2320</v>
      </c>
      <c r="C50" s="466">
        <v>118179</v>
      </c>
      <c r="D50" s="466">
        <v>35768</v>
      </c>
      <c r="E50" s="466"/>
      <c r="F50" s="466"/>
      <c r="G50" s="466"/>
      <c r="H50" s="466">
        <v>1075</v>
      </c>
      <c r="I50" s="467"/>
      <c r="J50" s="467"/>
      <c r="K50" s="1672">
        <f>SUM(C50:J50)</f>
        <v>155022</v>
      </c>
      <c r="L50" s="466">
        <v>164725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138679</v>
      </c>
      <c r="D53" s="1670">
        <f t="shared" ref="D53:L53" si="5">SUM(D49:D52)</f>
        <v>40002</v>
      </c>
      <c r="E53" s="1670">
        <f t="shared" si="5"/>
        <v>68348</v>
      </c>
      <c r="F53" s="1670">
        <f t="shared" si="5"/>
        <v>3811</v>
      </c>
      <c r="G53" s="1670">
        <f t="shared" si="5"/>
        <v>0</v>
      </c>
      <c r="H53" s="1670">
        <f t="shared" si="5"/>
        <v>1075</v>
      </c>
      <c r="I53" s="1670">
        <f t="shared" si="5"/>
        <v>0</v>
      </c>
      <c r="J53" s="1670">
        <f t="shared" si="5"/>
        <v>0</v>
      </c>
      <c r="K53" s="1670">
        <f t="shared" si="5"/>
        <v>251915</v>
      </c>
      <c r="L53" s="1670">
        <f t="shared" si="5"/>
        <v>268575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450276</v>
      </c>
      <c r="D55" s="481">
        <v>99409</v>
      </c>
      <c r="E55" s="481">
        <v>5652</v>
      </c>
      <c r="F55" s="481">
        <v>1030</v>
      </c>
      <c r="G55" s="481"/>
      <c r="H55" s="481">
        <v>630</v>
      </c>
      <c r="I55" s="467"/>
      <c r="J55" s="467"/>
      <c r="K55" s="1672">
        <f>SUM(C55:J55)</f>
        <v>556997</v>
      </c>
      <c r="L55" s="481">
        <v>609595</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450276</v>
      </c>
      <c r="D57" s="1674">
        <f t="shared" ref="D57:K57" si="6">SUM(D55:D56)</f>
        <v>99409</v>
      </c>
      <c r="E57" s="1674">
        <f t="shared" si="6"/>
        <v>5652</v>
      </c>
      <c r="F57" s="1674">
        <f t="shared" si="6"/>
        <v>1030</v>
      </c>
      <c r="G57" s="1674">
        <f t="shared" si="6"/>
        <v>0</v>
      </c>
      <c r="H57" s="1674">
        <f t="shared" si="6"/>
        <v>630</v>
      </c>
      <c r="I57" s="1674">
        <f t="shared" si="6"/>
        <v>0</v>
      </c>
      <c r="J57" s="1674">
        <f t="shared" si="6"/>
        <v>0</v>
      </c>
      <c r="K57" s="1674">
        <f t="shared" si="6"/>
        <v>556997</v>
      </c>
      <c r="L57" s="1670">
        <f>SUM(L55:L56)</f>
        <v>609595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87922</v>
      </c>
      <c r="D59" s="481">
        <v>18649</v>
      </c>
      <c r="E59" s="481"/>
      <c r="F59" s="481"/>
      <c r="G59" s="481"/>
      <c r="H59" s="481"/>
      <c r="I59" s="467"/>
      <c r="J59" s="467"/>
      <c r="K59" s="1672">
        <f t="shared" ref="K59:K64" si="7">SUM(C59:J59)</f>
        <v>106571</v>
      </c>
      <c r="L59" s="481">
        <v>109125</v>
      </c>
      <c r="M59" s="609"/>
      <c r="N59" s="609"/>
    </row>
    <row r="60" spans="1:14" s="343" customFormat="1" x14ac:dyDescent="0.2">
      <c r="A60" s="1504" t="s">
        <v>463</v>
      </c>
      <c r="B60" s="614">
        <v>2520</v>
      </c>
      <c r="C60" s="466">
        <v>8077</v>
      </c>
      <c r="D60" s="466">
        <v>1386</v>
      </c>
      <c r="E60" s="466"/>
      <c r="F60" s="466"/>
      <c r="G60" s="466"/>
      <c r="H60" s="466"/>
      <c r="I60" s="467"/>
      <c r="J60" s="467"/>
      <c r="K60" s="1672">
        <f t="shared" si="7"/>
        <v>9463</v>
      </c>
      <c r="L60" s="466">
        <v>9600</v>
      </c>
      <c r="M60" s="609"/>
      <c r="N60" s="609"/>
    </row>
    <row r="61" spans="1:14" s="343" customFormat="1" x14ac:dyDescent="0.2">
      <c r="A61" s="1504" t="s">
        <v>197</v>
      </c>
      <c r="B61" s="614">
        <v>2540</v>
      </c>
      <c r="C61" s="466">
        <v>358478</v>
      </c>
      <c r="D61" s="466">
        <v>32732</v>
      </c>
      <c r="E61" s="466">
        <v>27443</v>
      </c>
      <c r="F61" s="466">
        <v>225</v>
      </c>
      <c r="G61" s="466"/>
      <c r="H61" s="466"/>
      <c r="I61" s="467"/>
      <c r="J61" s="467"/>
      <c r="K61" s="1672">
        <f t="shared" si="7"/>
        <v>418878</v>
      </c>
      <c r="L61" s="466">
        <v>477000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219809</v>
      </c>
      <c r="D63" s="466"/>
      <c r="E63" s="466">
        <v>301819</v>
      </c>
      <c r="F63" s="466">
        <v>49341</v>
      </c>
      <c r="G63" s="466">
        <v>4253</v>
      </c>
      <c r="H63" s="466"/>
      <c r="I63" s="467"/>
      <c r="J63" s="467"/>
      <c r="K63" s="1672">
        <f t="shared" si="7"/>
        <v>575222</v>
      </c>
      <c r="L63" s="466">
        <v>610300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674286</v>
      </c>
      <c r="D65" s="1670">
        <f t="shared" ref="D65:L65" si="8">SUM(D59:D64)</f>
        <v>52767</v>
      </c>
      <c r="E65" s="1670">
        <f t="shared" si="8"/>
        <v>329262</v>
      </c>
      <c r="F65" s="1670">
        <f t="shared" si="8"/>
        <v>49566</v>
      </c>
      <c r="G65" s="1670">
        <f t="shared" si="8"/>
        <v>4253</v>
      </c>
      <c r="H65" s="1670">
        <f t="shared" si="8"/>
        <v>0</v>
      </c>
      <c r="I65" s="1670">
        <f t="shared" si="8"/>
        <v>0</v>
      </c>
      <c r="J65" s="1670">
        <f t="shared" si="8"/>
        <v>0</v>
      </c>
      <c r="K65" s="1670">
        <f t="shared" si="8"/>
        <v>1110134</v>
      </c>
      <c r="L65" s="1670">
        <f t="shared" si="8"/>
        <v>1206025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v>500</v>
      </c>
      <c r="G73" s="573"/>
      <c r="H73" s="573"/>
      <c r="I73" s="531"/>
      <c r="J73" s="531"/>
      <c r="K73" s="1670">
        <f>SUM(C73:J73)</f>
        <v>500</v>
      </c>
      <c r="L73" s="576">
        <v>500</v>
      </c>
      <c r="M73" s="609"/>
      <c r="N73" s="609"/>
    </row>
    <row r="74" spans="1:14" ht="12.75" customHeight="1" thickTop="1" thickBot="1" x14ac:dyDescent="0.25">
      <c r="A74" s="1668" t="s">
        <v>811</v>
      </c>
      <c r="B74" s="1676">
        <v>2000</v>
      </c>
      <c r="C74" s="1677">
        <f>SUM(C42,C47,C53,C57,C65,C72,C73)</f>
        <v>1597309</v>
      </c>
      <c r="D74" s="1677">
        <f t="shared" ref="D74:K74" si="10">SUM(D42,D47,D53,D57,D65,D72,D73)</f>
        <v>251417</v>
      </c>
      <c r="E74" s="1677">
        <f t="shared" si="10"/>
        <v>557737</v>
      </c>
      <c r="F74" s="1677">
        <f t="shared" si="10"/>
        <v>84293</v>
      </c>
      <c r="G74" s="1677">
        <f t="shared" si="10"/>
        <v>4253</v>
      </c>
      <c r="H74" s="1677">
        <f t="shared" si="10"/>
        <v>1705</v>
      </c>
      <c r="I74" s="1677">
        <f t="shared" si="10"/>
        <v>0</v>
      </c>
      <c r="J74" s="1677">
        <f t="shared" si="10"/>
        <v>0</v>
      </c>
      <c r="K74" s="1677">
        <f t="shared" si="10"/>
        <v>2496714</v>
      </c>
      <c r="L74" s="1677">
        <f>SUM(L42,L47,L53,L57,L65,L72,L73)</f>
        <v>2778645</v>
      </c>
    </row>
    <row r="75" spans="1:14" s="259" customFormat="1" ht="15.75" customHeight="1" thickTop="1" thickBot="1" x14ac:dyDescent="0.25">
      <c r="A75" s="1610" t="s">
        <v>47</v>
      </c>
      <c r="B75" s="1611" t="s">
        <v>575</v>
      </c>
      <c r="C75" s="573">
        <v>65031</v>
      </c>
      <c r="D75" s="573"/>
      <c r="E75" s="573">
        <v>17837</v>
      </c>
      <c r="F75" s="573">
        <v>14649</v>
      </c>
      <c r="G75" s="573"/>
      <c r="H75" s="573"/>
      <c r="I75" s="531"/>
      <c r="J75" s="531"/>
      <c r="K75" s="1670">
        <f>SUM(C75:J75)</f>
        <v>97517</v>
      </c>
      <c r="L75" s="576">
        <v>115300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0</v>
      </c>
      <c r="I84" s="477"/>
      <c r="J84" s="477"/>
      <c r="K84" s="1670">
        <f>SUM(K78:K83)</f>
        <v>0</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387162</v>
      </c>
      <c r="I86" s="477"/>
      <c r="J86" s="477"/>
      <c r="K86" s="1677">
        <f t="shared" ref="K86:K98" si="12">H86</f>
        <v>387162</v>
      </c>
      <c r="L86" s="530">
        <v>446000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387162</v>
      </c>
      <c r="I92" s="477"/>
      <c r="J92" s="477"/>
      <c r="K92" s="1677">
        <f t="shared" si="12"/>
        <v>387162</v>
      </c>
      <c r="L92" s="1670">
        <f>SUM(L85:L91)</f>
        <v>446000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387162</v>
      </c>
      <c r="I102" s="477"/>
      <c r="J102" s="477"/>
      <c r="K102" s="1677">
        <f>SUM(K84,K92,K100,K101)</f>
        <v>387162</v>
      </c>
      <c r="L102" s="1677">
        <f>SUM(L84,L92,L100,L101)</f>
        <v>446000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5694900</v>
      </c>
      <c r="D114" s="1670">
        <f t="shared" ref="D114:K114" si="13">SUM(D33,D74,D75,D102,D112,D113)</f>
        <v>1227102</v>
      </c>
      <c r="E114" s="1670">
        <f t="shared" si="13"/>
        <v>623974</v>
      </c>
      <c r="F114" s="1670">
        <f t="shared" si="13"/>
        <v>338863</v>
      </c>
      <c r="G114" s="1670">
        <f t="shared" si="13"/>
        <v>138598</v>
      </c>
      <c r="H114" s="1670">
        <f>SUM(H33,H74,H75,H102,H112,H113)</f>
        <v>400747</v>
      </c>
      <c r="I114" s="1670">
        <f t="shared" si="13"/>
        <v>0</v>
      </c>
      <c r="J114" s="1670">
        <f t="shared" si="13"/>
        <v>0</v>
      </c>
      <c r="K114" s="1670">
        <f t="shared" si="13"/>
        <v>8424184</v>
      </c>
      <c r="L114" s="1670">
        <f>SUM(L33,L74,L75,L102,L112,L113)</f>
        <v>9207245</v>
      </c>
    </row>
    <row r="115" spans="1:14" ht="13.5" thickTop="1" x14ac:dyDescent="0.2">
      <c r="A115" s="2154" t="s">
        <v>996</v>
      </c>
      <c r="B115" s="2155"/>
      <c r="C115" s="618"/>
      <c r="D115" s="618"/>
      <c r="E115" s="618"/>
      <c r="F115" s="618"/>
      <c r="G115" s="618"/>
      <c r="H115" s="618"/>
      <c r="I115" s="618"/>
      <c r="J115" s="618"/>
      <c r="K115" s="1684">
        <f>'Revenues 9-14'!C268-'Expenditures 15-22'!K114</f>
        <v>1078148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9" t="s">
        <v>296</v>
      </c>
      <c r="B117" s="2160"/>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2057</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v>336939</v>
      </c>
      <c r="F124" s="466">
        <v>61737</v>
      </c>
      <c r="G124" s="466">
        <v>41186</v>
      </c>
      <c r="H124" s="466"/>
      <c r="I124" s="467"/>
      <c r="J124" s="467"/>
      <c r="K124" s="1670">
        <f>SUM(C124:J124)</f>
        <v>439862</v>
      </c>
      <c r="L124" s="466">
        <v>485000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336939</v>
      </c>
      <c r="F127" s="1670">
        <f t="shared" si="14"/>
        <v>61737</v>
      </c>
      <c r="G127" s="1670">
        <f t="shared" si="14"/>
        <v>41186</v>
      </c>
      <c r="H127" s="1670">
        <f t="shared" si="14"/>
        <v>0</v>
      </c>
      <c r="I127" s="1670">
        <f t="shared" si="14"/>
        <v>0</v>
      </c>
      <c r="J127" s="1670">
        <f t="shared" si="14"/>
        <v>0</v>
      </c>
      <c r="K127" s="1670">
        <f t="shared" si="14"/>
        <v>439862</v>
      </c>
      <c r="L127" s="1670">
        <f t="shared" si="14"/>
        <v>485000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336939</v>
      </c>
      <c r="F129" s="1677">
        <f t="shared" si="15"/>
        <v>61737</v>
      </c>
      <c r="G129" s="1677">
        <f t="shared" si="15"/>
        <v>41186</v>
      </c>
      <c r="H129" s="1677">
        <f t="shared" si="15"/>
        <v>0</v>
      </c>
      <c r="I129" s="1677">
        <f t="shared" si="15"/>
        <v>0</v>
      </c>
      <c r="J129" s="1677">
        <f t="shared" si="15"/>
        <v>0</v>
      </c>
      <c r="K129" s="1677">
        <f t="shared" si="15"/>
        <v>439862</v>
      </c>
      <c r="L129" s="1677">
        <f t="shared" si="15"/>
        <v>485000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1842</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1" t="s">
        <v>620</v>
      </c>
      <c r="B151" s="2151"/>
      <c r="C151" s="1670">
        <f>SUM(C129,C130,C139,C149,C150)</f>
        <v>0</v>
      </c>
      <c r="D151" s="1670">
        <f t="shared" ref="D151:K151" si="16">SUM(D129,D130,D139,D149,D150)</f>
        <v>0</v>
      </c>
      <c r="E151" s="1670">
        <f t="shared" si="16"/>
        <v>336939</v>
      </c>
      <c r="F151" s="1670">
        <f t="shared" si="16"/>
        <v>61737</v>
      </c>
      <c r="G151" s="1670">
        <f t="shared" si="16"/>
        <v>41186</v>
      </c>
      <c r="H151" s="1670">
        <f t="shared" si="16"/>
        <v>0</v>
      </c>
      <c r="I151" s="1670">
        <f t="shared" si="16"/>
        <v>0</v>
      </c>
      <c r="J151" s="1670">
        <f t="shared" si="16"/>
        <v>0</v>
      </c>
      <c r="K151" s="1670">
        <f t="shared" si="16"/>
        <v>439862</v>
      </c>
      <c r="L151" s="1670">
        <f>SUM(L129,L130,L139,L149,L150)</f>
        <v>485000</v>
      </c>
    </row>
    <row r="152" spans="1:14" ht="12.75" customHeight="1" thickTop="1" x14ac:dyDescent="0.2">
      <c r="A152" s="2174" t="s">
        <v>1178</v>
      </c>
      <c r="B152" s="2175"/>
      <c r="C152" s="618"/>
      <c r="D152" s="618"/>
      <c r="E152" s="618"/>
      <c r="F152" s="618"/>
      <c r="G152" s="618"/>
      <c r="H152" s="618"/>
      <c r="I152" s="618"/>
      <c r="J152" s="616"/>
      <c r="K152" s="1684">
        <f>'Revenues 9-14'!D268-'Expenditures 15-22'!K151</f>
        <v>-111106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9" t="s">
        <v>621</v>
      </c>
      <c r="B154" s="2161"/>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1843</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1842</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1844</v>
      </c>
      <c r="C158" s="616"/>
      <c r="D158" s="616"/>
      <c r="E158" s="616"/>
      <c r="F158" s="616"/>
      <c r="G158" s="616"/>
      <c r="H158" s="467"/>
      <c r="I158" s="616"/>
      <c r="J158" s="616"/>
      <c r="K158" s="1671">
        <f>H158</f>
        <v>0</v>
      </c>
      <c r="L158" s="467"/>
      <c r="M158" s="619"/>
      <c r="N158" s="619"/>
    </row>
    <row r="159" spans="1:14" s="620" customFormat="1" ht="12" x14ac:dyDescent="0.2">
      <c r="A159" s="1826" t="s">
        <v>1845</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1846</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v>1051</v>
      </c>
      <c r="I166" s="616"/>
      <c r="J166" s="616"/>
      <c r="K166" s="1671">
        <f>SUM(C166:J166)</f>
        <v>1051</v>
      </c>
      <c r="L166" s="466">
        <v>1150</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1051</v>
      </c>
      <c r="I168" s="616"/>
      <c r="J168" s="616"/>
      <c r="K168" s="1670">
        <f>SUM(K163:K167)</f>
        <v>1051</v>
      </c>
      <c r="L168" s="1670">
        <f>SUM(L163:L167)</f>
        <v>1150</v>
      </c>
    </row>
    <row r="169" spans="1:14" ht="15.75" customHeight="1" thickTop="1" x14ac:dyDescent="0.2">
      <c r="A169" s="669" t="s">
        <v>83</v>
      </c>
      <c r="B169" s="670" t="s">
        <v>38</v>
      </c>
      <c r="C169" s="616"/>
      <c r="D169" s="616"/>
      <c r="E169" s="616"/>
      <c r="F169" s="616"/>
      <c r="G169" s="616"/>
      <c r="H169" s="656">
        <v>2130937</v>
      </c>
      <c r="I169" s="616"/>
      <c r="J169" s="616"/>
      <c r="K169" s="1671">
        <f>SUM(C169:H169)</f>
        <v>2130937</v>
      </c>
      <c r="L169" s="656"/>
    </row>
    <row r="170" spans="1:14" ht="33.75" customHeight="1" x14ac:dyDescent="0.2">
      <c r="A170" s="669" t="s">
        <v>1670</v>
      </c>
      <c r="B170" s="671" t="s">
        <v>31</v>
      </c>
      <c r="C170" s="616"/>
      <c r="D170" s="616"/>
      <c r="E170" s="616"/>
      <c r="F170" s="616"/>
      <c r="G170" s="616"/>
      <c r="H170" s="569">
        <v>19970000</v>
      </c>
      <c r="I170" s="616"/>
      <c r="J170" s="616"/>
      <c r="K170" s="1671">
        <f>SUM(C170:J170)</f>
        <v>19970000</v>
      </c>
      <c r="L170" s="569">
        <v>22675645</v>
      </c>
    </row>
    <row r="171" spans="1:14" ht="15.75" customHeight="1" x14ac:dyDescent="0.2">
      <c r="A171" s="621" t="s">
        <v>766</v>
      </c>
      <c r="B171" s="672" t="s">
        <v>84</v>
      </c>
      <c r="C171" s="616"/>
      <c r="D171" s="616"/>
      <c r="E171" s="466"/>
      <c r="F171" s="616"/>
      <c r="G171" s="616"/>
      <c r="H171" s="569">
        <v>353405</v>
      </c>
      <c r="I171" s="477"/>
      <c r="J171" s="616"/>
      <c r="K171" s="1671">
        <f>SUM(C171:J171)</f>
        <v>353405</v>
      </c>
      <c r="L171" s="569">
        <v>350000</v>
      </c>
    </row>
    <row r="172" spans="1:14" ht="12.75" customHeight="1" thickBot="1" x14ac:dyDescent="0.25">
      <c r="A172" s="1668" t="s">
        <v>638</v>
      </c>
      <c r="B172" s="1669" t="s">
        <v>492</v>
      </c>
      <c r="C172" s="616"/>
      <c r="D172" s="616"/>
      <c r="E172" s="1677">
        <f>SUM(E168,E169,E170,E171)</f>
        <v>0</v>
      </c>
      <c r="F172" s="616"/>
      <c r="G172" s="616"/>
      <c r="H172" s="1677">
        <f>SUM(H168,H169,H170,H171)</f>
        <v>22455393</v>
      </c>
      <c r="I172" s="638"/>
      <c r="J172" s="616"/>
      <c r="K172" s="1677">
        <f>SUM(K168,K169,K170,K171)</f>
        <v>22455393</v>
      </c>
      <c r="L172" s="1677">
        <f>SUM(L168,L169,L170,L171)</f>
        <v>23026795</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22455393</v>
      </c>
      <c r="I174" s="638"/>
      <c r="J174" s="616"/>
      <c r="K174" s="1677">
        <f>SUM(K160,K172,K173)</f>
        <v>22455393</v>
      </c>
      <c r="L174" s="1677">
        <f>SUM(L160,L172,L173)</f>
        <v>23026795</v>
      </c>
    </row>
    <row r="175" spans="1:14" ht="13.5" thickTop="1" x14ac:dyDescent="0.2">
      <c r="A175" s="2154" t="s">
        <v>996</v>
      </c>
      <c r="B175" s="2155"/>
      <c r="C175" s="616"/>
      <c r="D175" s="616"/>
      <c r="E175" s="616"/>
      <c r="F175" s="616"/>
      <c r="G175" s="616"/>
      <c r="H175" s="618"/>
      <c r="I175" s="616"/>
      <c r="J175" s="616"/>
      <c r="K175" s="1684">
        <f>'Revenues 9-14'!E268-'Expenditures 15-22'!K174</f>
        <v>-19825345</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2057</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42012</v>
      </c>
      <c r="D182" s="466">
        <v>1561</v>
      </c>
      <c r="E182" s="466">
        <v>514997</v>
      </c>
      <c r="F182" s="466"/>
      <c r="G182" s="466"/>
      <c r="H182" s="466"/>
      <c r="I182" s="467"/>
      <c r="J182" s="467"/>
      <c r="K182" s="1671">
        <f>SUM(C182:J182)</f>
        <v>558570</v>
      </c>
      <c r="L182" s="466">
        <v>582000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42012</v>
      </c>
      <c r="D184" s="1677">
        <f t="shared" ref="D184:J184" si="17">SUM(D180,D182,D183)</f>
        <v>1561</v>
      </c>
      <c r="E184" s="1677">
        <f t="shared" si="17"/>
        <v>514997</v>
      </c>
      <c r="F184" s="1677">
        <f t="shared" si="17"/>
        <v>0</v>
      </c>
      <c r="G184" s="1677">
        <f t="shared" si="17"/>
        <v>0</v>
      </c>
      <c r="H184" s="1677">
        <f t="shared" si="17"/>
        <v>0</v>
      </c>
      <c r="I184" s="1677">
        <f t="shared" si="17"/>
        <v>0</v>
      </c>
      <c r="J184" s="1677">
        <f t="shared" si="17"/>
        <v>0</v>
      </c>
      <c r="K184" s="1677">
        <f>SUM(K180,K182,K183)</f>
        <v>558570</v>
      </c>
      <c r="L184" s="1677">
        <f>SUM(L180, L182:L183)</f>
        <v>582000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42012</v>
      </c>
      <c r="D210" s="1670">
        <f>SUM(D184,D185)</f>
        <v>1561</v>
      </c>
      <c r="E210" s="1670">
        <f>SUM(E184,E185,E196)</f>
        <v>514997</v>
      </c>
      <c r="F210" s="1670">
        <f>SUM(F184,F185)</f>
        <v>0</v>
      </c>
      <c r="G210" s="1670">
        <f>SUM(G184,G185)</f>
        <v>0</v>
      </c>
      <c r="H210" s="1670">
        <f>SUM(H184,H185,H196,H208,H209)</f>
        <v>0</v>
      </c>
      <c r="I210" s="1670">
        <f>SUM(I184,I185)</f>
        <v>0</v>
      </c>
      <c r="J210" s="1670">
        <f>SUM(J184,J185)</f>
        <v>0</v>
      </c>
      <c r="K210" s="1671">
        <f>SUM(K184,K185,K196,K208,K209)</f>
        <v>558570</v>
      </c>
      <c r="L210" s="1670">
        <f>SUM(L184,L185,L196,L208,L209)</f>
        <v>582000</v>
      </c>
    </row>
    <row r="211" spans="1:14" ht="13.5" thickTop="1" x14ac:dyDescent="0.2">
      <c r="A211" s="2154" t="s">
        <v>996</v>
      </c>
      <c r="B211" s="2155"/>
      <c r="C211" s="618"/>
      <c r="D211" s="618"/>
      <c r="E211" s="618"/>
      <c r="F211" s="618"/>
      <c r="G211" s="618"/>
      <c r="H211" s="618"/>
      <c r="I211" s="616"/>
      <c r="J211" s="616"/>
      <c r="K211" s="1684">
        <f>'Revenues 9-14'!F268-'Expenditures 15-22'!K210</f>
        <v>-73363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6" t="s">
        <v>965</v>
      </c>
      <c r="B213" s="2177"/>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63678</v>
      </c>
      <c r="E215" s="616"/>
      <c r="F215" s="616"/>
      <c r="G215" s="616"/>
      <c r="H215" s="616"/>
      <c r="I215" s="616"/>
      <c r="J215" s="616"/>
      <c r="K215" s="1671">
        <f>D215</f>
        <v>63678</v>
      </c>
      <c r="L215" s="466">
        <v>87000</v>
      </c>
    </row>
    <row r="216" spans="1:14" x14ac:dyDescent="0.2">
      <c r="A216" s="1504" t="s">
        <v>163</v>
      </c>
      <c r="B216" s="614" t="s">
        <v>967</v>
      </c>
      <c r="C216" s="616"/>
      <c r="D216" s="467">
        <v>202</v>
      </c>
      <c r="E216" s="616"/>
      <c r="F216" s="616"/>
      <c r="G216" s="616"/>
      <c r="H216" s="616"/>
      <c r="I216" s="616"/>
      <c r="J216" s="616"/>
      <c r="K216" s="1671">
        <f t="shared" ref="K216:K228" si="19">D216</f>
        <v>202</v>
      </c>
      <c r="L216" s="466">
        <v>550</v>
      </c>
    </row>
    <row r="217" spans="1:14" x14ac:dyDescent="0.2">
      <c r="A217" s="1504" t="s">
        <v>164</v>
      </c>
      <c r="B217" s="614">
        <v>1200</v>
      </c>
      <c r="C217" s="616"/>
      <c r="D217" s="466">
        <v>61094</v>
      </c>
      <c r="E217" s="616"/>
      <c r="F217" s="616"/>
      <c r="G217" s="616"/>
      <c r="H217" s="616"/>
      <c r="I217" s="616"/>
      <c r="J217" s="616"/>
      <c r="K217" s="1671">
        <f t="shared" si="19"/>
        <v>61094</v>
      </c>
      <c r="L217" s="466">
        <v>80000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124974</v>
      </c>
      <c r="E229" s="616"/>
      <c r="F229" s="616"/>
      <c r="G229" s="616"/>
      <c r="H229" s="616"/>
      <c r="I229" s="616"/>
      <c r="J229" s="616"/>
      <c r="K229" s="1670">
        <f>SUM(K215:K228)</f>
        <v>124974</v>
      </c>
      <c r="L229" s="1670">
        <f>SUM(L215:L228)</f>
        <v>167550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1032</v>
      </c>
      <c r="E232" s="616"/>
      <c r="F232" s="616"/>
      <c r="G232" s="616"/>
      <c r="H232" s="616"/>
      <c r="I232" s="616"/>
      <c r="J232" s="616"/>
      <c r="K232" s="1671">
        <f t="shared" ref="K232:K237" si="20">D232</f>
        <v>1032</v>
      </c>
      <c r="L232" s="466">
        <v>1800</v>
      </c>
    </row>
    <row r="233" spans="1:12" x14ac:dyDescent="0.2">
      <c r="A233" s="1504" t="s">
        <v>1090</v>
      </c>
      <c r="B233" s="614">
        <v>2120</v>
      </c>
      <c r="C233" s="616"/>
      <c r="D233" s="466">
        <v>1017</v>
      </c>
      <c r="E233" s="616"/>
      <c r="F233" s="616"/>
      <c r="G233" s="616"/>
      <c r="H233" s="616"/>
      <c r="I233" s="616"/>
      <c r="J233" s="616"/>
      <c r="K233" s="1671">
        <f t="shared" si="20"/>
        <v>1017</v>
      </c>
      <c r="L233" s="466">
        <v>1100</v>
      </c>
    </row>
    <row r="234" spans="1:12" x14ac:dyDescent="0.2">
      <c r="A234" s="1504" t="s">
        <v>198</v>
      </c>
      <c r="B234" s="614">
        <v>2130</v>
      </c>
      <c r="C234" s="616"/>
      <c r="D234" s="466">
        <v>8578</v>
      </c>
      <c r="E234" s="616"/>
      <c r="F234" s="616"/>
      <c r="G234" s="616"/>
      <c r="H234" s="616"/>
      <c r="I234" s="616"/>
      <c r="J234" s="616"/>
      <c r="K234" s="1671">
        <f t="shared" si="20"/>
        <v>8578</v>
      </c>
      <c r="L234" s="466">
        <v>11100</v>
      </c>
    </row>
    <row r="235" spans="1:12" x14ac:dyDescent="0.2">
      <c r="A235" s="1504" t="s">
        <v>199</v>
      </c>
      <c r="B235" s="614">
        <v>2140</v>
      </c>
      <c r="C235" s="616"/>
      <c r="D235" s="466"/>
      <c r="E235" s="616"/>
      <c r="F235" s="616"/>
      <c r="G235" s="616"/>
      <c r="H235" s="616"/>
      <c r="I235" s="616"/>
      <c r="J235" s="616"/>
      <c r="K235" s="1671">
        <f t="shared" si="20"/>
        <v>0</v>
      </c>
      <c r="L235" s="466">
        <v>0</v>
      </c>
    </row>
    <row r="236" spans="1:12" x14ac:dyDescent="0.2">
      <c r="A236" s="1504" t="s">
        <v>200</v>
      </c>
      <c r="B236" s="614">
        <v>2150</v>
      </c>
      <c r="C236" s="616"/>
      <c r="D236" s="466">
        <v>1286</v>
      </c>
      <c r="E236" s="616"/>
      <c r="F236" s="616"/>
      <c r="G236" s="616"/>
      <c r="H236" s="616"/>
      <c r="I236" s="616"/>
      <c r="J236" s="616"/>
      <c r="K236" s="1671">
        <f t="shared" si="20"/>
        <v>1286</v>
      </c>
      <c r="L236" s="466">
        <v>1800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11913</v>
      </c>
      <c r="E238" s="616"/>
      <c r="F238" s="616"/>
      <c r="G238" s="616"/>
      <c r="H238" s="616"/>
      <c r="I238" s="616"/>
      <c r="J238" s="616"/>
      <c r="K238" s="1670">
        <f>SUM(K232:K237)</f>
        <v>11913</v>
      </c>
      <c r="L238" s="1670">
        <f>SUM(L232:L237)</f>
        <v>15800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428</v>
      </c>
      <c r="E240" s="616"/>
      <c r="F240" s="616"/>
      <c r="G240" s="616"/>
      <c r="H240" s="616"/>
      <c r="I240" s="616"/>
      <c r="J240" s="616"/>
      <c r="K240" s="1672">
        <f>D240</f>
        <v>428</v>
      </c>
      <c r="L240" s="481">
        <v>1200</v>
      </c>
    </row>
    <row r="241" spans="1:12" x14ac:dyDescent="0.2">
      <c r="A241" s="1504" t="s">
        <v>815</v>
      </c>
      <c r="B241" s="614">
        <v>2220</v>
      </c>
      <c r="C241" s="616"/>
      <c r="D241" s="466">
        <v>4949</v>
      </c>
      <c r="E241" s="616"/>
      <c r="F241" s="616"/>
      <c r="G241" s="616"/>
      <c r="H241" s="616"/>
      <c r="I241" s="616"/>
      <c r="J241" s="616"/>
      <c r="K241" s="1672">
        <f>D241</f>
        <v>4949</v>
      </c>
      <c r="L241" s="466">
        <v>7800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5377</v>
      </c>
      <c r="E243" s="616"/>
      <c r="F243" s="616"/>
      <c r="G243" s="616"/>
      <c r="H243" s="616"/>
      <c r="I243" s="616"/>
      <c r="J243" s="616"/>
      <c r="K243" s="1670">
        <f>SUM(K240:K242)</f>
        <v>5377</v>
      </c>
      <c r="L243" s="1670">
        <f>SUM(L240:L242)</f>
        <v>9000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3305</v>
      </c>
      <c r="E245" s="616"/>
      <c r="F245" s="616"/>
      <c r="G245" s="616"/>
      <c r="H245" s="616"/>
      <c r="I245" s="616"/>
      <c r="J245" s="616"/>
      <c r="K245" s="1672">
        <f>D245</f>
        <v>3305</v>
      </c>
      <c r="L245" s="481">
        <v>4450</v>
      </c>
    </row>
    <row r="246" spans="1:12" x14ac:dyDescent="0.2">
      <c r="A246" s="1504" t="s">
        <v>818</v>
      </c>
      <c r="B246" s="614">
        <v>2320</v>
      </c>
      <c r="C246" s="616"/>
      <c r="D246" s="466">
        <v>1788</v>
      </c>
      <c r="E246" s="616"/>
      <c r="F246" s="616"/>
      <c r="G246" s="616"/>
      <c r="H246" s="616"/>
      <c r="I246" s="616"/>
      <c r="J246" s="616"/>
      <c r="K246" s="1672">
        <f t="shared" ref="K246:K256" si="21">D246</f>
        <v>1788</v>
      </c>
      <c r="L246" s="466">
        <v>2200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1328</v>
      </c>
      <c r="E254" s="616"/>
      <c r="F254" s="616"/>
      <c r="G254" s="616"/>
      <c r="H254" s="616"/>
      <c r="I254" s="616"/>
      <c r="J254" s="616"/>
      <c r="K254" s="1672">
        <f t="shared" si="21"/>
        <v>1328</v>
      </c>
      <c r="L254" s="466">
        <v>2500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6421</v>
      </c>
      <c r="E257" s="616"/>
      <c r="F257" s="616"/>
      <c r="G257" s="616"/>
      <c r="H257" s="616"/>
      <c r="I257" s="616"/>
      <c r="J257" s="616"/>
      <c r="K257" s="1670">
        <f>SUM(K245:K256)</f>
        <v>6421</v>
      </c>
      <c r="L257" s="1670">
        <f>SUM(L245:L256)</f>
        <v>9150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31219</v>
      </c>
      <c r="E259" s="616"/>
      <c r="F259" s="616"/>
      <c r="G259" s="616"/>
      <c r="H259" s="616"/>
      <c r="I259" s="616"/>
      <c r="J259" s="616"/>
      <c r="K259" s="1672">
        <f>D259</f>
        <v>31219</v>
      </c>
      <c r="L259" s="481">
        <v>42500</v>
      </c>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31219</v>
      </c>
      <c r="E261" s="616"/>
      <c r="F261" s="616"/>
      <c r="G261" s="616"/>
      <c r="H261" s="616"/>
      <c r="I261" s="616"/>
      <c r="J261" s="616"/>
      <c r="K261" s="1670">
        <f>SUM(K259:K260)</f>
        <v>31219</v>
      </c>
      <c r="L261" s="1670">
        <f>SUM(L259:L260)</f>
        <v>42500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1158</v>
      </c>
      <c r="E263" s="616"/>
      <c r="F263" s="616"/>
      <c r="G263" s="616"/>
      <c r="H263" s="616"/>
      <c r="I263" s="616"/>
      <c r="J263" s="616"/>
      <c r="K263" s="1672">
        <f>D263</f>
        <v>1158</v>
      </c>
      <c r="L263" s="481">
        <v>1400</v>
      </c>
    </row>
    <row r="264" spans="1:14" x14ac:dyDescent="0.2">
      <c r="A264" s="1504" t="s">
        <v>463</v>
      </c>
      <c r="B264" s="685">
        <v>2520</v>
      </c>
      <c r="C264" s="616"/>
      <c r="D264" s="466">
        <v>1229</v>
      </c>
      <c r="E264" s="616"/>
      <c r="F264" s="616"/>
      <c r="G264" s="616"/>
      <c r="H264" s="616"/>
      <c r="I264" s="616"/>
      <c r="J264" s="616"/>
      <c r="K264" s="1672">
        <f t="shared" ref="K264:K269" si="22">D264</f>
        <v>1229</v>
      </c>
      <c r="L264" s="466">
        <v>1300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55346</v>
      </c>
      <c r="E266" s="616"/>
      <c r="F266" s="616"/>
      <c r="G266" s="616"/>
      <c r="H266" s="616"/>
      <c r="I266" s="616"/>
      <c r="J266" s="616"/>
      <c r="K266" s="1672">
        <f t="shared" si="22"/>
        <v>55346</v>
      </c>
      <c r="L266" s="466">
        <v>74700</v>
      </c>
    </row>
    <row r="267" spans="1:14" x14ac:dyDescent="0.2">
      <c r="A267" s="1504" t="s">
        <v>953</v>
      </c>
      <c r="B267" s="614">
        <v>2550</v>
      </c>
      <c r="C267" s="616"/>
      <c r="D267" s="466">
        <v>5862</v>
      </c>
      <c r="E267" s="616"/>
      <c r="F267" s="616"/>
      <c r="G267" s="616"/>
      <c r="H267" s="616"/>
      <c r="I267" s="616"/>
      <c r="J267" s="616"/>
      <c r="K267" s="1672">
        <f t="shared" si="22"/>
        <v>5862</v>
      </c>
      <c r="L267" s="466">
        <v>6800</v>
      </c>
    </row>
    <row r="268" spans="1:14" x14ac:dyDescent="0.2">
      <c r="A268" s="1504" t="s">
        <v>100</v>
      </c>
      <c r="B268" s="614">
        <v>2560</v>
      </c>
      <c r="C268" s="616"/>
      <c r="D268" s="466">
        <v>32573</v>
      </c>
      <c r="E268" s="616"/>
      <c r="F268" s="616"/>
      <c r="G268" s="616"/>
      <c r="H268" s="616"/>
      <c r="I268" s="616"/>
      <c r="J268" s="616"/>
      <c r="K268" s="1672">
        <f t="shared" si="22"/>
        <v>32573</v>
      </c>
      <c r="L268" s="466">
        <v>40500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96168</v>
      </c>
      <c r="E270" s="616"/>
      <c r="F270" s="616"/>
      <c r="G270" s="616"/>
      <c r="H270" s="616"/>
      <c r="I270" s="616"/>
      <c r="J270" s="616"/>
      <c r="K270" s="1670">
        <f>SUM(K263:K269)</f>
        <v>96168</v>
      </c>
      <c r="L270" s="1670">
        <f>SUM(L263:L269)</f>
        <v>124700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151098</v>
      </c>
      <c r="E279" s="616"/>
      <c r="F279" s="616"/>
      <c r="G279" s="616"/>
      <c r="H279" s="616"/>
      <c r="I279" s="616"/>
      <c r="J279" s="616"/>
      <c r="K279" s="1677">
        <f>SUM(K238,K243,K257,K261,K270,K277,K278)</f>
        <v>151098</v>
      </c>
      <c r="L279" s="1677">
        <f>SUM(L238,L243,L257,L261,L270,L277,L278)</f>
        <v>201150</v>
      </c>
    </row>
    <row r="280" spans="1:12" ht="15.75" customHeight="1" thickTop="1" thickBot="1" x14ac:dyDescent="0.25">
      <c r="A280" s="1624" t="s">
        <v>875</v>
      </c>
      <c r="B280" s="1613">
        <v>3000</v>
      </c>
      <c r="C280" s="616"/>
      <c r="D280" s="576">
        <v>8464</v>
      </c>
      <c r="E280" s="616"/>
      <c r="F280" s="616"/>
      <c r="G280" s="616"/>
      <c r="H280" s="616"/>
      <c r="I280" s="616"/>
      <c r="J280" s="616"/>
      <c r="K280" s="1679">
        <f>D280</f>
        <v>8464</v>
      </c>
      <c r="L280" s="576">
        <v>11200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1842</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2" t="s">
        <v>505</v>
      </c>
      <c r="B295" s="2173"/>
      <c r="C295" s="616"/>
      <c r="D295" s="1670">
        <f>SUM(D229,D279,D280,D285)</f>
        <v>284536</v>
      </c>
      <c r="E295" s="616"/>
      <c r="F295" s="616"/>
      <c r="G295" s="616"/>
      <c r="H295" s="1670">
        <f>H293</f>
        <v>0</v>
      </c>
      <c r="I295" s="616"/>
      <c r="J295" s="616"/>
      <c r="K295" s="1670">
        <f>SUM(K229,K279,K280,K285,K293,K294)</f>
        <v>284536</v>
      </c>
      <c r="L295" s="1670">
        <f>SUM(L229,L279,L280,L285,L293,L294)</f>
        <v>379900</v>
      </c>
    </row>
    <row r="296" spans="1:14" ht="13.5" thickTop="1" x14ac:dyDescent="0.2">
      <c r="A296" s="2154" t="s">
        <v>996</v>
      </c>
      <c r="B296" s="2155"/>
      <c r="C296" s="616"/>
      <c r="D296" s="618"/>
      <c r="E296" s="616"/>
      <c r="F296" s="616"/>
      <c r="G296" s="616"/>
      <c r="H296" s="687"/>
      <c r="I296" s="616"/>
      <c r="J296" s="616"/>
      <c r="K296" s="1684">
        <f>'Revenues 9-14'!G268-'Expenditures 15-22'!K295</f>
        <v>72933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4" t="s">
        <v>143</v>
      </c>
      <c r="B298" s="2158"/>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1847</v>
      </c>
      <c r="B306" s="690" t="s">
        <v>1842</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9" t="s">
        <v>277</v>
      </c>
      <c r="B312" s="2170"/>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5" t="s">
        <v>996</v>
      </c>
      <c r="B313" s="2166"/>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8" t="s">
        <v>149</v>
      </c>
      <c r="B315" s="2179"/>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0" t="s">
        <v>898</v>
      </c>
      <c r="B317" s="2179"/>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91983</v>
      </c>
      <c r="F322" s="467"/>
      <c r="G322" s="467"/>
      <c r="H322" s="467"/>
      <c r="I322" s="467"/>
      <c r="J322" s="467"/>
      <c r="K322" s="1671">
        <f t="shared" si="24"/>
        <v>91983</v>
      </c>
      <c r="L322" s="467">
        <v>150000</v>
      </c>
      <c r="M322" s="665"/>
      <c r="N322" s="665"/>
    </row>
    <row r="323" spans="1:14" s="674" customFormat="1" x14ac:dyDescent="0.2">
      <c r="A323" s="1519" t="s">
        <v>702</v>
      </c>
      <c r="B323" s="697" t="s">
        <v>285</v>
      </c>
      <c r="C323" s="467"/>
      <c r="D323" s="467"/>
      <c r="E323" s="467">
        <v>11085</v>
      </c>
      <c r="F323" s="467"/>
      <c r="G323" s="467"/>
      <c r="H323" s="467"/>
      <c r="I323" s="467"/>
      <c r="J323" s="467"/>
      <c r="K323" s="1671">
        <f t="shared" si="24"/>
        <v>11085</v>
      </c>
      <c r="L323" s="467">
        <v>20000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30170</v>
      </c>
      <c r="D325" s="467">
        <v>16648</v>
      </c>
      <c r="E325" s="467"/>
      <c r="F325" s="467">
        <v>954</v>
      </c>
      <c r="G325" s="467"/>
      <c r="H325" s="467"/>
      <c r="I325" s="467"/>
      <c r="J325" s="467"/>
      <c r="K325" s="1671">
        <f t="shared" si="24"/>
        <v>47772</v>
      </c>
      <c r="L325" s="467">
        <v>71150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2000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30170</v>
      </c>
      <c r="D330" s="1670">
        <f t="shared" ref="D330:J330" si="25">SUM(D319:D329)</f>
        <v>16648</v>
      </c>
      <c r="E330" s="1670">
        <f t="shared" si="25"/>
        <v>103068</v>
      </c>
      <c r="F330" s="1670">
        <f t="shared" si="25"/>
        <v>954</v>
      </c>
      <c r="G330" s="1670">
        <f t="shared" si="25"/>
        <v>0</v>
      </c>
      <c r="H330" s="1670">
        <f t="shared" si="25"/>
        <v>0</v>
      </c>
      <c r="I330" s="1670">
        <f t="shared" si="25"/>
        <v>0</v>
      </c>
      <c r="J330" s="1670">
        <f t="shared" si="25"/>
        <v>0</v>
      </c>
      <c r="K330" s="1670">
        <f>SUM(K319:K329)</f>
        <v>150840</v>
      </c>
      <c r="L330" s="1670">
        <f>SUM(L319:L329)</f>
        <v>243150</v>
      </c>
      <c r="M330" s="665"/>
      <c r="N330" s="665"/>
    </row>
    <row r="331" spans="1:14" s="674" customFormat="1" ht="12.75" customHeight="1" thickTop="1" x14ac:dyDescent="0.2">
      <c r="A331" s="1831" t="s">
        <v>1848</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1842</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1844</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1849</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30170</v>
      </c>
      <c r="D342" s="1670">
        <f>SUM(D330)</f>
        <v>16648</v>
      </c>
      <c r="E342" s="1670">
        <f>SUM(E330)</f>
        <v>103068</v>
      </c>
      <c r="F342" s="1670">
        <f>SUM(F330)</f>
        <v>954</v>
      </c>
      <c r="G342" s="1670">
        <f>SUM(G330)</f>
        <v>0</v>
      </c>
      <c r="H342" s="1670">
        <f>SUM(H330,H334,H340)</f>
        <v>0</v>
      </c>
      <c r="I342" s="1670">
        <f>SUM(I330)</f>
        <v>0</v>
      </c>
      <c r="J342" s="1670">
        <f>SUM(J330)</f>
        <v>0</v>
      </c>
      <c r="K342" s="1670">
        <f>SUM(K330,K334,K340)</f>
        <v>150840</v>
      </c>
      <c r="L342" s="1677">
        <f>SUM(L330,L340,L341)</f>
        <v>243150</v>
      </c>
    </row>
    <row r="343" spans="1:14" ht="12.75" customHeight="1" thickTop="1" x14ac:dyDescent="0.2">
      <c r="A343" s="2167" t="s">
        <v>996</v>
      </c>
      <c r="B343" s="2168"/>
      <c r="C343" s="616"/>
      <c r="D343" s="616"/>
      <c r="E343" s="616"/>
      <c r="F343" s="616"/>
      <c r="G343" s="616"/>
      <c r="H343" s="616"/>
      <c r="I343" s="616"/>
      <c r="J343" s="616"/>
      <c r="K343" s="1684">
        <f>'Revenues 9-14'!J268-'Expenditures 15-22'!K342</f>
        <v>69935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7" t="s">
        <v>966</v>
      </c>
      <c r="B345" s="2158"/>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v>36553</v>
      </c>
      <c r="H349" s="466"/>
      <c r="I349" s="467"/>
      <c r="J349" s="467"/>
      <c r="K349" s="1671">
        <f>SUM(C349:J349)</f>
        <v>36553</v>
      </c>
      <c r="L349" s="466">
        <v>88000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36553</v>
      </c>
      <c r="H350" s="1670">
        <f t="shared" si="26"/>
        <v>0</v>
      </c>
      <c r="I350" s="1670">
        <f t="shared" si="26"/>
        <v>0</v>
      </c>
      <c r="J350" s="1670">
        <f t="shared" si="26"/>
        <v>0</v>
      </c>
      <c r="K350" s="1670">
        <f t="shared" si="26"/>
        <v>36553</v>
      </c>
      <c r="L350" s="1670">
        <f t="shared" si="26"/>
        <v>88000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36553</v>
      </c>
      <c r="H352" s="1670">
        <f t="shared" si="27"/>
        <v>0</v>
      </c>
      <c r="I352" s="1670">
        <f t="shared" si="27"/>
        <v>0</v>
      </c>
      <c r="J352" s="1670">
        <f t="shared" si="27"/>
        <v>0</v>
      </c>
      <c r="K352" s="1670">
        <f t="shared" si="27"/>
        <v>36553</v>
      </c>
      <c r="L352" s="1670">
        <f t="shared" si="27"/>
        <v>88000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1850</v>
      </c>
      <c r="B354" s="683" t="s">
        <v>1842</v>
      </c>
      <c r="C354" s="616"/>
      <c r="D354" s="616"/>
      <c r="E354" s="616"/>
      <c r="F354" s="616"/>
      <c r="G354" s="616"/>
      <c r="H354" s="474"/>
      <c r="I354" s="701"/>
      <c r="J354" s="616"/>
      <c r="K354" s="1699">
        <f>H354</f>
        <v>0</v>
      </c>
      <c r="L354" s="471"/>
    </row>
    <row r="355" spans="1:14" ht="12.75" customHeight="1" x14ac:dyDescent="0.2">
      <c r="A355" s="1513" t="s">
        <v>1851</v>
      </c>
      <c r="B355" s="690" t="s">
        <v>1844</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36553</v>
      </c>
      <c r="H367" s="1670">
        <f t="shared" si="28"/>
        <v>0</v>
      </c>
      <c r="I367" s="1670">
        <f t="shared" si="28"/>
        <v>0</v>
      </c>
      <c r="J367" s="1670">
        <f t="shared" si="28"/>
        <v>0</v>
      </c>
      <c r="K367" s="1670">
        <f t="shared" si="28"/>
        <v>36553</v>
      </c>
      <c r="L367" s="1670">
        <f t="shared" si="28"/>
        <v>88000</v>
      </c>
    </row>
    <row r="368" spans="1:14" ht="13.5" thickTop="1" x14ac:dyDescent="0.2">
      <c r="A368" s="2154" t="s">
        <v>996</v>
      </c>
      <c r="B368" s="2155"/>
      <c r="C368" s="654"/>
      <c r="D368" s="654"/>
      <c r="E368" s="626"/>
      <c r="F368" s="626"/>
      <c r="G368" s="626"/>
      <c r="H368" s="626"/>
      <c r="I368" s="626"/>
      <c r="J368" s="623"/>
      <c r="K368" s="1671">
        <f>'Revenues 9-14'!K268-'Expenditures 15-22'!K367</f>
        <v>-21493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orizontalCentered="1" gridLinesSet="0"/>
  <pageMargins left="0.75" right="0.75" top="1.1000000000000001" bottom="0.5" header="0.5" footer="0.5"/>
  <pageSetup scale="60" firstPageNumber="15" fitToHeight="0" orientation="landscape" r:id="rId1"/>
  <headerFooter>
    <oddHeader>&amp;C&amp;"Times New Roman,Regular"BELLE VALLEY SCHOOL DISTRICT NO. 119
STATEMENT OF DISBURSEMENTS - CASH - REGULATORY BASIS
(ACTUAL AND BUDGET)
ALL FUNDS
FOR THE YEAR ENDED JUNE 30, 2019</oddHeader>
    <oddFooter>&amp;C&amp;"Times New Roman,Regular"See Notes to Financial Statements and Independent Auditor's Reports
&amp;P</oddFooter>
  </headerFooter>
  <rowBreaks count="6" manualBreakCount="6">
    <brk id="53" max="16383" man="1"/>
    <brk id="107" max="16383" man="1"/>
    <brk id="160" max="16383" man="1"/>
    <brk id="206" max="16383" man="1"/>
    <brk id="261" max="16383" man="1"/>
    <brk id="31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zoomScaleSheetLayoutView="184" workbookViewId="0">
      <selection activeCell="H6" sqref="H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1799</v>
      </c>
      <c r="B2" s="1528" t="s">
        <v>1948</v>
      </c>
      <c r="C2" s="714" t="s">
        <v>1949</v>
      </c>
      <c r="D2" s="714" t="s">
        <v>1950</v>
      </c>
      <c r="E2" s="714" t="s">
        <v>1951</v>
      </c>
      <c r="F2" s="714" t="s">
        <v>1952</v>
      </c>
    </row>
    <row r="3" spans="1:6" ht="12" customHeight="1" x14ac:dyDescent="0.2">
      <c r="A3" s="2182"/>
      <c r="B3" s="1525"/>
      <c r="C3" s="1526"/>
      <c r="D3" s="1527" t="s">
        <v>256</v>
      </c>
      <c r="E3" s="1526"/>
      <c r="F3" s="1527" t="s">
        <v>257</v>
      </c>
    </row>
    <row r="4" spans="1:6" ht="13.7" customHeight="1" x14ac:dyDescent="0.2">
      <c r="A4" s="715" t="s">
        <v>1155</v>
      </c>
      <c r="B4" s="1749">
        <f>'Revenues 9-14'!C5</f>
        <v>1823594</v>
      </c>
      <c r="C4" s="1524">
        <v>562150</v>
      </c>
      <c r="D4" s="1752">
        <f>B4-C4</f>
        <v>1261444</v>
      </c>
      <c r="E4" s="1524">
        <v>1827095</v>
      </c>
      <c r="F4" s="1752">
        <f>E4-C4</f>
        <v>1264945</v>
      </c>
    </row>
    <row r="5" spans="1:6" ht="13.7" customHeight="1" x14ac:dyDescent="0.2">
      <c r="A5" s="715" t="s">
        <v>870</v>
      </c>
      <c r="B5" s="1750">
        <f>'Revenues 9-14'!D5</f>
        <v>320732</v>
      </c>
      <c r="C5" s="585">
        <v>98870</v>
      </c>
      <c r="D5" s="1753">
        <f t="shared" ref="D5:D18" si="0">B5-C5</f>
        <v>221862</v>
      </c>
      <c r="E5" s="585">
        <v>321348</v>
      </c>
      <c r="F5" s="1753">
        <f>E5-C5</f>
        <v>222478</v>
      </c>
    </row>
    <row r="6" spans="1:6" ht="13.7" customHeight="1" x14ac:dyDescent="0.2">
      <c r="A6" s="715" t="s">
        <v>411</v>
      </c>
      <c r="B6" s="1750">
        <f>'Revenues 9-14'!E5</f>
        <v>1933238</v>
      </c>
      <c r="C6" s="585">
        <v>600738</v>
      </c>
      <c r="D6" s="1753">
        <f t="shared" si="0"/>
        <v>1332500</v>
      </c>
      <c r="E6" s="585">
        <v>1952512</v>
      </c>
      <c r="F6" s="1753">
        <f t="shared" ref="F6:F18" si="1">E6-C6</f>
        <v>1351774</v>
      </c>
    </row>
    <row r="7" spans="1:6" ht="13.7" customHeight="1" x14ac:dyDescent="0.2">
      <c r="A7" s="715" t="s">
        <v>155</v>
      </c>
      <c r="B7" s="1750">
        <f>'Revenues 9-14'!F5</f>
        <v>109966</v>
      </c>
      <c r="C7" s="585">
        <v>33899</v>
      </c>
      <c r="D7" s="1753">
        <f t="shared" si="0"/>
        <v>76067</v>
      </c>
      <c r="E7" s="585">
        <v>110177</v>
      </c>
      <c r="F7" s="1753">
        <f t="shared" si="1"/>
        <v>76278</v>
      </c>
    </row>
    <row r="8" spans="1:6" ht="13.7" customHeight="1" x14ac:dyDescent="0.2">
      <c r="A8" s="715" t="s">
        <v>1179</v>
      </c>
      <c r="B8" s="1750">
        <f>'Revenues 9-14'!G5</f>
        <v>145122</v>
      </c>
      <c r="C8" s="585">
        <v>43700</v>
      </c>
      <c r="D8" s="1753">
        <f t="shared" si="0"/>
        <v>101422</v>
      </c>
      <c r="E8" s="585">
        <v>142036</v>
      </c>
      <c r="F8" s="1753">
        <f t="shared" si="1"/>
        <v>98336</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45818</v>
      </c>
      <c r="C10" s="585">
        <v>14124</v>
      </c>
      <c r="D10" s="1753">
        <f t="shared" si="0"/>
        <v>31694</v>
      </c>
      <c r="E10" s="585">
        <v>45907</v>
      </c>
      <c r="F10" s="1753">
        <f t="shared" si="1"/>
        <v>31783</v>
      </c>
    </row>
    <row r="11" spans="1:6" x14ac:dyDescent="0.2">
      <c r="A11" s="715" t="s">
        <v>409</v>
      </c>
      <c r="B11" s="1750">
        <f>'Revenues 9-14'!J5</f>
        <v>212128</v>
      </c>
      <c r="C11" s="585">
        <v>65254</v>
      </c>
      <c r="D11" s="1753">
        <f t="shared" si="0"/>
        <v>146874</v>
      </c>
      <c r="E11" s="585">
        <v>212090</v>
      </c>
      <c r="F11" s="1753">
        <f t="shared" si="1"/>
        <v>146836</v>
      </c>
    </row>
    <row r="12" spans="1:6" ht="13.7" customHeight="1" x14ac:dyDescent="0.2">
      <c r="A12" s="715" t="s">
        <v>157</v>
      </c>
      <c r="B12" s="1750">
        <f>'Revenues 9-14'!K5</f>
        <v>10141</v>
      </c>
      <c r="C12" s="585">
        <v>10141</v>
      </c>
      <c r="D12" s="1753">
        <f t="shared" si="0"/>
        <v>0</v>
      </c>
      <c r="E12" s="585">
        <v>32961</v>
      </c>
      <c r="F12" s="1753">
        <f t="shared" si="1"/>
        <v>22820</v>
      </c>
    </row>
    <row r="13" spans="1:6" ht="13.7" customHeight="1" x14ac:dyDescent="0.2">
      <c r="A13" s="715" t="s">
        <v>936</v>
      </c>
      <c r="B13" s="1750">
        <f>SUM('Revenues 9-14'!C6:D6)</f>
        <v>45627</v>
      </c>
      <c r="C13" s="585">
        <v>14124</v>
      </c>
      <c r="D13" s="1753">
        <f t="shared" si="0"/>
        <v>31503</v>
      </c>
      <c r="E13" s="585">
        <v>45907</v>
      </c>
      <c r="F13" s="1753">
        <f t="shared" si="1"/>
        <v>31783</v>
      </c>
    </row>
    <row r="14" spans="1:6" ht="13.7" customHeight="1" x14ac:dyDescent="0.2">
      <c r="A14" s="715" t="s">
        <v>410</v>
      </c>
      <c r="B14" s="1750">
        <f>SUM('Revenues 9-14'!C7:D7,'Revenues 9-14'!F7:H7)</f>
        <v>18329</v>
      </c>
      <c r="C14" s="585">
        <v>5650</v>
      </c>
      <c r="D14" s="1753">
        <f t="shared" si="0"/>
        <v>12679</v>
      </c>
      <c r="E14" s="585">
        <v>18363</v>
      </c>
      <c r="F14" s="1753">
        <f t="shared" si="1"/>
        <v>12713</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188882</v>
      </c>
      <c r="C16" s="585">
        <v>56017</v>
      </c>
      <c r="D16" s="1753">
        <f t="shared" si="0"/>
        <v>132865</v>
      </c>
      <c r="E16" s="585">
        <v>182067</v>
      </c>
      <c r="F16" s="1753">
        <f t="shared" si="1"/>
        <v>126050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4853577</v>
      </c>
      <c r="C19" s="1751">
        <f>SUM(C4:C18)</f>
        <v>1504667</v>
      </c>
      <c r="D19" s="1751">
        <f>SUM(D4:D18)</f>
        <v>3348910</v>
      </c>
      <c r="E19" s="1751">
        <f>SUM(E4:E18)</f>
        <v>4890463</v>
      </c>
      <c r="F19" s="1751">
        <f>SUM(F4:F18)</f>
        <v>3385796</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orizontalCentered="1" gridLinesSet="0"/>
  <pageMargins left="0.75" right="0.75" top="1.5" bottom="0.5" header="0.5" footer="0.5"/>
  <pageSetup scale="90" firstPageNumber="59" orientation="landscape" useFirstPageNumber="1" r:id="rId1"/>
  <headerFooter>
    <oddHeader xml:space="preserve">&amp;C&amp;"Times New Roman,Regular"BELLE VALLEY SCHOOL DISTRICT NO. 119
SCHEDULE OF AD VALOREM TAX RECEIPTS
FOR THE YEAR ENDED JUNE 30, 2019
</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activeCell="J34" sqref="J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629</v>
      </c>
      <c r="B1" s="2201"/>
      <c r="C1" s="721"/>
    </row>
    <row r="2" spans="1:7" ht="33.75" x14ac:dyDescent="0.2">
      <c r="A2" s="2208" t="s">
        <v>1799</v>
      </c>
      <c r="B2" s="2209"/>
      <c r="C2" s="1884" t="s">
        <v>1953</v>
      </c>
      <c r="D2" s="723" t="s">
        <v>1954</v>
      </c>
      <c r="E2" s="723" t="s">
        <v>1955</v>
      </c>
      <c r="F2" s="1884" t="s">
        <v>1956</v>
      </c>
    </row>
    <row r="3" spans="1:7" ht="15.75" customHeight="1" x14ac:dyDescent="0.2">
      <c r="A3" s="2210" t="s">
        <v>1114</v>
      </c>
      <c r="B3" s="2211"/>
      <c r="C3" s="2204"/>
      <c r="D3" s="2205"/>
      <c r="E3" s="2205"/>
      <c r="F3" s="2206"/>
    </row>
    <row r="4" spans="1:7" ht="12.75" customHeight="1" thickBot="1" x14ac:dyDescent="0.25">
      <c r="A4" s="2198" t="s">
        <v>630</v>
      </c>
      <c r="B4" s="2199"/>
      <c r="C4" s="581"/>
      <c r="D4" s="581"/>
      <c r="E4" s="581"/>
      <c r="F4" s="1755">
        <f>SUM(C4+D4)-E4</f>
        <v>0</v>
      </c>
    </row>
    <row r="5" spans="1:7" ht="15.75" customHeight="1" thickTop="1" x14ac:dyDescent="0.2">
      <c r="A5" s="2202" t="s">
        <v>1110</v>
      </c>
      <c r="B5" s="2197"/>
      <c r="C5" s="2191"/>
      <c r="D5" s="2192"/>
      <c r="E5" s="2192"/>
      <c r="F5" s="219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7" t="s">
        <v>1111</v>
      </c>
      <c r="B16" s="2197"/>
      <c r="C16" s="2191"/>
      <c r="D16" s="2192"/>
      <c r="E16" s="2192"/>
      <c r="F16" s="2193"/>
    </row>
    <row r="17" spans="1:11" ht="12.75" customHeight="1" thickBot="1" x14ac:dyDescent="0.25">
      <c r="A17" s="2189" t="s">
        <v>64</v>
      </c>
      <c r="B17" s="2190"/>
      <c r="C17" s="726"/>
      <c r="D17" s="585"/>
      <c r="E17" s="726"/>
      <c r="F17" s="1755">
        <f>SUM(C17+D17)-E17</f>
        <v>0</v>
      </c>
    </row>
    <row r="18" spans="1:11" ht="12.75" customHeight="1" thickTop="1" thickBot="1" x14ac:dyDescent="0.25">
      <c r="A18" s="2189" t="s">
        <v>6</v>
      </c>
      <c r="B18" s="2190"/>
      <c r="C18" s="726"/>
      <c r="D18" s="585"/>
      <c r="E18" s="726"/>
      <c r="F18" s="1755">
        <f>SUM(C18+D18)-E18</f>
        <v>0</v>
      </c>
    </row>
    <row r="19" spans="1:11" ht="12.75" customHeight="1" thickTop="1" thickBot="1" x14ac:dyDescent="0.25">
      <c r="A19" s="2189" t="s">
        <v>388</v>
      </c>
      <c r="B19" s="2190"/>
      <c r="C19" s="726"/>
      <c r="D19" s="585"/>
      <c r="E19" s="726"/>
      <c r="F19" s="1755">
        <f>SUM(C19+D19)-E19</f>
        <v>0</v>
      </c>
    </row>
    <row r="20" spans="1:11" ht="12.75" customHeight="1" thickTop="1" thickBot="1" x14ac:dyDescent="0.25">
      <c r="A20" s="2189" t="s">
        <v>448</v>
      </c>
      <c r="B20" s="2190"/>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196" t="s">
        <v>1112</v>
      </c>
      <c r="B22" s="2197"/>
      <c r="C22" s="2191"/>
      <c r="D22" s="2192"/>
      <c r="E22" s="2192"/>
      <c r="F22" s="2193"/>
    </row>
    <row r="23" spans="1:11" ht="13.5" thickBot="1" x14ac:dyDescent="0.25">
      <c r="A23" s="2198" t="s">
        <v>633</v>
      </c>
      <c r="B23" s="2199"/>
      <c r="C23" s="581"/>
      <c r="D23" s="581"/>
      <c r="E23" s="581"/>
      <c r="F23" s="1755">
        <f>SUM(C23+D23)-E23</f>
        <v>0</v>
      </c>
      <c r="G23" s="552"/>
    </row>
    <row r="24" spans="1:11" ht="15.75" customHeight="1" thickTop="1" x14ac:dyDescent="0.2">
      <c r="A24" s="2196" t="s">
        <v>1113</v>
      </c>
      <c r="B24" s="2197"/>
      <c r="C24" s="2191"/>
      <c r="D24" s="2192"/>
      <c r="E24" s="2192"/>
      <c r="F24" s="2193"/>
    </row>
    <row r="25" spans="1:11" ht="13.5" thickBot="1" x14ac:dyDescent="0.25">
      <c r="A25" s="2198" t="s">
        <v>634</v>
      </c>
      <c r="B25" s="2199"/>
      <c r="C25" s="581"/>
      <c r="D25" s="581"/>
      <c r="E25" s="581"/>
      <c r="F25" s="1755">
        <f>SUM(C25+D25)-E25</f>
        <v>0</v>
      </c>
      <c r="G25" s="552"/>
    </row>
    <row r="26" spans="1:11" ht="15.75" customHeight="1" thickTop="1" x14ac:dyDescent="0.2">
      <c r="A26" s="2202" t="s">
        <v>657</v>
      </c>
      <c r="B26" s="2197"/>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00" t="s">
        <v>582</v>
      </c>
      <c r="B29" s="2201"/>
      <c r="C29" s="729"/>
      <c r="D29" s="729"/>
      <c r="E29" s="729"/>
      <c r="F29" s="729"/>
      <c r="G29" s="729"/>
      <c r="H29" s="729"/>
      <c r="I29" s="729"/>
      <c r="J29" s="729"/>
    </row>
    <row r="30" spans="1:11" ht="33.75" x14ac:dyDescent="0.2">
      <c r="A30" s="1529" t="s">
        <v>1071</v>
      </c>
      <c r="B30" s="730" t="s">
        <v>1124</v>
      </c>
      <c r="C30" s="1885" t="s">
        <v>583</v>
      </c>
      <c r="D30" s="1885" t="s">
        <v>1673</v>
      </c>
      <c r="E30" s="1885" t="s">
        <v>1957</v>
      </c>
      <c r="F30" s="1885" t="s">
        <v>1958</v>
      </c>
      <c r="G30" s="1885" t="s">
        <v>1908</v>
      </c>
      <c r="H30" s="1885" t="s">
        <v>1959</v>
      </c>
      <c r="I30" s="1885" t="s">
        <v>1960</v>
      </c>
      <c r="J30" s="1886" t="s">
        <v>2</v>
      </c>
      <c r="K30" s="731"/>
    </row>
    <row r="31" spans="1:11" ht="12" customHeight="1" x14ac:dyDescent="0.2">
      <c r="A31" s="732" t="s">
        <v>2081</v>
      </c>
      <c r="B31" s="733">
        <v>40050</v>
      </c>
      <c r="C31" s="734">
        <v>23880000</v>
      </c>
      <c r="D31" s="735">
        <v>6</v>
      </c>
      <c r="E31" s="734">
        <v>21615000</v>
      </c>
      <c r="F31" s="734"/>
      <c r="G31" s="734"/>
      <c r="H31" s="734">
        <v>19615000</v>
      </c>
      <c r="I31" s="1756">
        <f>((E31+F31)-H31)+G31</f>
        <v>2000000</v>
      </c>
      <c r="J31" s="734">
        <v>1038783</v>
      </c>
      <c r="K31" s="736"/>
    </row>
    <row r="32" spans="1:11" ht="12" customHeight="1" x14ac:dyDescent="0.2">
      <c r="A32" s="732" t="s">
        <v>2082</v>
      </c>
      <c r="B32" s="733">
        <v>42859</v>
      </c>
      <c r="C32" s="734">
        <v>12845000</v>
      </c>
      <c r="D32" s="735">
        <v>3</v>
      </c>
      <c r="E32" s="734">
        <v>12845000</v>
      </c>
      <c r="F32" s="734"/>
      <c r="G32" s="734"/>
      <c r="H32" s="734">
        <v>105000</v>
      </c>
      <c r="I32" s="1756">
        <f>((E32+F32)-H32)+G32</f>
        <v>12740000</v>
      </c>
      <c r="J32" s="734">
        <v>12740000</v>
      </c>
      <c r="K32" s="736"/>
    </row>
    <row r="33" spans="1:11" ht="12" customHeight="1" x14ac:dyDescent="0.2">
      <c r="A33" s="732" t="s">
        <v>2083</v>
      </c>
      <c r="B33" s="733">
        <v>40050</v>
      </c>
      <c r="C33" s="734">
        <v>15568426</v>
      </c>
      <c r="D33" s="735">
        <v>6</v>
      </c>
      <c r="E33" s="734"/>
      <c r="F33" s="734"/>
      <c r="G33" s="734">
        <v>500000</v>
      </c>
      <c r="H33" s="734">
        <v>250000</v>
      </c>
      <c r="I33" s="1756">
        <f t="shared" ref="I33:I48" si="1">((E33+F33)-H33)+G33</f>
        <v>250000</v>
      </c>
      <c r="J33" s="734">
        <v>250000</v>
      </c>
      <c r="K33" s="736"/>
    </row>
    <row r="34" spans="1:11" ht="12" customHeight="1" x14ac:dyDescent="0.2">
      <c r="A34" s="732" t="s">
        <v>2084</v>
      </c>
      <c r="B34" s="733">
        <v>43487</v>
      </c>
      <c r="C34" s="734">
        <v>9785000</v>
      </c>
      <c r="D34" s="735">
        <v>3</v>
      </c>
      <c r="E34" s="734"/>
      <c r="F34" s="734">
        <v>9785000</v>
      </c>
      <c r="G34" s="734"/>
      <c r="H34" s="734"/>
      <c r="I34" s="1756">
        <f t="shared" si="1"/>
        <v>9785000</v>
      </c>
      <c r="J34" s="734">
        <v>9785000</v>
      </c>
      <c r="K34" s="737"/>
    </row>
    <row r="35" spans="1:11" ht="12" customHeight="1" x14ac:dyDescent="0.2">
      <c r="A35" s="732" t="s">
        <v>2085</v>
      </c>
      <c r="B35" s="733">
        <v>43487</v>
      </c>
      <c r="C35" s="738">
        <v>8600000</v>
      </c>
      <c r="D35" s="735">
        <v>3</v>
      </c>
      <c r="E35" s="738"/>
      <c r="F35" s="738">
        <v>8600000</v>
      </c>
      <c r="G35" s="738"/>
      <c r="H35" s="738"/>
      <c r="I35" s="1756">
        <f t="shared" si="1"/>
        <v>8600000</v>
      </c>
      <c r="J35" s="738">
        <v>8600000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70678426</v>
      </c>
      <c r="D49" s="745"/>
      <c r="E49" s="1756">
        <f t="shared" ref="E49:J49" si="2">SUM(E31:E48)</f>
        <v>34460000</v>
      </c>
      <c r="F49" s="1756">
        <f t="shared" si="2"/>
        <v>18385000</v>
      </c>
      <c r="G49" s="1756">
        <f t="shared" si="2"/>
        <v>500000</v>
      </c>
      <c r="H49" s="1756">
        <f t="shared" si="2"/>
        <v>19970000</v>
      </c>
      <c r="I49" s="1756">
        <f t="shared" si="2"/>
        <v>33375000</v>
      </c>
      <c r="J49" s="1756">
        <f t="shared" si="2"/>
        <v>32413783</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183" t="s">
        <v>584</v>
      </c>
      <c r="C52" s="2184"/>
      <c r="D52" s="2184"/>
      <c r="E52" s="749" t="s">
        <v>845</v>
      </c>
      <c r="F52" s="2185"/>
      <c r="G52" s="2186"/>
      <c r="H52" s="736"/>
      <c r="I52" s="736"/>
      <c r="J52" s="746"/>
    </row>
    <row r="53" spans="1:11" ht="11.25" customHeight="1" x14ac:dyDescent="0.2">
      <c r="A53" s="750" t="s">
        <v>913</v>
      </c>
      <c r="B53" s="751" t="s">
        <v>951</v>
      </c>
      <c r="C53" s="746"/>
      <c r="D53" s="737"/>
      <c r="E53" s="749" t="s">
        <v>497</v>
      </c>
      <c r="F53" s="2187"/>
      <c r="G53" s="2188"/>
      <c r="H53" s="736"/>
      <c r="I53" s="736"/>
      <c r="J53" s="746"/>
    </row>
    <row r="54" spans="1:11" ht="11.25" customHeight="1" x14ac:dyDescent="0.2">
      <c r="A54" s="752" t="s">
        <v>914</v>
      </c>
      <c r="B54" s="747" t="s">
        <v>952</v>
      </c>
      <c r="C54" s="746"/>
      <c r="D54" s="737"/>
      <c r="E54" s="749" t="s">
        <v>498</v>
      </c>
      <c r="F54" s="2187"/>
      <c r="G54" s="218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0.9" bottom="0.5" header="0.5" footer="0.5"/>
  <pageSetup scale="65" firstPageNumber="24" fitToHeight="0" orientation="landscape" r:id="rId1"/>
  <headerFooter>
    <oddHeader>&amp;C&amp;"Times New Roman,Regular"BELLE VALLEY SCHOOL DISTRICT NO. 119
SCHEDULE OF SHORT-TERM AND LONG-TERM DEBT
FOR THE YEAR ENDED JUNE 30, 2019</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Q14" sqref="Q1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2" t="s">
        <v>856</v>
      </c>
      <c r="B1" s="2213"/>
      <c r="C1" s="2213"/>
      <c r="D1" s="2213"/>
      <c r="E1" s="2213"/>
      <c r="F1" s="2213"/>
      <c r="G1" s="2214"/>
      <c r="H1" s="1530"/>
      <c r="I1" s="760"/>
      <c r="J1" s="433"/>
    </row>
    <row r="2" spans="1:11" ht="26.25" x14ac:dyDescent="0.2">
      <c r="A2" s="2231" t="s">
        <v>1677</v>
      </c>
      <c r="B2" s="2232"/>
      <c r="C2" s="2232"/>
      <c r="D2" s="2232"/>
      <c r="E2" s="2233"/>
      <c r="F2" s="761" t="s">
        <v>904</v>
      </c>
      <c r="G2" s="762" t="s">
        <v>1674</v>
      </c>
      <c r="H2" s="762" t="s">
        <v>410</v>
      </c>
      <c r="I2" s="762" t="s">
        <v>1158</v>
      </c>
      <c r="J2" s="762" t="s">
        <v>1809</v>
      </c>
      <c r="K2" s="762" t="s">
        <v>138</v>
      </c>
    </row>
    <row r="3" spans="1:11" x14ac:dyDescent="0.2">
      <c r="A3" s="2234" t="s">
        <v>1961</v>
      </c>
      <c r="B3" s="2235"/>
      <c r="C3" s="2235"/>
      <c r="D3" s="2235"/>
      <c r="E3" s="2236"/>
      <c r="F3" s="763"/>
      <c r="G3" s="764"/>
      <c r="H3" s="764"/>
      <c r="I3" s="764"/>
      <c r="J3" s="765"/>
      <c r="K3" s="765"/>
    </row>
    <row r="4" spans="1:11" x14ac:dyDescent="0.2">
      <c r="A4" s="2237" t="s">
        <v>369</v>
      </c>
      <c r="B4" s="2238"/>
      <c r="C4" s="2238"/>
      <c r="D4" s="2238"/>
      <c r="E4" s="2184"/>
      <c r="F4" s="766"/>
      <c r="G4" s="767"/>
      <c r="H4" s="768"/>
      <c r="I4" s="767"/>
      <c r="J4" s="769"/>
      <c r="K4" s="769"/>
    </row>
    <row r="5" spans="1:11" x14ac:dyDescent="0.2">
      <c r="A5" s="2215" t="s">
        <v>1069</v>
      </c>
      <c r="B5" s="2216"/>
      <c r="C5" s="2216"/>
      <c r="D5" s="2216"/>
      <c r="E5" s="2217"/>
      <c r="F5" s="770" t="s">
        <v>848</v>
      </c>
      <c r="G5" s="771"/>
      <c r="H5" s="764">
        <v>18329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5" t="s">
        <v>1810</v>
      </c>
      <c r="B10" s="2216"/>
      <c r="C10" s="2216"/>
      <c r="D10" s="2216"/>
      <c r="E10" s="2218"/>
      <c r="F10" s="783" t="s">
        <v>862</v>
      </c>
      <c r="G10" s="782"/>
      <c r="H10" s="784"/>
      <c r="I10" s="764"/>
      <c r="J10" s="765"/>
      <c r="K10" s="765"/>
    </row>
    <row r="11" spans="1:11" x14ac:dyDescent="0.2">
      <c r="A11" s="2215" t="s">
        <v>160</v>
      </c>
      <c r="B11" s="2216"/>
      <c r="C11" s="2216"/>
      <c r="D11" s="2216"/>
      <c r="E11" s="2217"/>
      <c r="F11" s="770" t="s">
        <v>852</v>
      </c>
      <c r="G11" s="771"/>
      <c r="H11" s="764"/>
      <c r="I11" s="764"/>
      <c r="J11" s="765"/>
      <c r="K11" s="773"/>
    </row>
    <row r="12" spans="1:11" ht="13.5" thickBot="1" x14ac:dyDescent="0.25">
      <c r="A12" s="2242" t="s">
        <v>905</v>
      </c>
      <c r="B12" s="2243"/>
      <c r="C12" s="2243"/>
      <c r="D12" s="2243"/>
      <c r="E12" s="2244"/>
      <c r="F12" s="1757"/>
      <c r="G12" s="1758">
        <f>SUM(G5:G11)</f>
        <v>0</v>
      </c>
      <c r="H12" s="1758">
        <f>SUM(H5:H11)</f>
        <v>18329</v>
      </c>
      <c r="I12" s="1758">
        <f>SUM(I5:I11)</f>
        <v>0</v>
      </c>
      <c r="J12" s="1758">
        <f>SUM(J5:J11)</f>
        <v>0</v>
      </c>
      <c r="K12" s="1758">
        <f>SUM(K5:K11)</f>
        <v>0</v>
      </c>
    </row>
    <row r="13" spans="1:11" ht="13.5" thickTop="1" x14ac:dyDescent="0.2">
      <c r="A13" s="2239" t="s">
        <v>370</v>
      </c>
      <c r="B13" s="2240"/>
      <c r="C13" s="2240"/>
      <c r="D13" s="2240"/>
      <c r="E13" s="2241"/>
      <c r="F13" s="785"/>
      <c r="G13" s="786"/>
      <c r="H13" s="787"/>
      <c r="I13" s="788"/>
      <c r="J13" s="788"/>
      <c r="K13" s="788"/>
    </row>
    <row r="14" spans="1:11" x14ac:dyDescent="0.2">
      <c r="A14" s="2222" t="s">
        <v>456</v>
      </c>
      <c r="B14" s="2222"/>
      <c r="C14" s="2222"/>
      <c r="D14" s="2222"/>
      <c r="E14" s="2223"/>
      <c r="F14" s="789" t="s">
        <v>854</v>
      </c>
      <c r="G14" s="782"/>
      <c r="H14" s="764">
        <v>45627</v>
      </c>
      <c r="I14" s="771"/>
      <c r="J14" s="773"/>
      <c r="K14" s="765"/>
    </row>
    <row r="15" spans="1:11" x14ac:dyDescent="0.2">
      <c r="A15" s="2216" t="s">
        <v>4</v>
      </c>
      <c r="B15" s="2216"/>
      <c r="C15" s="2216"/>
      <c r="D15" s="2216"/>
      <c r="E15" s="2217"/>
      <c r="F15" s="789" t="s">
        <v>855</v>
      </c>
      <c r="G15" s="771"/>
      <c r="H15" s="764"/>
      <c r="I15" s="764"/>
      <c r="J15" s="765"/>
      <c r="K15" s="765"/>
    </row>
    <row r="16" spans="1:11" x14ac:dyDescent="0.2">
      <c r="A16" s="2216" t="s">
        <v>298</v>
      </c>
      <c r="B16" s="2216"/>
      <c r="C16" s="2216"/>
      <c r="D16" s="2216"/>
      <c r="E16" s="2217"/>
      <c r="F16" s="789" t="s">
        <v>923</v>
      </c>
      <c r="G16" s="772"/>
      <c r="H16" s="767"/>
      <c r="I16" s="767"/>
      <c r="J16" s="769"/>
      <c r="K16" s="769"/>
    </row>
    <row r="17" spans="1:11" x14ac:dyDescent="0.2">
      <c r="A17" s="2247" t="s">
        <v>935</v>
      </c>
      <c r="B17" s="2247"/>
      <c r="C17" s="2247"/>
      <c r="D17" s="2247"/>
      <c r="E17" s="2248"/>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24" t="s">
        <v>1806</v>
      </c>
      <c r="B19" s="2224"/>
      <c r="C19" s="2224"/>
      <c r="D19" s="2224"/>
      <c r="E19" s="2225"/>
      <c r="F19" s="789" t="s">
        <v>933</v>
      </c>
      <c r="G19" s="782"/>
      <c r="H19" s="782"/>
      <c r="I19" s="782"/>
      <c r="J19" s="765"/>
      <c r="K19" s="795"/>
    </row>
    <row r="20" spans="1:11" x14ac:dyDescent="0.2">
      <c r="A20" s="2226" t="s">
        <v>1811</v>
      </c>
      <c r="B20" s="2227"/>
      <c r="C20" s="2227"/>
      <c r="D20" s="2227"/>
      <c r="E20" s="2228"/>
      <c r="F20" s="789" t="s">
        <v>934</v>
      </c>
      <c r="G20" s="782"/>
      <c r="H20" s="782"/>
      <c r="I20" s="782"/>
      <c r="J20" s="765"/>
      <c r="K20" s="795"/>
    </row>
    <row r="21" spans="1:11" ht="13.5" thickBot="1" x14ac:dyDescent="0.25">
      <c r="A21" s="2245" t="s">
        <v>638</v>
      </c>
      <c r="B21" s="2245"/>
      <c r="C21" s="2245"/>
      <c r="D21" s="2245"/>
      <c r="E21" s="2245"/>
      <c r="F21" s="1759"/>
      <c r="G21" s="792"/>
      <c r="H21" s="796"/>
      <c r="I21" s="796"/>
      <c r="J21" s="1760">
        <f>SUM(J18:J20)</f>
        <v>0</v>
      </c>
      <c r="K21" s="793"/>
    </row>
    <row r="22" spans="1:11" ht="13.5" thickTop="1" x14ac:dyDescent="0.2">
      <c r="A22" s="2216" t="s">
        <v>1812</v>
      </c>
      <c r="B22" s="2216"/>
      <c r="C22" s="2216"/>
      <c r="D22" s="2216"/>
      <c r="E22" s="2217"/>
      <c r="F22" s="789" t="s">
        <v>862</v>
      </c>
      <c r="G22" s="782"/>
      <c r="H22" s="764"/>
      <c r="I22" s="764"/>
      <c r="J22" s="797"/>
      <c r="K22" s="765"/>
    </row>
    <row r="23" spans="1:11" ht="13.5" thickBot="1" x14ac:dyDescent="0.25">
      <c r="A23" s="2246" t="s">
        <v>906</v>
      </c>
      <c r="B23" s="2245"/>
      <c r="C23" s="2245"/>
      <c r="D23" s="2245"/>
      <c r="E23" s="2245"/>
      <c r="F23" s="1761"/>
      <c r="G23" s="1758">
        <f>SUM(G14:G16,G21,G22)</f>
        <v>0</v>
      </c>
      <c r="H23" s="1758">
        <f>SUM(H14:H16,H21,H22)</f>
        <v>45627</v>
      </c>
      <c r="I23" s="1758">
        <f>SUM(I14:I16,I21,I22)</f>
        <v>0</v>
      </c>
      <c r="J23" s="1758">
        <f>SUM(J14:J16,J21,J22)</f>
        <v>0</v>
      </c>
      <c r="K23" s="1758">
        <f>SUM(K14:K16,K21,K22)</f>
        <v>0</v>
      </c>
    </row>
    <row r="24" spans="1:11" ht="14.25" thickTop="1" thickBot="1" x14ac:dyDescent="0.25">
      <c r="A24" s="2246" t="s">
        <v>1962</v>
      </c>
      <c r="B24" s="2245"/>
      <c r="C24" s="2245"/>
      <c r="D24" s="2245"/>
      <c r="E24" s="2245"/>
      <c r="F24" s="1762"/>
      <c r="G24" s="1763">
        <f>SUM(G3,G12)-G23</f>
        <v>0</v>
      </c>
      <c r="H24" s="1763">
        <f>SUM(H3,H12)-H23</f>
        <v>-27298</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-27298</v>
      </c>
      <c r="I26" s="1758">
        <f>I24-I25</f>
        <v>0</v>
      </c>
      <c r="J26" s="1758">
        <f>J24-J25</f>
        <v>0</v>
      </c>
      <c r="K26" s="1758">
        <f>K24-K25</f>
        <v>0</v>
      </c>
    </row>
    <row r="27" spans="1:11" ht="5.25" customHeight="1" thickTop="1" x14ac:dyDescent="0.2">
      <c r="I27" s="202"/>
      <c r="J27" s="202"/>
    </row>
    <row r="28" spans="1:11" ht="29.25" customHeight="1" x14ac:dyDescent="0.2">
      <c r="A28" s="1880" t="s">
        <v>1907</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19"/>
      <c r="I31" s="2220"/>
      <c r="J31" s="2220"/>
      <c r="K31" s="2220"/>
    </row>
    <row r="32" spans="1:11" x14ac:dyDescent="0.2">
      <c r="A32" s="809"/>
      <c r="B32" s="237"/>
      <c r="C32" s="237"/>
      <c r="D32" s="237"/>
      <c r="E32" s="805"/>
      <c r="F32" s="811" t="s">
        <v>540</v>
      </c>
      <c r="G32" s="764"/>
      <c r="H32" s="2221"/>
      <c r="I32" s="2220"/>
      <c r="J32" s="2220"/>
      <c r="K32" s="2220"/>
    </row>
    <row r="33" spans="1:11" ht="1.5" customHeight="1" x14ac:dyDescent="0.2">
      <c r="A33" s="812" t="s">
        <v>1169</v>
      </c>
      <c r="B33" s="364"/>
      <c r="C33" s="364"/>
      <c r="D33" s="364"/>
      <c r="E33" s="364"/>
      <c r="F33" s="364"/>
      <c r="G33" s="813"/>
      <c r="H33" s="2221"/>
      <c r="I33" s="2220"/>
      <c r="J33" s="2220"/>
      <c r="K33" s="2220"/>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29"/>
      <c r="C41" s="2229"/>
      <c r="D41" s="2229"/>
      <c r="E41" s="2229"/>
      <c r="F41" s="223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orizontalCentered="1"/>
  <pageMargins left="0.75" right="0.75" top="1.1000000000000001" bottom="0.5" header="0.5" footer="0.5"/>
  <pageSetup scale="73" firstPageNumber="25" orientation="landscape" r:id="rId1"/>
  <headerFooter>
    <oddHeader>&amp;C&amp;"Times New Roman,Regular"BELLE VALLEY SCHOOL DISTRICT NO. 119
SCHEDULE OF RESTRICTED LOCAL TAX LEVIES AND SELECTED REVENUE SOURCES
SCHEDULE OF TORT IMMUNITY EXPENDITURES
FOR THE YEAR ENDED JUNE 30, 2019</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30" zoomScaleNormal="130" workbookViewId="0">
      <selection activeCell="J12" sqref="J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1906</v>
      </c>
      <c r="B1" s="2252"/>
      <c r="C1" s="2253"/>
      <c r="D1" s="826"/>
      <c r="E1" s="827"/>
      <c r="F1" s="827"/>
      <c r="G1" s="828"/>
      <c r="H1" s="829"/>
      <c r="I1" s="830"/>
      <c r="J1" s="2249"/>
      <c r="K1" s="2250"/>
      <c r="L1" s="2250"/>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1086741</v>
      </c>
      <c r="D5" s="841"/>
      <c r="E5" s="841"/>
      <c r="F5" s="1760">
        <f>(C5+D5)-E5</f>
        <v>1086741</v>
      </c>
      <c r="G5" s="837"/>
      <c r="H5" s="842"/>
      <c r="I5" s="842"/>
      <c r="J5" s="842"/>
      <c r="K5" s="793"/>
      <c r="L5" s="1769">
        <f>F5-K5</f>
        <v>1086741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31187212</v>
      </c>
      <c r="D8" s="844"/>
      <c r="E8" s="844"/>
      <c r="F8" s="1760">
        <f>(C8+D8)-E8</f>
        <v>31187212</v>
      </c>
      <c r="G8" s="843">
        <v>50</v>
      </c>
      <c r="H8" s="765">
        <v>4781039</v>
      </c>
      <c r="I8" s="765">
        <v>623744</v>
      </c>
      <c r="J8" s="765"/>
      <c r="K8" s="1769">
        <f>(H8+I8)-J8</f>
        <v>5404783</v>
      </c>
      <c r="L8" s="1769">
        <f>F8-K8</f>
        <v>25782429</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1040481</v>
      </c>
      <c r="D10" s="846"/>
      <c r="E10" s="846"/>
      <c r="F10" s="1764">
        <f>(C10+D10)-E10</f>
        <v>1040481</v>
      </c>
      <c r="G10" s="843">
        <v>20</v>
      </c>
      <c r="H10" s="847">
        <v>466960</v>
      </c>
      <c r="I10" s="847">
        <v>52024</v>
      </c>
      <c r="J10" s="847"/>
      <c r="K10" s="1769">
        <f>(H10+I10)-J10</f>
        <v>518984</v>
      </c>
      <c r="L10" s="1769">
        <f>F10-K10</f>
        <v>521497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1031162</v>
      </c>
      <c r="D12" s="844">
        <v>216339</v>
      </c>
      <c r="E12" s="844"/>
      <c r="F12" s="1760">
        <f>(C12+D12)-E12</f>
        <v>1247501</v>
      </c>
      <c r="G12" s="843">
        <v>10</v>
      </c>
      <c r="H12" s="765">
        <v>589627</v>
      </c>
      <c r="I12" s="765">
        <v>189652</v>
      </c>
      <c r="J12" s="765"/>
      <c r="K12" s="1769">
        <f>(H12+I12)-J12</f>
        <v>779279</v>
      </c>
      <c r="L12" s="1769">
        <f>F12-K12</f>
        <v>468222</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34345596</v>
      </c>
      <c r="D16" s="1760">
        <f>SUM(D3,D5:D6,D8:D10,D12:D15)</f>
        <v>216339</v>
      </c>
      <c r="E16" s="1760">
        <f>SUM(E3,E5:E6,E8:E10,E12:E15)</f>
        <v>0</v>
      </c>
      <c r="F16" s="1760">
        <f>SUM(F3,F5:F6,F8:F10,F12:F15)</f>
        <v>34561935</v>
      </c>
      <c r="G16" s="843"/>
      <c r="H16" s="1760">
        <f>SUM(H3,H6,H8:H10,H12:H14,)</f>
        <v>5837626</v>
      </c>
      <c r="I16" s="1760">
        <f>SUM(I3,I6,I8:I10,I12:I14,)</f>
        <v>865420</v>
      </c>
      <c r="J16" s="1760">
        <f>SUM(J3,J6,J8:J10,J12:J14,)</f>
        <v>0</v>
      </c>
      <c r="K16" s="1760">
        <f>(H16+I16)-J16</f>
        <v>6703046</v>
      </c>
      <c r="L16" s="1760">
        <f>F16-K16</f>
        <v>27858889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865420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orizontalCentered="1"/>
  <pageMargins left="0.75" right="0.75" top="1.5" bottom="0.5" header="0.5" footer="0.5"/>
  <pageSetup scale="74" firstPageNumber="26" orientation="landscape" r:id="rId1"/>
  <headerFooter>
    <oddHeader>&amp;C&amp;"Times New Roman,Regular"BELLE VALLEY SCHOOL DISTRICT NO. 119
SCHEDULE OF CAPITAL OUTLAY AND DEPRECIATION
FOR THE YEAR ENDED JUNE 30, 2019</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9" activePane="bottomLeft" state="frozen"/>
      <selection activeCell="V29" sqref="V29"/>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1972</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8424184</v>
      </c>
      <c r="G8" s="865"/>
    </row>
    <row r="9" spans="1:7" x14ac:dyDescent="0.2">
      <c r="A9" s="869" t="s">
        <v>460</v>
      </c>
      <c r="B9" s="870" t="s">
        <v>1874</v>
      </c>
      <c r="C9" s="871"/>
      <c r="D9" s="869" t="s">
        <v>501</v>
      </c>
      <c r="E9" s="868"/>
      <c r="F9" s="1909">
        <f>'Expenditures 15-22'!K151</f>
        <v>439862</v>
      </c>
      <c r="G9" s="872"/>
    </row>
    <row r="10" spans="1:7" x14ac:dyDescent="0.2">
      <c r="A10" s="869" t="s">
        <v>499</v>
      </c>
      <c r="B10" s="870" t="s">
        <v>1875</v>
      </c>
      <c r="C10" s="871"/>
      <c r="D10" s="869" t="s">
        <v>501</v>
      </c>
      <c r="E10" s="868"/>
      <c r="F10" s="1909">
        <f>'Expenditures 15-22'!K174</f>
        <v>22455393</v>
      </c>
      <c r="G10" s="872"/>
    </row>
    <row r="11" spans="1:7" x14ac:dyDescent="0.2">
      <c r="A11" s="869" t="s">
        <v>461</v>
      </c>
      <c r="B11" s="870" t="s">
        <v>1876</v>
      </c>
      <c r="C11" s="871"/>
      <c r="D11" s="869" t="s">
        <v>501</v>
      </c>
      <c r="E11" s="868"/>
      <c r="F11" s="1909">
        <f>'Expenditures 15-22'!K210</f>
        <v>558570</v>
      </c>
      <c r="G11" s="872"/>
    </row>
    <row r="12" spans="1:7" x14ac:dyDescent="0.2">
      <c r="A12" s="869" t="s">
        <v>462</v>
      </c>
      <c r="B12" s="870" t="s">
        <v>1877</v>
      </c>
      <c r="C12" s="871"/>
      <c r="D12" s="869" t="s">
        <v>501</v>
      </c>
      <c r="E12" s="868"/>
      <c r="F12" s="1909">
        <f>'Expenditures 15-22'!K295</f>
        <v>284536</v>
      </c>
      <c r="G12" s="872"/>
    </row>
    <row r="13" spans="1:7" x14ac:dyDescent="0.2">
      <c r="A13" s="869" t="s">
        <v>106</v>
      </c>
      <c r="B13" s="870" t="s">
        <v>1878</v>
      </c>
      <c r="C13" s="871"/>
      <c r="D13" s="869" t="s">
        <v>501</v>
      </c>
      <c r="E13" s="868"/>
      <c r="F13" s="1909">
        <f>'Expenditures 15-22'!K342</f>
        <v>150840</v>
      </c>
      <c r="G13" s="873"/>
    </row>
    <row r="14" spans="1:7" ht="12" customHeight="1" thickBot="1" x14ac:dyDescent="0.25">
      <c r="A14" s="1770"/>
      <c r="B14" s="1771"/>
      <c r="C14" s="1772"/>
      <c r="D14" s="1773" t="s">
        <v>501</v>
      </c>
      <c r="E14" s="1774" t="s">
        <v>958</v>
      </c>
      <c r="F14" s="1775">
        <f>SUM(F8:F13)</f>
        <v>32313385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914">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1999</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17729</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97517</v>
      </c>
      <c r="G52" s="865"/>
    </row>
    <row r="53" spans="1:7" x14ac:dyDescent="0.2">
      <c r="A53" s="869" t="s">
        <v>459</v>
      </c>
      <c r="B53" s="869" t="s">
        <v>1475</v>
      </c>
      <c r="C53" s="889">
        <f>'Expenditures 15-22'!B102</f>
        <v>4000</v>
      </c>
      <c r="D53" s="888" t="str">
        <f>'Expenditures 15-22'!A102</f>
        <v>Total Payments to Other Govt Units</v>
      </c>
      <c r="E53" s="868"/>
      <c r="F53" s="1913">
        <f>'Expenditures 15-22'!K102</f>
        <v>387162</v>
      </c>
      <c r="G53" s="865"/>
    </row>
    <row r="54" spans="1:7" x14ac:dyDescent="0.2">
      <c r="A54" s="869" t="s">
        <v>459</v>
      </c>
      <c r="B54" s="869" t="s">
        <v>1476</v>
      </c>
      <c r="C54" s="889" t="s">
        <v>982</v>
      </c>
      <c r="D54" s="885" t="s">
        <v>1095</v>
      </c>
      <c r="E54" s="868"/>
      <c r="F54" s="1913">
        <f>'Expenditures 15-22'!G114</f>
        <v>138598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913">
        <f>'Expenditures 15-22'!K139</f>
        <v>0</v>
      </c>
      <c r="G57" s="865"/>
    </row>
    <row r="58" spans="1:7" x14ac:dyDescent="0.2">
      <c r="A58" s="869" t="s">
        <v>460</v>
      </c>
      <c r="B58" s="869" t="s">
        <v>1880</v>
      </c>
      <c r="C58" s="886" t="s">
        <v>982</v>
      </c>
      <c r="D58" s="885" t="s">
        <v>1095</v>
      </c>
      <c r="E58" s="868"/>
      <c r="F58" s="1915">
        <f>'Expenditures 15-22'!G151</f>
        <v>41186</v>
      </c>
      <c r="G58" s="865"/>
    </row>
    <row r="59" spans="1:7" x14ac:dyDescent="0.2">
      <c r="A59" s="893" t="s">
        <v>460</v>
      </c>
      <c r="B59" s="856" t="s">
        <v>1881</v>
      </c>
      <c r="C59" s="894" t="s">
        <v>982</v>
      </c>
      <c r="D59" s="856" t="s">
        <v>291</v>
      </c>
      <c r="F59" s="1916">
        <f>'Expenditures 15-22'!I151</f>
        <v>0</v>
      </c>
      <c r="G59" s="865"/>
    </row>
    <row r="60" spans="1:7" x14ac:dyDescent="0.2">
      <c r="A60" s="893" t="s">
        <v>499</v>
      </c>
      <c r="B60" s="856" t="s">
        <v>1882</v>
      </c>
      <c r="C60" s="894">
        <v>4000</v>
      </c>
      <c r="D60" s="856" t="s">
        <v>312</v>
      </c>
      <c r="F60" s="1914">
        <f>'Expenditures 15-22'!K160</f>
        <v>0</v>
      </c>
      <c r="G60" s="865"/>
    </row>
    <row r="61" spans="1:7" x14ac:dyDescent="0.2">
      <c r="A61" s="895" t="s">
        <v>499</v>
      </c>
      <c r="B61" s="895" t="s">
        <v>1883</v>
      </c>
      <c r="C61" s="896" t="str">
        <f>'Expenditures 15-22'!B170</f>
        <v>5300</v>
      </c>
      <c r="D61" s="897" t="s">
        <v>311</v>
      </c>
      <c r="E61" s="879"/>
      <c r="F61" s="1913">
        <f>'Expenditures 15-22'!K170</f>
        <v>19970000</v>
      </c>
      <c r="G61" s="865"/>
    </row>
    <row r="62" spans="1:7" x14ac:dyDescent="0.2">
      <c r="A62" s="869" t="s">
        <v>461</v>
      </c>
      <c r="B62" s="869" t="s">
        <v>1884</v>
      </c>
      <c r="C62" s="886">
        <f>'Expenditures 15-22'!B185</f>
        <v>3000</v>
      </c>
      <c r="D62" s="876" t="s">
        <v>449</v>
      </c>
      <c r="E62" s="868"/>
      <c r="F62" s="1913">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1886</v>
      </c>
      <c r="C64" s="896" t="str">
        <f>'Expenditures 15-22'!B206</f>
        <v>5300</v>
      </c>
      <c r="D64" s="892" t="s">
        <v>311</v>
      </c>
      <c r="E64" s="868"/>
      <c r="F64" s="1913">
        <f>'Expenditures 15-22'!K206</f>
        <v>0</v>
      </c>
      <c r="G64" s="865"/>
    </row>
    <row r="65" spans="1:8" x14ac:dyDescent="0.2">
      <c r="A65" s="869" t="s">
        <v>461</v>
      </c>
      <c r="B65" s="869" t="s">
        <v>1887</v>
      </c>
      <c r="C65" s="886" t="s">
        <v>982</v>
      </c>
      <c r="D65" s="885" t="s">
        <v>1095</v>
      </c>
      <c r="E65" s="868"/>
      <c r="F65" s="1913">
        <f>'Expenditures 15-22'!G210</f>
        <v>0</v>
      </c>
      <c r="G65" s="865"/>
    </row>
    <row r="66" spans="1:8" x14ac:dyDescent="0.2">
      <c r="A66" s="869" t="s">
        <v>461</v>
      </c>
      <c r="B66" s="869" t="s">
        <v>1888</v>
      </c>
      <c r="C66" s="886" t="s">
        <v>982</v>
      </c>
      <c r="D66" s="885" t="s">
        <v>291</v>
      </c>
      <c r="E66" s="868"/>
      <c r="F66" s="1913">
        <f>'Expenditures 15-22'!I210</f>
        <v>0</v>
      </c>
      <c r="G66" s="865"/>
    </row>
    <row r="67" spans="1:8" x14ac:dyDescent="0.2">
      <c r="A67" s="869" t="s">
        <v>462</v>
      </c>
      <c r="B67" s="869" t="s">
        <v>1889</v>
      </c>
      <c r="C67" s="886" t="str">
        <f>'Expenditures 15-22'!B216</f>
        <v>1125</v>
      </c>
      <c r="D67" s="892" t="str">
        <f>'Expenditures 15-22'!A216</f>
        <v>Pre-K Programs</v>
      </c>
      <c r="E67" s="868"/>
      <c r="F67" s="1913">
        <f>'Expenditures 15-22'!K216</f>
        <v>202</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1890</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1891</v>
      </c>
      <c r="C70" s="886">
        <f>'Expenditures 15-22'!B221</f>
        <v>1300</v>
      </c>
      <c r="D70" s="887" t="str">
        <f>'Expenditures 15-22'!A221</f>
        <v>Adult/Continuing Education Programs</v>
      </c>
      <c r="E70" s="868"/>
      <c r="F70" s="1913">
        <f>'Expenditures 15-22'!K221</f>
        <v>0</v>
      </c>
      <c r="G70" s="865"/>
    </row>
    <row r="71" spans="1:8" x14ac:dyDescent="0.2">
      <c r="A71" s="869" t="s">
        <v>462</v>
      </c>
      <c r="B71" s="869" t="s">
        <v>1892</v>
      </c>
      <c r="C71" s="886">
        <f>'Expenditures 15-22'!B224</f>
        <v>1600</v>
      </c>
      <c r="D71" s="887" t="str">
        <f>'Expenditures 15-22'!A224</f>
        <v>Summer School Programs</v>
      </c>
      <c r="E71" s="868"/>
      <c r="F71" s="1913">
        <f>'Expenditures 15-22'!K224</f>
        <v>0</v>
      </c>
      <c r="G71" s="865"/>
    </row>
    <row r="72" spans="1:8" x14ac:dyDescent="0.2">
      <c r="A72" s="869" t="s">
        <v>462</v>
      </c>
      <c r="B72" s="869" t="s">
        <v>1893</v>
      </c>
      <c r="C72" s="886">
        <f>'Expenditures 15-22'!B280</f>
        <v>3000</v>
      </c>
      <c r="D72" s="876" t="s">
        <v>449</v>
      </c>
      <c r="E72" s="868"/>
      <c r="F72" s="1913">
        <f>'Expenditures 15-22'!K280</f>
        <v>8464</v>
      </c>
      <c r="G72" s="865"/>
    </row>
    <row r="73" spans="1:8" x14ac:dyDescent="0.2">
      <c r="A73" s="869" t="s">
        <v>462</v>
      </c>
      <c r="B73" s="869" t="s">
        <v>1894</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1895</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1896</v>
      </c>
      <c r="E76" s="1774" t="s">
        <v>958</v>
      </c>
      <c r="F76" s="1778">
        <f>SUM(F18:F74)</f>
        <v>20660858</v>
      </c>
      <c r="G76" s="865"/>
    </row>
    <row r="77" spans="1:8" s="893" customFormat="1" ht="12" customHeight="1" thickTop="1" thickBot="1" x14ac:dyDescent="0.25">
      <c r="A77" s="1779"/>
      <c r="B77" s="1776"/>
      <c r="C77" s="1772"/>
      <c r="D77" s="1777" t="s">
        <v>1897</v>
      </c>
      <c r="E77" s="1774"/>
      <c r="F77" s="1780">
        <f>(F14-F76)</f>
        <v>11652527</v>
      </c>
      <c r="G77" s="869"/>
    </row>
    <row r="78" spans="1:8" s="893" customFormat="1" ht="12" customHeight="1" thickTop="1" x14ac:dyDescent="0.2">
      <c r="A78" s="1781"/>
      <c r="B78" s="1776"/>
      <c r="C78" s="1772"/>
      <c r="D78" s="1777" t="s">
        <v>2059</v>
      </c>
      <c r="E78" s="1774"/>
      <c r="F78" s="898">
        <v>996.75</v>
      </c>
      <c r="G78" s="899"/>
      <c r="H78" s="869"/>
    </row>
    <row r="79" spans="1:8" s="893" customFormat="1" ht="12" customHeight="1" thickBot="1" x14ac:dyDescent="0.25">
      <c r="A79" s="1782"/>
      <c r="B79" s="1776"/>
      <c r="C79" s="1772"/>
      <c r="D79" s="1777" t="s">
        <v>1898</v>
      </c>
      <c r="E79" s="1774" t="s">
        <v>958</v>
      </c>
      <c r="F79" s="1783">
        <f>IF(F78&gt;0,F77/F78," Complete Line 78")</f>
        <v>11690.521193880111</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94053</v>
      </c>
      <c r="G94" s="912"/>
    </row>
    <row r="95" spans="1:7" x14ac:dyDescent="0.2">
      <c r="A95" s="908" t="s">
        <v>140</v>
      </c>
      <c r="B95" s="908" t="s">
        <v>175</v>
      </c>
      <c r="C95" s="910">
        <v>1700</v>
      </c>
      <c r="D95" s="918" t="str">
        <f>'Revenues 9-14'!A82</f>
        <v>Total District/School Activity Income</v>
      </c>
      <c r="E95" s="906"/>
      <c r="F95" s="1789">
        <f>SUM('Revenues 9-14'!C82,'Revenues 9-14'!D82)</f>
        <v>7035</v>
      </c>
      <c r="G95" s="912"/>
    </row>
    <row r="96" spans="1:7" x14ac:dyDescent="0.2">
      <c r="A96" s="908" t="s">
        <v>459</v>
      </c>
      <c r="B96" s="908" t="s">
        <v>176</v>
      </c>
      <c r="C96" s="910">
        <f>'Revenues 9-14'!B84</f>
        <v>1811</v>
      </c>
      <c r="D96" s="911" t="str">
        <f>'Revenues 9-14'!A84</f>
        <v>Rentals - Regular Textbooks</v>
      </c>
      <c r="E96" s="906"/>
      <c r="F96" s="1789">
        <f>'Revenues 9-14'!C84</f>
        <v>23144</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82608</v>
      </c>
      <c r="G104" s="912"/>
    </row>
    <row r="105" spans="1:7" x14ac:dyDescent="0.2">
      <c r="A105" s="908" t="s">
        <v>503</v>
      </c>
      <c r="B105" s="908" t="s">
        <v>2000</v>
      </c>
      <c r="C105" s="913">
        <v>3100</v>
      </c>
      <c r="D105" s="919" t="str">
        <f>'Revenues 9-14'!A132</f>
        <v>Total Special Education</v>
      </c>
      <c r="E105" s="906"/>
      <c r="F105" s="1789">
        <f>SUM('Revenues 9-14'!C132:D132,'Revenues 9-14'!F132)</f>
        <v>107206</v>
      </c>
      <c r="G105" s="912"/>
    </row>
    <row r="106" spans="1:7" x14ac:dyDescent="0.2">
      <c r="A106" s="908" t="s">
        <v>673</v>
      </c>
      <c r="B106" s="908" t="s">
        <v>2001</v>
      </c>
      <c r="C106" s="920">
        <v>3200</v>
      </c>
      <c r="D106" s="911" t="str">
        <f>'Revenues 9-14'!A141</f>
        <v>Total Career and Technical Education</v>
      </c>
      <c r="E106" s="906"/>
      <c r="F106" s="1789">
        <f>SUM('Revenues 9-14'!C141,'Revenues 9-14'!D141,'Revenues 9-14'!G141)</f>
        <v>936</v>
      </c>
      <c r="G106" s="912"/>
    </row>
    <row r="107" spans="1:7" x14ac:dyDescent="0.2">
      <c r="A107" s="921" t="s">
        <v>664</v>
      </c>
      <c r="B107" s="908" t="s">
        <v>2002</v>
      </c>
      <c r="C107" s="920">
        <v>3300</v>
      </c>
      <c r="D107" s="911" t="str">
        <f>'Revenues 9-14'!A145</f>
        <v>Total Bilingual Ed</v>
      </c>
      <c r="E107" s="906"/>
      <c r="F107" s="1789">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89">
        <f>'Revenues 9-14'!C146</f>
        <v>8224</v>
      </c>
      <c r="G108" s="912"/>
    </row>
    <row r="109" spans="1:7" x14ac:dyDescent="0.2">
      <c r="A109" s="908" t="s">
        <v>673</v>
      </c>
      <c r="B109" s="908" t="s">
        <v>2004</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89">
        <f>SUM('Revenues 9-14'!C148,'Revenues 9-14'!D148)</f>
        <v>0</v>
      </c>
      <c r="G110" s="912"/>
    </row>
    <row r="111" spans="1:7" x14ac:dyDescent="0.2">
      <c r="A111" s="908" t="s">
        <v>668</v>
      </c>
      <c r="B111" s="908" t="s">
        <v>2006</v>
      </c>
      <c r="C111" s="922">
        <v>3500</v>
      </c>
      <c r="D111" s="911" t="str">
        <f>'Revenues 9-14'!A155</f>
        <v>Total Transportation</v>
      </c>
      <c r="E111" s="906"/>
      <c r="F111" s="1789">
        <f>SUM('Revenues 9-14'!C155,'Revenues 9-14'!D155,'Revenues 9-14'!F155,'Revenues 9-14'!G155)</f>
        <v>299284</v>
      </c>
      <c r="G111" s="912"/>
    </row>
    <row r="112" spans="1:7" x14ac:dyDescent="0.2">
      <c r="A112" s="908" t="s">
        <v>459</v>
      </c>
      <c r="B112" s="908" t="s">
        <v>2007</v>
      </c>
      <c r="C112" s="920">
        <f>'Revenues 9-14'!B156</f>
        <v>3610</v>
      </c>
      <c r="D112" s="911" t="str">
        <f>'Revenues 9-14'!A156</f>
        <v>Learning Improvement - Change Grants</v>
      </c>
      <c r="E112" s="906"/>
      <c r="F112" s="1789">
        <f>'Revenues 9-14'!C156</f>
        <v>0</v>
      </c>
      <c r="G112" s="912"/>
    </row>
    <row r="113" spans="1:7" x14ac:dyDescent="0.2">
      <c r="A113" s="908" t="s">
        <v>668</v>
      </c>
      <c r="B113" s="908" t="s">
        <v>2008</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907">
        <f>SUM('Revenues 9-14'!C163:G163)</f>
        <v>0</v>
      </c>
      <c r="G118" s="912"/>
    </row>
    <row r="119" spans="1:7" x14ac:dyDescent="0.2">
      <c r="A119" s="923" t="s">
        <v>504</v>
      </c>
      <c r="B119" s="923" t="s">
        <v>2014</v>
      </c>
      <c r="C119" s="924">
        <f>'Revenues 9-14'!B164</f>
        <v>3815</v>
      </c>
      <c r="D119" s="925" t="str">
        <f>'Revenues 9-14'!A164</f>
        <v>State Charter Schools</v>
      </c>
      <c r="E119" s="906"/>
      <c r="F119" s="1907">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89">
        <f>'Revenues 9-14'!D167</f>
        <v>0</v>
      </c>
      <c r="G120" s="930"/>
    </row>
    <row r="121" spans="1:7" x14ac:dyDescent="0.2">
      <c r="A121" s="927" t="s">
        <v>500</v>
      </c>
      <c r="B121" s="927" t="s">
        <v>2016</v>
      </c>
      <c r="C121" s="928">
        <f>'Revenues 9-14'!B168</f>
        <v>3999</v>
      </c>
      <c r="D121" s="929" t="s">
        <v>543</v>
      </c>
      <c r="E121" s="931"/>
      <c r="F121" s="1789">
        <f>SUM('Revenues 9-14'!C168:G168,'Revenues 9-14'!J168)</f>
        <v>16297</v>
      </c>
      <c r="G121" s="930"/>
    </row>
    <row r="122" spans="1:7" x14ac:dyDescent="0.2">
      <c r="A122" s="927" t="s">
        <v>459</v>
      </c>
      <c r="B122" s="927" t="s">
        <v>2017</v>
      </c>
      <c r="C122" s="932">
        <f>'Revenues 9-14'!B177</f>
        <v>4045</v>
      </c>
      <c r="D122" s="929" t="str">
        <f>'Revenues 9-14'!A177 &amp; " (Subtract)"</f>
        <v>Head Start (Subtract)</v>
      </c>
      <c r="E122" s="906"/>
      <c r="F122" s="1789">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2019</v>
      </c>
      <c r="C124" s="932">
        <v>4100</v>
      </c>
      <c r="D124" s="933" t="str">
        <f>'Revenues 9-14'!A188</f>
        <v>Total Title V</v>
      </c>
      <c r="E124" s="906"/>
      <c r="F124" s="1789">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89">
        <f>SUM('Revenues 9-14'!C198,'Revenues 9-14'!G198)</f>
        <v>519293</v>
      </c>
      <c r="G125" s="930"/>
    </row>
    <row r="126" spans="1:7" x14ac:dyDescent="0.2">
      <c r="A126" s="927" t="s">
        <v>668</v>
      </c>
      <c r="B126" s="927" t="s">
        <v>2021</v>
      </c>
      <c r="C126" s="932">
        <v>4300</v>
      </c>
      <c r="D126" s="933" t="str">
        <f>'Revenues 9-14'!A204</f>
        <v>Total Title I</v>
      </c>
      <c r="E126" s="906"/>
      <c r="F126" s="1789">
        <f>SUM('Revenues 9-14'!C204,'Revenues 9-14'!D204,'Revenues 9-14'!F204,'Revenues 9-14'!G204)</f>
        <v>379094</v>
      </c>
      <c r="G126" s="930"/>
    </row>
    <row r="127" spans="1:7" x14ac:dyDescent="0.2">
      <c r="A127" s="927" t="s">
        <v>668</v>
      </c>
      <c r="B127" s="927" t="s">
        <v>2022</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2023</v>
      </c>
      <c r="C128" s="932">
        <f>'Revenues 9-14'!B213</f>
        <v>4620</v>
      </c>
      <c r="D128" s="933" t="str">
        <f>'Revenues 9-14'!A213</f>
        <v>Fed - Spec Education - IDEA - Flow Through</v>
      </c>
      <c r="E128" s="906"/>
      <c r="F128" s="1789">
        <f>SUM('Revenues 9-14'!C213:D213,'Revenues 9-14'!F213:G213)</f>
        <v>234907</v>
      </c>
      <c r="G128" s="930"/>
    </row>
    <row r="129" spans="1:7" x14ac:dyDescent="0.2">
      <c r="A129" s="927" t="s">
        <v>668</v>
      </c>
      <c r="B129" s="927" t="s">
        <v>2024</v>
      </c>
      <c r="C129" s="932">
        <f>'Revenues 9-14'!B214</f>
        <v>4625</v>
      </c>
      <c r="D129" s="933" t="str">
        <f>'Revenues 9-14'!A214</f>
        <v>Fed - Spec Education - IDEA - Room &amp; Board</v>
      </c>
      <c r="E129" s="906"/>
      <c r="F129" s="1789">
        <f>SUM('Revenues 9-14'!C214,'Revenues 9-14'!D214,'Revenues 9-14'!F214,'Revenues 9-14'!G214)</f>
        <v>4722</v>
      </c>
      <c r="G129" s="930"/>
    </row>
    <row r="130" spans="1:7" x14ac:dyDescent="0.2">
      <c r="A130" s="927" t="s">
        <v>668</v>
      </c>
      <c r="B130" s="927" t="s">
        <v>2025</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2026</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89">
        <v>0</v>
      </c>
      <c r="G138" s="905"/>
    </row>
    <row r="139" spans="1:7" s="867" customFormat="1" hidden="1" x14ac:dyDescent="0.2">
      <c r="A139" s="934" t="s">
        <v>206</v>
      </c>
      <c r="B139" s="934" t="s">
        <v>2033</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89">
        <f>SUM('Revenues 9-14'!C240:G240,'Revenues 9-14'!J240)</f>
        <v>486824</v>
      </c>
      <c r="G146" s="905"/>
    </row>
    <row r="147" spans="1:7" s="867" customFormat="1" hidden="1" x14ac:dyDescent="0.2">
      <c r="A147" s="934" t="s">
        <v>206</v>
      </c>
      <c r="B147" s="934" t="s">
        <v>2038</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2041</v>
      </c>
      <c r="C157" s="940" t="s">
        <v>841</v>
      </c>
      <c r="D157" s="941" t="s">
        <v>777</v>
      </c>
      <c r="E157" s="942"/>
      <c r="F157" s="1789">
        <f>SUM(F133:F156)</f>
        <v>486824</v>
      </c>
      <c r="G157" s="905"/>
    </row>
    <row r="158" spans="1:7" s="867" customFormat="1" x14ac:dyDescent="0.2">
      <c r="A158" s="938" t="s">
        <v>459</v>
      </c>
      <c r="B158" s="939" t="s">
        <v>2042</v>
      </c>
      <c r="C158" s="940" t="s">
        <v>1427</v>
      </c>
      <c r="D158" s="941" t="s">
        <v>1428</v>
      </c>
      <c r="E158" s="942"/>
      <c r="F158" s="1789">
        <f>SUM('Revenues 9-14'!C253)</f>
        <v>0</v>
      </c>
      <c r="G158" s="905"/>
    </row>
    <row r="159" spans="1:7" s="867" customFormat="1" x14ac:dyDescent="0.2">
      <c r="A159" s="938" t="s">
        <v>500</v>
      </c>
      <c r="B159" s="939" t="s">
        <v>2043</v>
      </c>
      <c r="C159" s="940" t="s">
        <v>1466</v>
      </c>
      <c r="D159" s="941" t="s">
        <v>1467</v>
      </c>
      <c r="E159" s="942"/>
      <c r="F159" s="1789">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2045</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2046</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907">
        <f>SUM('Revenues 9-14'!C259,'Revenues 9-14'!D259,'Revenues 9-14'!F259,'Revenues 9-14'!G259)</f>
        <v>29725</v>
      </c>
      <c r="G164" s="930"/>
    </row>
    <row r="165" spans="1:7" x14ac:dyDescent="0.2">
      <c r="A165" s="927" t="s">
        <v>668</v>
      </c>
      <c r="B165" s="927" t="s">
        <v>2049</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89">
        <f>SUM('Revenues 9-14'!C263:D263,'Revenues 9-14'!F263:G263)</f>
        <v>13338</v>
      </c>
      <c r="G168" s="947">
        <v>6320</v>
      </c>
    </row>
    <row r="169" spans="1:7" x14ac:dyDescent="0.2">
      <c r="A169" s="927" t="s">
        <v>668</v>
      </c>
      <c r="B169" s="927" t="s">
        <v>2051</v>
      </c>
      <c r="C169" s="932">
        <f>'Revenues 9-14'!B264</f>
        <v>4992</v>
      </c>
      <c r="D169" s="933" t="str">
        <f>'Revenues 9-14'!A264</f>
        <v>Medicaid Matching Funds - Fee-for-Service Program</v>
      </c>
      <c r="E169" s="906"/>
      <c r="F169" s="1789">
        <f>SUM('Revenues 9-14'!C264:D264,'Revenues 9-14'!F264:G264)</f>
        <v>62755</v>
      </c>
      <c r="G169" s="947"/>
    </row>
    <row r="170" spans="1:7" x14ac:dyDescent="0.2">
      <c r="A170" s="948" t="s">
        <v>668</v>
      </c>
      <c r="B170" s="944" t="s">
        <v>2052</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1917</v>
      </c>
      <c r="C171" s="1920">
        <v>3100</v>
      </c>
      <c r="D171" s="1921" t="s">
        <v>1919</v>
      </c>
      <c r="E171" s="906"/>
      <c r="F171" s="1906"/>
      <c r="G171" s="927"/>
    </row>
    <row r="172" spans="1:7" x14ac:dyDescent="0.2">
      <c r="A172" s="1918" t="s">
        <v>664</v>
      </c>
      <c r="B172" s="1919" t="s">
        <v>1917</v>
      </c>
      <c r="C172" s="1920">
        <v>3300</v>
      </c>
      <c r="D172" s="1921" t="s">
        <v>1920</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2053</v>
      </c>
      <c r="E174" s="1787" t="s">
        <v>958</v>
      </c>
      <c r="F174" s="1788">
        <f>SUM(F84:F132,F157:F172)</f>
        <v>2369445</v>
      </c>
    </row>
    <row r="175" spans="1:7" ht="12" customHeight="1" x14ac:dyDescent="0.2">
      <c r="A175" s="1770"/>
      <c r="B175" s="1784"/>
      <c r="C175" s="1785"/>
      <c r="D175" s="1786" t="s">
        <v>2054</v>
      </c>
      <c r="E175" s="1787"/>
      <c r="F175" s="1789">
        <f>'PCTC-OEPP 27-28'!F77-F174</f>
        <v>9283082</v>
      </c>
    </row>
    <row r="176" spans="1:7" ht="12" customHeight="1" x14ac:dyDescent="0.2">
      <c r="A176" s="1770"/>
      <c r="B176" s="1784"/>
      <c r="C176" s="1785"/>
      <c r="D176" s="1786" t="s">
        <v>1814</v>
      </c>
      <c r="E176" s="1787"/>
      <c r="F176" s="1789">
        <f>'Cap Outlay Deprec 26'!I18</f>
        <v>865420</v>
      </c>
    </row>
    <row r="177" spans="1:7" ht="12" customHeight="1" x14ac:dyDescent="0.2">
      <c r="A177" s="1770"/>
      <c r="B177" s="1784"/>
      <c r="C177" s="1785"/>
      <c r="D177" s="1786" t="s">
        <v>2055</v>
      </c>
      <c r="E177" s="1787"/>
      <c r="F177" s="1789">
        <f>F175+F176</f>
        <v>10148502</v>
      </c>
    </row>
    <row r="178" spans="1:7" ht="12" customHeight="1" x14ac:dyDescent="0.2">
      <c r="A178" s="1770"/>
      <c r="B178" s="1790"/>
      <c r="C178" s="1785"/>
      <c r="D178" s="1786" t="str">
        <f>D78</f>
        <v>9 Month ADA from District Average Daily Attendance/Prior General State Aid Inquiry 2018-2019</v>
      </c>
      <c r="E178" s="1787"/>
      <c r="F178" s="1791">
        <f>'PCTC-OEPP 27-28'!F78</f>
        <v>996.75</v>
      </c>
      <c r="G178" s="930"/>
    </row>
    <row r="179" spans="1:7" ht="12" customHeight="1" thickBot="1" x14ac:dyDescent="0.25">
      <c r="A179" s="1770"/>
      <c r="B179" s="1790"/>
      <c r="C179" s="1785"/>
      <c r="D179" s="1786" t="s">
        <v>2056</v>
      </c>
      <c r="E179" s="1787" t="s">
        <v>1545</v>
      </c>
      <c r="F179" s="1792">
        <f>F177/F178</f>
        <v>10181.592174567344</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922" customFormat="1" ht="12.2" customHeight="1" x14ac:dyDescent="0.2">
      <c r="A182" s="1922" t="s">
        <v>1991</v>
      </c>
      <c r="B182" s="1923"/>
      <c r="C182" s="1924"/>
      <c r="D182" s="1923"/>
      <c r="E182" s="1924"/>
      <c r="F182" s="1923"/>
      <c r="G182" s="1923"/>
    </row>
    <row r="183" spans="1:7" s="1922" customFormat="1" ht="12.2" customHeight="1" x14ac:dyDescent="0.2">
      <c r="A183" s="1925" t="s">
        <v>1993</v>
      </c>
      <c r="C183" s="1924"/>
      <c r="D183" s="1923"/>
      <c r="E183" s="1924"/>
      <c r="F183" s="1923"/>
      <c r="G183" s="1923"/>
    </row>
    <row r="184" spans="1:7" ht="12" customHeight="1" x14ac:dyDescent="0.2">
      <c r="C184" s="949"/>
      <c r="D184" s="930"/>
      <c r="E184" s="949"/>
      <c r="F184" s="930"/>
      <c r="G184" s="930"/>
    </row>
    <row r="185" spans="1:7" x14ac:dyDescent="0.2">
      <c r="A185" s="1926" t="s">
        <v>1922</v>
      </c>
      <c r="B185" s="1927"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orizontalCentered="1"/>
  <pageMargins left="0.75" right="0.75" top="1" bottom="0.5" header="0.5" footer="0.5"/>
  <pageSetup scale="65" firstPageNumber="27" orientation="portrait" r:id="rId2"/>
  <headerFooter>
    <oddHeader>&amp;C&amp;"Times New Roman,Regular"BELLE VALLEY SCHOOL DISTRICT NO. 119
ESTIMATED OPERATING EXPENSE PER PUPIL/PER CAPITA TUITION CHARGE COMPUTATIONS
FOR THE YEAR ENDED JUNE 30, 2019</oddHeader>
    <oddFooter>&amp;C&amp;"Times New Roman,Regular"See Independent Auditor's Reports
&amp;P</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41"/>
  <sheetViews>
    <sheetView showGridLines="0" zoomScaleNormal="100" workbookViewId="0">
      <selection activeCell="B22" sqref="B2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1815</v>
      </c>
      <c r="B4" s="2269"/>
      <c r="C4" s="2269"/>
      <c r="D4" s="2269"/>
      <c r="E4" s="2269"/>
      <c r="F4" s="2269"/>
      <c r="G4" s="2270"/>
    </row>
    <row r="5" spans="1:7" x14ac:dyDescent="0.25">
      <c r="A5" s="2271"/>
      <c r="B5" s="2272"/>
      <c r="C5" s="2272"/>
      <c r="D5" s="2272"/>
      <c r="E5" s="2272"/>
      <c r="F5" s="2272"/>
      <c r="G5" s="2273"/>
    </row>
    <row r="6" spans="1:7" ht="18.75" x14ac:dyDescent="0.25">
      <c r="A6" s="1534" t="s">
        <v>1816</v>
      </c>
      <c r="B6" s="1535"/>
      <c r="C6" s="1535"/>
      <c r="D6" s="1535"/>
      <c r="E6" s="1535"/>
      <c r="F6" s="1535"/>
      <c r="G6" s="1536"/>
    </row>
    <row r="7" spans="1:7" ht="30.75" customHeight="1" x14ac:dyDescent="0.25">
      <c r="A7" s="2274" t="s">
        <v>1929</v>
      </c>
      <c r="B7" s="2275"/>
      <c r="C7" s="2275"/>
      <c r="D7" s="2275"/>
      <c r="E7" s="2275"/>
      <c r="F7" s="2275"/>
      <c r="G7" s="2276"/>
    </row>
    <row r="8" spans="1:7" ht="15.75" customHeight="1" x14ac:dyDescent="0.25">
      <c r="A8" s="2277" t="s">
        <v>1904</v>
      </c>
      <c r="B8" s="2278"/>
      <c r="C8" s="2278"/>
      <c r="D8" s="2278"/>
      <c r="E8" s="2278"/>
      <c r="F8" s="2278"/>
      <c r="G8" s="2279"/>
    </row>
    <row r="9" spans="1:7" ht="35.25" customHeight="1" x14ac:dyDescent="0.25">
      <c r="A9" s="2274" t="s">
        <v>1932</v>
      </c>
      <c r="B9" s="2275"/>
      <c r="C9" s="2275"/>
      <c r="D9" s="2275"/>
      <c r="E9" s="2275"/>
      <c r="F9" s="2275"/>
      <c r="G9" s="2276"/>
    </row>
    <row r="10" spans="1:7" ht="15" customHeight="1" x14ac:dyDescent="0.25">
      <c r="A10" s="1537" t="s">
        <v>1817</v>
      </c>
      <c r="B10" s="1538"/>
      <c r="C10" s="1538"/>
      <c r="D10" s="1538"/>
      <c r="E10" s="1538"/>
      <c r="F10" s="1538"/>
      <c r="G10" s="1539"/>
    </row>
    <row r="11" spans="1:7" ht="17.25" customHeight="1" x14ac:dyDescent="0.25">
      <c r="A11" s="2274" t="s">
        <v>1931</v>
      </c>
      <c r="B11" s="2275"/>
      <c r="C11" s="2275"/>
      <c r="D11" s="2275"/>
      <c r="E11" s="2275"/>
      <c r="F11" s="2275"/>
      <c r="G11" s="2276"/>
    </row>
    <row r="12" spans="1:7" ht="15" customHeight="1" x14ac:dyDescent="0.25">
      <c r="A12" s="1537" t="s">
        <v>1822</v>
      </c>
      <c r="B12" s="1538"/>
      <c r="C12" s="1538"/>
      <c r="D12" s="1538"/>
      <c r="E12" s="1538"/>
      <c r="F12" s="1538"/>
      <c r="G12" s="1539"/>
    </row>
    <row r="13" spans="1:7" ht="32.25" customHeight="1" x14ac:dyDescent="0.25">
      <c r="A13" s="2265" t="s">
        <v>1973</v>
      </c>
      <c r="B13" s="2266"/>
      <c r="C13" s="2266"/>
      <c r="D13" s="2266"/>
      <c r="E13" s="2266"/>
      <c r="F13" s="2266"/>
      <c r="G13" s="2267"/>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2164</v>
      </c>
      <c r="B17" s="1934" t="s">
        <v>2172</v>
      </c>
      <c r="C17" s="1938" t="s">
        <v>2158</v>
      </c>
      <c r="D17" s="1844">
        <v>331936</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306936</v>
      </c>
      <c r="H17" s="1647"/>
    </row>
    <row r="18" spans="1:8" x14ac:dyDescent="0.25">
      <c r="A18" s="1937" t="s">
        <v>2165</v>
      </c>
      <c r="B18" s="1934" t="s">
        <v>2172</v>
      </c>
      <c r="C18" s="1938" t="s">
        <v>2158</v>
      </c>
      <c r="D18" s="1844">
        <v>160591</v>
      </c>
      <c r="E18" s="1540">
        <f t="shared" ref="E18:E140" si="2">IF(D18&lt;=25000,D18,IF(D18&gt;25000,25000,0))</f>
        <v>25000</v>
      </c>
      <c r="F18" s="1932">
        <f t="shared" si="1"/>
        <v>25000</v>
      </c>
      <c r="G18" s="1793">
        <f t="shared" ref="G18:G140" si="3">IF(F18=0,0,D18-F18)</f>
        <v>135591</v>
      </c>
    </row>
    <row r="19" spans="1:8" x14ac:dyDescent="0.25">
      <c r="A19" s="1937" t="s">
        <v>2163</v>
      </c>
      <c r="B19" s="1934" t="s">
        <v>2159</v>
      </c>
      <c r="C19" s="1938" t="s">
        <v>2160</v>
      </c>
      <c r="D19" s="1844">
        <v>305095</v>
      </c>
      <c r="E19" s="1540">
        <f t="shared" si="2"/>
        <v>25000</v>
      </c>
      <c r="F19" s="1932">
        <f t="shared" si="1"/>
        <v>25000</v>
      </c>
      <c r="G19" s="1793">
        <f t="shared" si="3"/>
        <v>280095</v>
      </c>
    </row>
    <row r="20" spans="1:8" x14ac:dyDescent="0.25">
      <c r="A20" s="1937" t="s">
        <v>2163</v>
      </c>
      <c r="B20" s="1934" t="s">
        <v>2173</v>
      </c>
      <c r="C20" s="1938" t="s">
        <v>2161</v>
      </c>
      <c r="D20" s="1844">
        <v>29295</v>
      </c>
      <c r="E20" s="1540">
        <f t="shared" si="2"/>
        <v>25000</v>
      </c>
      <c r="F20" s="1932">
        <f t="shared" si="1"/>
        <v>25000</v>
      </c>
      <c r="G20" s="1793">
        <f t="shared" si="3"/>
        <v>4295</v>
      </c>
    </row>
    <row r="21" spans="1:8" x14ac:dyDescent="0.25">
      <c r="A21" s="1937" t="s">
        <v>2163</v>
      </c>
      <c r="B21" s="1934" t="s">
        <v>2174</v>
      </c>
      <c r="C21" s="1938" t="s">
        <v>2162</v>
      </c>
      <c r="D21" s="1844">
        <v>53560</v>
      </c>
      <c r="E21" s="1540">
        <f t="shared" si="2"/>
        <v>25000</v>
      </c>
      <c r="F21" s="1932">
        <f t="shared" si="1"/>
        <v>25000</v>
      </c>
      <c r="G21" s="1793">
        <f t="shared" si="3"/>
        <v>28560</v>
      </c>
    </row>
    <row r="22" spans="1:8" x14ac:dyDescent="0.25">
      <c r="A22" s="1937"/>
      <c r="B22" s="1934"/>
      <c r="C22" s="1938"/>
      <c r="D22" s="1844"/>
      <c r="E22" s="1540">
        <f t="shared" si="2"/>
        <v>0</v>
      </c>
      <c r="F22" s="1932">
        <f t="shared" si="1"/>
        <v>0</v>
      </c>
      <c r="G22" s="1793">
        <f t="shared" si="3"/>
        <v>0</v>
      </c>
    </row>
    <row r="23" spans="1:8" x14ac:dyDescent="0.25">
      <c r="A23" s="1937"/>
      <c r="B23" s="1934"/>
      <c r="C23" s="1938"/>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880477</v>
      </c>
      <c r="E141" s="1541">
        <f t="shared" si="0"/>
        <v>25000</v>
      </c>
      <c r="F141" s="1933">
        <f>SUM(F17:F140)</f>
        <v>125000</v>
      </c>
      <c r="G141" s="1795">
        <f>SUM(G17:G140)</f>
        <v>755477</v>
      </c>
    </row>
  </sheetData>
  <sheetProtection password="F60E" sheet="1" selectLockedCells="1"/>
  <mergeCells count="6">
    <mergeCell ref="A13:G13"/>
    <mergeCell ref="A4:G5"/>
    <mergeCell ref="A11:G11"/>
    <mergeCell ref="A7:G7"/>
    <mergeCell ref="A8:G8"/>
    <mergeCell ref="A9:G9"/>
  </mergeCells>
  <printOptions horizontalCentered="1"/>
  <pageMargins left="0.75" right="0.75" top="1" bottom="0.5" header="0.5" footer="0.5"/>
  <pageSetup scale="50" firstPageNumber="30" fitToHeight="0" orientation="portrait" r:id="rId1"/>
  <headerFooter>
    <oddHeader>&amp;C&amp;"Times New Roman,Regular"BELLE VALLEY SCHOOL DISTRICT NO. 119
CURRENT YEAR PAYMENT ON CONTRACTS FOR INDIRECT COST RATE COMPUTATION
FOR THE YEAR ENDED JUNE 30, 2019</oddHeader>
    <oddFooter>&amp;C&amp;"Times New Roman,Regular"See Independent Auditor's Reports
&amp;P</oddFooter>
  </headerFooter>
  <rowBreaks count="1" manualBreakCount="1">
    <brk id="8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C47" sqref="C4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v>351160</v>
      </c>
      <c r="F10" s="974"/>
      <c r="G10" s="975"/>
      <c r="H10" s="162"/>
      <c r="I10" s="162"/>
    </row>
    <row r="11" spans="1:9" s="668" customFormat="1" ht="22.5" customHeight="1" x14ac:dyDescent="0.2">
      <c r="A11" s="2285" t="s">
        <v>1974</v>
      </c>
      <c r="B11" s="2286"/>
      <c r="C11" s="2286"/>
      <c r="D11" s="2287"/>
      <c r="E11" s="977">
        <v>38099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5433420</v>
      </c>
      <c r="F19" s="1799"/>
      <c r="G19" s="1801">
        <f>'Expenditures 15-22'!K33-SUM('Expenditures 15-22'!G33,'Expenditures 15-22'!I33)+'Expenditures 15-22'!D229</f>
        <v>5433420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393199</v>
      </c>
      <c r="F21" s="1802"/>
      <c r="G21" s="1805">
        <f>'Expenditures 15-22'!K42-SUM('Expenditures 15-22'!G42,'Expenditures 15-22'!I42)+'Expenditures 15-22'!K120-SUM('Expenditures 15-22'!G120,'Expenditures 15-22'!I120)+'Expenditures 15-22'!K180-SUM('Expenditures 15-22'!G180,'Expenditures 15-22'!I180)+'Expenditures 15-22'!D238</f>
        <v>393199</v>
      </c>
      <c r="H21" s="987"/>
      <c r="I21" s="162"/>
    </row>
    <row r="22" spans="1:9" s="668" customFormat="1" ht="12" customHeight="1" x14ac:dyDescent="0.2">
      <c r="A22" s="994" t="s">
        <v>564</v>
      </c>
      <c r="B22" s="995"/>
      <c r="C22" s="993">
        <v>2200</v>
      </c>
      <c r="D22" s="1802"/>
      <c r="E22" s="1804">
        <f>'Expenditures 15-22'!K47-SUM('Expenditures 15-22'!G47,'Expenditures 15-22'!I47)+'Expenditures 15-22'!D243</f>
        <v>201259</v>
      </c>
      <c r="F22" s="1802"/>
      <c r="G22" s="1805">
        <f>'Expenditures 15-22'!K47-SUM('Expenditures 15-22'!G47,'Expenditures 15-22'!I47)+'Expenditures 15-22'!D243</f>
        <v>201259</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409176</v>
      </c>
      <c r="F23" s="1802"/>
      <c r="G23" s="1804">
        <f>'Expenditures 15-22'!K53-SUM('Expenditures 15-22'!G53,'Expenditures 15-22'!I53)+'Expenditures 15-22'!D257+'Expenditures 15-22'!K330-SUM('Expenditures 15-22'!G330,'Expenditures 15-22'!I330)</f>
        <v>409176</v>
      </c>
      <c r="H23" s="987"/>
      <c r="I23" s="162"/>
    </row>
    <row r="24" spans="1:9" s="668" customFormat="1" ht="12" customHeight="1" x14ac:dyDescent="0.2">
      <c r="A24" s="994" t="s">
        <v>566</v>
      </c>
      <c r="B24" s="995"/>
      <c r="C24" s="993">
        <v>2400</v>
      </c>
      <c r="D24" s="1802"/>
      <c r="E24" s="1804">
        <f>'Expenditures 15-22'!K57-SUM('Expenditures 15-22'!G57,'Expenditures 15-22'!I57)+'Expenditures 15-22'!D261</f>
        <v>588216</v>
      </c>
      <c r="F24" s="1802"/>
      <c r="G24" s="1805">
        <f>'Expenditures 15-22'!K57-SUM('Expenditures 15-22'!G57,'Expenditures 15-22'!I57)+'Expenditures 15-22'!D261</f>
        <v>588216</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107729</v>
      </c>
      <c r="E26" s="1804">
        <f>'Expenditures 15-22'!K122-SUM('Expenditures 15-22'!G122,'Expenditures 15-22'!I122)+E7</f>
        <v>0</v>
      </c>
      <c r="F26" s="1804">
        <f>'Expenditures 15-22'!K59-SUM('Expenditures 15-22'!G59,'Expenditures 15-22'!I59)+'Expenditures 15-22'!D263-E7</f>
        <v>107729</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10692</v>
      </c>
      <c r="E27" s="1804">
        <f>E8</f>
        <v>0</v>
      </c>
      <c r="F27" s="1804">
        <f>'Expenditures 15-22'!K60-SUM('Expenditures 15-22'!G60,'Expenditures 15-22'!I60)+'Expenditures 15-22'!D264-E8</f>
        <v>10692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872900</v>
      </c>
      <c r="F28" s="1806">
        <f>'Expenditures 15-22'!K61-SUM('Expenditures 15-22'!G61,'Expenditures 15-22'!I61)+'Expenditures 15-22'!K124-SUM('Expenditures 15-22'!G124,'Expenditures 15-22'!I124)+'Expenditures 15-22'!D266-E9</f>
        <v>872900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564432</v>
      </c>
      <c r="F29" s="1802"/>
      <c r="G29" s="1805">
        <f>'Expenditures 15-22'!K62-SUM('Expenditures 15-22'!G62,'Expenditures 15-22'!I62)+'Expenditures 15-22'!K125-SUM('Expenditures 15-22'!G125,'Expenditures 15-22'!I125)+'Expenditures 15-22'!K182-SUM('Expenditures 15-22'!G182,'Expenditures 15-22'!I182)+'Expenditures 15-22'!D267</f>
        <v>564432</v>
      </c>
      <c r="H29" s="985"/>
    </row>
    <row r="30" spans="1:9" ht="12" customHeight="1" x14ac:dyDescent="0.2">
      <c r="A30" s="994" t="s">
        <v>100</v>
      </c>
      <c r="B30" s="997"/>
      <c r="C30" s="993">
        <v>2560</v>
      </c>
      <c r="D30" s="1802"/>
      <c r="E30" s="1804">
        <f>'Expenditures 15-22'!K63-SUM('Expenditures 15-22'!G63,'Expenditures 15-22'!I63)+'Expenditures 15-22'!D268-E10</f>
        <v>252382</v>
      </c>
      <c r="F30" s="1802"/>
      <c r="G30" s="1804">
        <f>'Expenditures 15-22'!K63-SUM('Expenditures 15-22'!G63,'Expenditures 15-22'!I63)+'Expenditures 15-22'!D268-E10</f>
        <v>252382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500</v>
      </c>
      <c r="F38" s="1802"/>
      <c r="G38" s="1804">
        <f>'Expenditures 15-22'!K73-SUM('Expenditures 15-22'!G73,'Expenditures 15-22'!I73)+'Expenditures 15-22'!K128-SUM('Expenditures 15-22'!G128,'Expenditures 15-22'!I128)+'Expenditures 15-22'!K183-SUM('Expenditures 15-22'!G183,'Expenditures 15-22'!I183)+'Expenditures 15-22'!D278</f>
        <v>500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105981</v>
      </c>
      <c r="F39" s="1802"/>
      <c r="G39" s="1804">
        <f>'Expenditures 15-22'!K75-SUM('Expenditures 15-22'!G75,'Expenditures 15-22'!I75)+'Expenditures 15-22'!K130-SUM('Expenditures 15-22'!G130,'Expenditures 15-22'!I130)+'Expenditures 15-22'!K185-SUM('Expenditures 15-22'!G185,'Expenditures 15-22'!I185)+'Expenditures 15-22'!D280</f>
        <v>105981</v>
      </c>
    </row>
    <row r="40" spans="1:7" ht="12" customHeight="1" x14ac:dyDescent="0.2">
      <c r="A40" s="990" t="s">
        <v>1820</v>
      </c>
      <c r="B40" s="991"/>
      <c r="C40" s="993"/>
      <c r="D40" s="1802"/>
      <c r="E40" s="1806">
        <f>-'Contracts Paid in CY 29'!G141</f>
        <v>-755477</v>
      </c>
      <c r="F40" s="1802"/>
      <c r="G40" s="1806">
        <f>-'Contracts Paid in CY 29'!G141</f>
        <v>-755477</v>
      </c>
    </row>
    <row r="41" spans="1:7" ht="12" customHeight="1" x14ac:dyDescent="0.2">
      <c r="A41" s="998" t="s">
        <v>156</v>
      </c>
      <c r="B41" s="999"/>
      <c r="C41" s="1000"/>
      <c r="D41" s="1806">
        <f>SUM(D19:D39)</f>
        <v>118421</v>
      </c>
      <c r="E41" s="1806">
        <f>SUM(E19:E40)</f>
        <v>8065988</v>
      </c>
      <c r="F41" s="1806">
        <f>SUM(F19:F39)</f>
        <v>991321</v>
      </c>
      <c r="G41" s="1806">
        <f>SUM(G19:G40)</f>
        <v>7193088</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118421</v>
      </c>
      <c r="F43" s="1807" t="s">
        <v>473</v>
      </c>
      <c r="G43" s="1808">
        <f>F41</f>
        <v>991321</v>
      </c>
    </row>
    <row r="44" spans="1:7" ht="12" customHeight="1" x14ac:dyDescent="0.2">
      <c r="A44" s="987"/>
      <c r="B44" s="162"/>
      <c r="C44" s="1001"/>
      <c r="D44" s="1807" t="s">
        <v>474</v>
      </c>
      <c r="E44" s="1808">
        <f>E41</f>
        <v>8065988</v>
      </c>
      <c r="F44" s="1807" t="s">
        <v>474</v>
      </c>
      <c r="G44" s="1808">
        <f>G41</f>
        <v>7193088</v>
      </c>
    </row>
    <row r="45" spans="1:7" ht="12" customHeight="1" x14ac:dyDescent="0.2">
      <c r="A45" s="987"/>
      <c r="B45" s="162"/>
      <c r="C45" s="162"/>
      <c r="D45" s="1809" t="s">
        <v>1006</v>
      </c>
      <c r="E45" s="1810">
        <f>(E43/E44)</f>
        <v>1.4681524445610383E-2</v>
      </c>
      <c r="F45" s="1809" t="s">
        <v>1006</v>
      </c>
      <c r="G45" s="1810">
        <f>(G43/G44)</f>
        <v>0.13781577536657413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pageMargins left="0.75" right="0.75" top="1" bottom="0.5" header="0.5" footer="0.5"/>
  <pageSetup scale="75" firstPageNumber="30" orientation="landscape" r:id="rId1"/>
  <headerFooter>
    <oddHeader>&amp;C&amp;"Times New Roman,Regular"BELLE VALLEY SCHOOL DISTRICT NO. 119
ESTIMATED INDIRECT COST RATE DATA
FOR THE YEAR ENDED JUNE 30, 2019</oddHeader>
    <oddFooter>&amp;C&amp;"Times New Roman,Regular"See Independent Auditor's Reports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V29" sqref="V29"/>
      <selection pane="bottomLeft" activeCell="C31" sqref="C3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2" t="s">
        <v>1379</v>
      </c>
      <c r="B1" s="2302"/>
      <c r="C1" s="2302"/>
      <c r="D1" s="2302"/>
      <c r="E1" s="2302"/>
      <c r="F1" s="2302"/>
    </row>
    <row r="2" spans="1:10" x14ac:dyDescent="0.2">
      <c r="A2" s="1887" t="s">
        <v>1909</v>
      </c>
      <c r="B2" s="1848"/>
      <c r="C2" s="1887"/>
      <c r="D2" s="1848"/>
      <c r="E2" s="1848"/>
      <c r="F2" s="1849"/>
    </row>
    <row r="3" spans="1:10" x14ac:dyDescent="0.2">
      <c r="A3" s="1887" t="s">
        <v>1975</v>
      </c>
      <c r="B3" s="1848"/>
      <c r="C3" s="1887"/>
      <c r="D3" s="1848"/>
      <c r="E3" s="1848"/>
      <c r="F3" s="1849"/>
    </row>
    <row r="4" spans="1:10" ht="3.75" customHeight="1" x14ac:dyDescent="0.2">
      <c r="A4" s="1848"/>
      <c r="B4" s="1848"/>
      <c r="C4" s="1848"/>
      <c r="D4" s="1848"/>
      <c r="E4" s="1848"/>
      <c r="F4" s="1849"/>
    </row>
    <row r="5" spans="1:10" ht="15" x14ac:dyDescent="0.25">
      <c r="A5" s="2303" t="s">
        <v>1546</v>
      </c>
      <c r="B5" s="2304"/>
      <c r="C5" s="2305"/>
      <c r="D5" s="2305"/>
      <c r="E5" s="2305"/>
      <c r="F5" s="2305"/>
    </row>
    <row r="6" spans="1:10" ht="12" customHeight="1" x14ac:dyDescent="0.25">
      <c r="A6" s="1850"/>
      <c r="B6" s="1851"/>
      <c r="C6" s="2306" t="str">
        <f>COVER!A17</f>
        <v>BELLE VALLEY SCHOOL DISTRICT NO. 119</v>
      </c>
      <c r="D6" s="2306"/>
      <c r="E6" s="2306"/>
      <c r="F6" s="1852"/>
    </row>
    <row r="7" spans="1:10" ht="11.25" customHeight="1" thickBot="1" x14ac:dyDescent="0.3">
      <c r="A7" s="1850"/>
      <c r="B7" s="1851"/>
      <c r="C7" s="2307">
        <f>COVER!A13</f>
        <v>50082119002</v>
      </c>
      <c r="D7" s="2307"/>
      <c r="E7" s="2307"/>
      <c r="F7" s="1852"/>
    </row>
    <row r="8" spans="1:10" ht="25.5" customHeight="1" thickBot="1" x14ac:dyDescent="0.25">
      <c r="A8" s="1893" t="s">
        <v>1905</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2061</v>
      </c>
      <c r="D26" s="1865" t="s">
        <v>2061</v>
      </c>
      <c r="E26" s="1868" t="s">
        <v>2061</v>
      </c>
      <c r="F26" s="1867" t="s">
        <v>2086</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2061</v>
      </c>
      <c r="D30" s="1865" t="s">
        <v>2061</v>
      </c>
      <c r="E30" s="1868" t="s">
        <v>2061</v>
      </c>
      <c r="F30" s="1867" t="s">
        <v>2087</v>
      </c>
      <c r="H30" s="1878">
        <f t="shared" si="0"/>
        <v>5</v>
      </c>
      <c r="I30" s="1878">
        <f t="shared" si="1"/>
        <v>5</v>
      </c>
      <c r="J30" s="1878">
        <f t="shared" si="2"/>
        <v>5</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10</v>
      </c>
      <c r="I34" s="1878">
        <f>SUM(I11:I32)</f>
        <v>10</v>
      </c>
      <c r="J34" s="1878">
        <f>SUM(J11:J32)</f>
        <v>10</v>
      </c>
      <c r="K34" s="1878">
        <f>SUM(H34:J34)</f>
        <v>30</v>
      </c>
    </row>
    <row r="35" spans="1:11" ht="12" customHeight="1" x14ac:dyDescent="0.2">
      <c r="A35" s="1871" t="s">
        <v>1392</v>
      </c>
      <c r="B35" s="1872"/>
      <c r="C35" s="2308"/>
      <c r="D35" s="2308"/>
      <c r="E35" s="2308"/>
      <c r="F35" s="2309"/>
    </row>
    <row r="36" spans="1:11" ht="12" customHeight="1" x14ac:dyDescent="0.2">
      <c r="A36" s="2291"/>
      <c r="B36" s="2292"/>
      <c r="C36" s="2292"/>
      <c r="D36" s="2292"/>
      <c r="E36" s="2292"/>
      <c r="F36" s="2293"/>
    </row>
    <row r="37" spans="1:11" ht="12" customHeight="1" x14ac:dyDescent="0.2">
      <c r="A37" s="2291"/>
      <c r="B37" s="2292"/>
      <c r="C37" s="2292"/>
      <c r="D37" s="2292"/>
      <c r="E37" s="2292"/>
      <c r="F37" s="2293"/>
    </row>
    <row r="38" spans="1:11" ht="12" customHeight="1" x14ac:dyDescent="0.2">
      <c r="A38" s="2294"/>
      <c r="B38" s="2295"/>
      <c r="C38" s="2295"/>
      <c r="D38" s="2295"/>
      <c r="E38" s="2295"/>
      <c r="F38" s="2296"/>
    </row>
    <row r="39" spans="1:11" ht="4.5" hidden="1" customHeight="1" x14ac:dyDescent="0.2">
      <c r="A39" s="1873"/>
      <c r="B39" s="1873"/>
      <c r="C39" s="1873"/>
      <c r="D39" s="1873"/>
      <c r="E39" s="1873"/>
      <c r="F39" s="1873"/>
    </row>
    <row r="40" spans="1:11" s="1870" customFormat="1" ht="12" customHeight="1" x14ac:dyDescent="0.25">
      <c r="A40" s="1874" t="s">
        <v>1391</v>
      </c>
      <c r="B40" s="1875"/>
      <c r="C40" s="2297"/>
      <c r="D40" s="2297"/>
      <c r="E40" s="2297"/>
      <c r="F40" s="2298"/>
      <c r="H40" s="1879"/>
      <c r="I40" s="1879"/>
      <c r="J40" s="1879"/>
      <c r="K40" s="1879"/>
    </row>
    <row r="41" spans="1:11" s="1870" customFormat="1" ht="12" customHeight="1" x14ac:dyDescent="0.25">
      <c r="A41" s="2299"/>
      <c r="B41" s="2300"/>
      <c r="C41" s="2300"/>
      <c r="D41" s="2300"/>
      <c r="E41" s="2300"/>
      <c r="F41" s="2301"/>
      <c r="H41" s="1879"/>
      <c r="I41" s="1879"/>
      <c r="J41" s="1879"/>
      <c r="K41" s="1879"/>
    </row>
    <row r="42" spans="1:11" s="1870" customFormat="1" ht="12" customHeight="1" x14ac:dyDescent="0.25">
      <c r="A42" s="2299"/>
      <c r="B42" s="2300"/>
      <c r="C42" s="2300"/>
      <c r="D42" s="2300"/>
      <c r="E42" s="2300"/>
      <c r="F42" s="2301"/>
      <c r="H42" s="1879"/>
      <c r="I42" s="1879"/>
      <c r="J42" s="1879"/>
      <c r="K42" s="1879"/>
    </row>
    <row r="43" spans="1:11" s="1870" customFormat="1" ht="15" x14ac:dyDescent="0.25">
      <c r="A43" s="2288"/>
      <c r="B43" s="2289"/>
      <c r="C43" s="2289"/>
      <c r="D43" s="2289"/>
      <c r="E43" s="2289"/>
      <c r="F43" s="2290"/>
      <c r="H43" s="1879"/>
      <c r="I43" s="1879"/>
      <c r="J43" s="1879"/>
      <c r="K43" s="1879"/>
    </row>
    <row r="44" spans="1:11" s="1870" customFormat="1" ht="12" hidden="1" customHeight="1" x14ac:dyDescent="0.25">
      <c r="A44" s="2288"/>
      <c r="B44" s="2289"/>
      <c r="C44" s="2289"/>
      <c r="D44" s="2289"/>
      <c r="E44" s="2289"/>
      <c r="F44" s="229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pageMargins left="0.75" right="0.75" top="1" bottom="0.5" header="0.5" footer="0.5"/>
  <pageSetup scale="75" orientation="landscape" r:id="rId1"/>
  <headerFooter>
    <oddHeader>&amp;C&amp;"Times New Roman,Regular"BELLE VALLEY SCHOOL DISTRICT NO. 119</oddHeader>
    <oddFooter>&amp;C&amp;"Times New Roman,Regular"See Independent Auditor's Reports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G5" sqref="G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BELLE VALLEY SCHOOL DISTRICT NO. 119</v>
      </c>
      <c r="J6" s="2316"/>
      <c r="Q6" s="1664"/>
    </row>
    <row r="7" spans="1:17" x14ac:dyDescent="0.2">
      <c r="A7" s="2317" t="s">
        <v>869</v>
      </c>
      <c r="B7" s="2318"/>
      <c r="C7" s="2318"/>
      <c r="D7" s="2318"/>
      <c r="E7" s="2319"/>
      <c r="F7" s="1017"/>
      <c r="G7" s="1009"/>
      <c r="H7" s="1016" t="s">
        <v>372</v>
      </c>
      <c r="I7" s="2320">
        <f>COVER!A13</f>
        <v>50082119002</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1976</v>
      </c>
      <c r="F9" s="1023"/>
      <c r="G9" s="1023"/>
      <c r="H9" s="1896"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155022</v>
      </c>
      <c r="F12" s="1039"/>
      <c r="G12" s="1811">
        <f t="shared" ref="G12:G18" si="0">SUM(E12:F12)</f>
        <v>155022</v>
      </c>
      <c r="H12" s="1040">
        <v>162465</v>
      </c>
      <c r="I12" s="1039"/>
      <c r="J12" s="1811">
        <f t="shared" ref="J12:J18" si="1">SUM(H12:I12)</f>
        <v>162465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106571</v>
      </c>
      <c r="F15" s="1811">
        <f>'Expenditures 15-22'!K122</f>
        <v>0</v>
      </c>
      <c r="G15" s="1811">
        <f t="shared" si="0"/>
        <v>106571</v>
      </c>
      <c r="H15" s="1040">
        <v>109155</v>
      </c>
      <c r="I15" s="1040"/>
      <c r="J15" s="1811">
        <f t="shared" si="1"/>
        <v>109155</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v>22084</v>
      </c>
      <c r="F18" s="1043"/>
      <c r="G18" s="1812">
        <f t="shared" si="0"/>
        <v>22084</v>
      </c>
      <c r="H18" s="1040">
        <v>22680</v>
      </c>
      <c r="I18" s="1040"/>
      <c r="J18" s="1811">
        <f t="shared" si="1"/>
        <v>22680</v>
      </c>
    </row>
    <row r="19" spans="1:10" ht="12.75" customHeight="1" thickBot="1" x14ac:dyDescent="0.25">
      <c r="A19" s="1035">
        <v>8</v>
      </c>
      <c r="B19" s="1044" t="s">
        <v>1161</v>
      </c>
      <c r="D19" s="1045"/>
      <c r="E19" s="1813">
        <f t="shared" ref="E19:J19" si="2">SUM(E12:E17)-E18</f>
        <v>239509</v>
      </c>
      <c r="F19" s="1813">
        <f t="shared" si="2"/>
        <v>0</v>
      </c>
      <c r="G19" s="1813">
        <f t="shared" si="2"/>
        <v>239509</v>
      </c>
      <c r="H19" s="1813">
        <f t="shared" si="2"/>
        <v>248940</v>
      </c>
      <c r="I19" s="1813">
        <f t="shared" si="2"/>
        <v>0</v>
      </c>
      <c r="J19" s="1813">
        <f t="shared" si="2"/>
        <v>248940</v>
      </c>
    </row>
    <row r="20" spans="1:10" ht="13.5" thickTop="1" x14ac:dyDescent="0.2">
      <c r="A20" s="1035">
        <v>9</v>
      </c>
      <c r="B20" s="2327" t="s">
        <v>1978</v>
      </c>
      <c r="C20" s="2327"/>
      <c r="D20" s="2328"/>
      <c r="E20" s="1046"/>
      <c r="F20" s="1046"/>
      <c r="G20" s="1046"/>
      <c r="H20" s="1046"/>
      <c r="I20" s="1046"/>
      <c r="J20" s="1814">
        <f>IF(AND(G19&gt;0,J19&gt;0),(((J19-G19)/G19)),"Enter Budget Data")</f>
        <v>3.9376390866314004E-2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1980</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5" firstPageNumber="69" orientation="landscape" r:id="rId1"/>
  <headerFooter>
    <oddHeader>&amp;C&amp;"Times New Roman,Regular"BELLE VALLEY SCHOOL DISTRICT NO. 119
LIMITATION OF ADMINISTRATIVE COSTS WORKSHEET
FOR THE YEAR ENDED JUNE 30, 2019</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I41" sqref="I4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2088</v>
      </c>
    </row>
    <row r="6" spans="1:2" x14ac:dyDescent="0.2">
      <c r="A6" s="1068">
        <v>2</v>
      </c>
      <c r="B6" s="329" t="s">
        <v>2094</v>
      </c>
    </row>
    <row r="7" spans="1:2" x14ac:dyDescent="0.2">
      <c r="A7" s="1068">
        <v>3</v>
      </c>
      <c r="B7" s="329" t="s">
        <v>2089</v>
      </c>
    </row>
    <row r="8" spans="1:2" x14ac:dyDescent="0.2">
      <c r="A8" s="1068">
        <v>4</v>
      </c>
      <c r="B8" s="329" t="s">
        <v>2090</v>
      </c>
    </row>
    <row r="9" spans="1:2" x14ac:dyDescent="0.2">
      <c r="A9" s="1068">
        <v>5</v>
      </c>
      <c r="B9" s="329" t="s">
        <v>2091</v>
      </c>
    </row>
    <row r="10" spans="1:2" x14ac:dyDescent="0.2">
      <c r="A10" s="1069">
        <v>6</v>
      </c>
      <c r="B10" s="329" t="s">
        <v>2092</v>
      </c>
    </row>
    <row r="11" spans="1:2" x14ac:dyDescent="0.2">
      <c r="A11" s="1069">
        <v>7</v>
      </c>
      <c r="B11" s="329" t="s">
        <v>2093</v>
      </c>
    </row>
    <row r="12" spans="1:2" x14ac:dyDescent="0.2">
      <c r="A12" s="1069">
        <v>8</v>
      </c>
      <c r="B12" s="329" t="s">
        <v>2095</v>
      </c>
    </row>
    <row r="13" spans="1:2" x14ac:dyDescent="0.2">
      <c r="A13" s="1069">
        <v>9</v>
      </c>
      <c r="B13" s="329" t="s">
        <v>2096</v>
      </c>
    </row>
    <row r="14" spans="1:2" x14ac:dyDescent="0.2">
      <c r="A14" s="1069">
        <v>10</v>
      </c>
      <c r="B14" s="329" t="s">
        <v>2097</v>
      </c>
    </row>
    <row r="15" spans="1:2" x14ac:dyDescent="0.2">
      <c r="A15" s="1069">
        <v>11</v>
      </c>
      <c r="B15" s="329" t="s">
        <v>2098</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BELLE VALLEY SCHOOL DISTRICT NO. 119</v>
      </c>
    </row>
    <row r="65" spans="2:2" x14ac:dyDescent="0.2">
      <c r="B65" s="1070">
        <f>COVER!A13</f>
        <v>50082119002</v>
      </c>
    </row>
  </sheetData>
  <phoneticPr fontId="13" type="noConversion"/>
  <printOptions horizontalCentered="1"/>
  <pageMargins left="0.5" right="0.75" top="1" bottom="0.5" header="0.5" footer="0.5"/>
  <pageSetup scale="80" firstPageNumber="32" orientation="portrait" r:id="rId1"/>
  <headerFooter>
    <oddHeader>&amp;C&amp;"Times New Roman,Regular"BELLE VALLEY SCHOOL DISTRICT NO. 119
ITEMIZATION SCHEDULE
FOR THE YEAR ENDED JUNE 30, 2019</oddHeader>
    <oddFooter>&amp;C&amp;"Times New Roman,Regular"See Independent Auditor's Reports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4" sqref="C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rintOptions horizontalCentered="1"/>
  <pageMargins left="0.75" right="0.75" top="1" bottom="0.5" header="0.5" footer="0.5"/>
  <pageSetup scale="90" firstPageNumber="3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rintOptions horizontalCentered="1"/>
  <pageMargins left="0.75" right="0.75" top="1" bottom="0.5" header="0.5" footer="0.5"/>
  <pageSetup scale="90" firstPageNumber="34" orientation="landscape" r:id="rId1"/>
  <drawing r:id="rId2"/>
  <legacyDrawing r:id="rId3"/>
  <oleObjects>
    <mc:AlternateContent xmlns:mc="http://schemas.openxmlformats.org/markup-compatibility/2006">
      <mc:Choice Requires="x14">
        <oleObject progId="Acrobat Document" dvAspect="DVASPECT_ICON" shapeId="5120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5120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V29" sqref="V2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1984</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1985</v>
      </c>
      <c r="B4" s="2355"/>
      <c r="C4" s="2355"/>
      <c r="D4" s="2355"/>
      <c r="E4" s="2355"/>
      <c r="F4" s="2356"/>
      <c r="G4" s="1074"/>
      <c r="H4" s="1074"/>
    </row>
    <row r="5" spans="1:8" ht="14.25" customHeight="1" x14ac:dyDescent="0.2">
      <c r="A5" s="2357" t="s">
        <v>1981</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9502332</v>
      </c>
      <c r="C8" s="1815">
        <f>'Acct Summary 7-8'!D8</f>
        <v>328756</v>
      </c>
      <c r="D8" s="1815">
        <f>'Acct Summary 7-8'!F8</f>
        <v>485207</v>
      </c>
      <c r="E8" s="1815">
        <f>'Acct Summary 7-8'!I8</f>
        <v>52317</v>
      </c>
      <c r="F8" s="1815">
        <f>SUM(B8:E8)</f>
        <v>10368612</v>
      </c>
    </row>
    <row r="9" spans="1:8" s="1079" customFormat="1" ht="14.25" customHeight="1" thickBot="1" x14ac:dyDescent="0.25">
      <c r="A9" s="1078" t="s">
        <v>1369</v>
      </c>
      <c r="B9" s="1816">
        <f>'Acct Summary 7-8'!C17</f>
        <v>8424184</v>
      </c>
      <c r="C9" s="1816">
        <f>'Acct Summary 7-8'!D17</f>
        <v>439862</v>
      </c>
      <c r="D9" s="1816">
        <f>'Acct Summary 7-8'!F17</f>
        <v>558570</v>
      </c>
      <c r="E9" s="1815"/>
      <c r="F9" s="1815">
        <f>SUM(B9:E9)</f>
        <v>9422616</v>
      </c>
    </row>
    <row r="10" spans="1:8" s="1079" customFormat="1" ht="14.25" thickTop="1" thickBot="1" x14ac:dyDescent="0.25">
      <c r="A10" s="1080" t="s">
        <v>1370</v>
      </c>
      <c r="B10" s="1817">
        <f>(B8-B9)</f>
        <v>1078148</v>
      </c>
      <c r="C10" s="1817">
        <f>(C8-C9)</f>
        <v>-111106</v>
      </c>
      <c r="D10" s="1817">
        <f>(D8-D9)</f>
        <v>-73363</v>
      </c>
      <c r="E10" s="1816">
        <f>(E8-E9)</f>
        <v>52317</v>
      </c>
      <c r="F10" s="1818">
        <f>SUM(F8-F9)</f>
        <v>945996</v>
      </c>
    </row>
    <row r="11" spans="1:8" s="1079" customFormat="1" ht="14.25" thickTop="1" thickBot="1" x14ac:dyDescent="0.25">
      <c r="A11" s="1081" t="s">
        <v>1982</v>
      </c>
      <c r="B11" s="1819">
        <f>'Acct Summary 7-8'!C81</f>
        <v>7431701</v>
      </c>
      <c r="C11" s="1819">
        <f>'Acct Summary 7-8'!D81</f>
        <v>418179</v>
      </c>
      <c r="D11" s="1819">
        <f>'Acct Summary 7-8'!F81</f>
        <v>142</v>
      </c>
      <c r="E11" s="1819">
        <f>'Acct Summary 7-8'!I81</f>
        <v>857014</v>
      </c>
      <c r="F11" s="1820">
        <f>SUM(B11:E11)</f>
        <v>8707036</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pageMargins left="0.75" right="0.75" top="1.5" bottom="0.5" header="0.5" footer="0.5"/>
  <pageSetup firstPageNumber="19" fitToHeight="0" orientation="landscape" r:id="rId1"/>
  <headerFooter>
    <oddHeader>&amp;C&amp;"Times New Roman,Regular"BELLE VALLEY SCHOOL DISTRICT NO. 119
DEFICIT ANNUAL FINANCIAL REPORT (AFR) SUMMARY INFORMATION
FOR THE YEAR ENDED JUNE 30, 2019</oddHeader>
    <oddFooter>&amp;C&amp;"Times New Roman,Regular"See Independent Auditor's Reports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election activeCell="D57" sqref="D5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rintOptions horizontalCentered="1"/>
  <pageMargins left="0.75" right="0.75" top="1" bottom="0.5" header="0.5" footer="0.5"/>
  <pageSetup scale="75" firstPageNumber="32" orientation="landscape" r:id="rId1"/>
  <headerFooter>
    <oddHeader xml:space="preserve">&amp;C&amp;"Times New Roman,Regular"
</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50082119002</v>
      </c>
    </row>
    <row r="3" spans="1:2" x14ac:dyDescent="0.2">
      <c r="A3" t="s">
        <v>956</v>
      </c>
      <c r="B3" s="138" t="str">
        <f>COVER!A15</f>
        <v>ST. CLAIR</v>
      </c>
    </row>
    <row r="4" spans="1:2" x14ac:dyDescent="0.2">
      <c r="A4" t="s">
        <v>1007</v>
      </c>
      <c r="B4" s="138" t="str">
        <f>COVER!A17</f>
        <v>BELLE VALLEY SCHOOL DISTRICT NO. 119</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066-005060</v>
      </c>
    </row>
    <row r="16" spans="1:2" x14ac:dyDescent="0.2">
      <c r="A16" t="s">
        <v>422</v>
      </c>
      <c r="B16" s="138" t="str">
        <f>COVER!T13</f>
        <v>DENNIS ROSE &amp; ASSOCIATES, P.C.</v>
      </c>
    </row>
    <row r="17" spans="1:2" x14ac:dyDescent="0.2">
      <c r="A17" t="s">
        <v>884</v>
      </c>
      <c r="B17" s="138" t="str">
        <f>COVER!T15</f>
        <v>DENNIS ROSE</v>
      </c>
    </row>
    <row r="18" spans="1:2" x14ac:dyDescent="0.2">
      <c r="A18" t="s">
        <v>1150</v>
      </c>
      <c r="B18" s="138" t="str">
        <f>COVER!T17</f>
        <v>1904 STATE STREET</v>
      </c>
    </row>
    <row r="19" spans="1:2" x14ac:dyDescent="0.2">
      <c r="A19" t="s">
        <v>886</v>
      </c>
      <c r="B19" s="138" t="str">
        <f>COVER!T25</f>
        <v>DROSECPA@DRA-CPA.COM</v>
      </c>
    </row>
    <row r="20" spans="1:2" x14ac:dyDescent="0.2">
      <c r="A20" t="s">
        <v>887</v>
      </c>
      <c r="B20" s="138" t="str">
        <f>COVER!T19</f>
        <v>ALTON</v>
      </c>
    </row>
    <row r="21" spans="1:2" x14ac:dyDescent="0.2">
      <c r="A21" t="s">
        <v>479</v>
      </c>
      <c r="B21" s="138" t="str">
        <f>COVER!X19</f>
        <v>IL</v>
      </c>
    </row>
    <row r="22" spans="1:2" x14ac:dyDescent="0.2">
      <c r="A22" t="s">
        <v>888</v>
      </c>
      <c r="B22" s="138">
        <f>COVER!Z19</f>
        <v>62002</v>
      </c>
    </row>
    <row r="23" spans="1:2" x14ac:dyDescent="0.2">
      <c r="A23" t="s">
        <v>1152</v>
      </c>
      <c r="B23" s="138" t="str">
        <f>COVER!T21</f>
        <v>618-465-4999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2533817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2344</v>
      </c>
      <c r="D76" s="2" t="str">
        <f t="shared" si="0"/>
        <v>Error?</v>
      </c>
    </row>
    <row r="77" spans="1:4" x14ac:dyDescent="0.2">
      <c r="A77" s="5">
        <v>16</v>
      </c>
      <c r="B77" s="138">
        <f>'Assets-Liab 5-6'!C13</f>
        <v>7431701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7431701</v>
      </c>
      <c r="D92" s="2" t="str">
        <f t="shared" si="0"/>
        <v>Error?</v>
      </c>
    </row>
    <row r="93" spans="1:4" x14ac:dyDescent="0.2">
      <c r="A93" s="5">
        <v>32</v>
      </c>
      <c r="B93" s="138">
        <f>'Assets-Liab 5-6'!C41</f>
        <v>7431701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418179</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418179</v>
      </c>
      <c r="D123" s="2" t="str">
        <f t="shared" si="0"/>
        <v>Error?</v>
      </c>
    </row>
    <row r="124" spans="1:4" x14ac:dyDescent="0.2">
      <c r="A124" s="5">
        <v>63</v>
      </c>
      <c r="B124" s="138">
        <f>'Assets-Liab 5-6'!D41</f>
        <v>418179</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961217</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961217</v>
      </c>
      <c r="D140" s="2" t="str">
        <f t="shared" si="1"/>
        <v>Error?</v>
      </c>
    </row>
    <row r="141" spans="1:4" x14ac:dyDescent="0.2">
      <c r="A141" s="5">
        <v>80</v>
      </c>
      <c r="B141" s="138">
        <f>'Assets-Liab 5-6'!E41</f>
        <v>961217</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142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142</v>
      </c>
      <c r="D170" s="2" t="str">
        <f t="shared" si="1"/>
        <v>Error?</v>
      </c>
    </row>
    <row r="171" spans="1:4" x14ac:dyDescent="0.2">
      <c r="A171" s="5">
        <v>110</v>
      </c>
      <c r="B171" s="138">
        <f>'Assets-Liab 5-6'!F41</f>
        <v>142</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415999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934135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476572</v>
      </c>
      <c r="D189" s="2" t="str">
        <f t="shared" si="1"/>
        <v>Error?</v>
      </c>
    </row>
    <row r="190" spans="1:4" x14ac:dyDescent="0.2">
      <c r="A190" s="5">
        <v>129</v>
      </c>
      <c r="B190" s="138">
        <f>'Assets-Liab 5-6'!G41</f>
        <v>934135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1086741</v>
      </c>
      <c r="D273" s="2" t="str">
        <f t="shared" si="3"/>
        <v>Error?</v>
      </c>
    </row>
    <row r="274" spans="1:4" x14ac:dyDescent="0.2">
      <c r="A274" s="5">
        <v>213</v>
      </c>
      <c r="B274" s="138">
        <f>'Assets-Liab 5-6'!M17</f>
        <v>32227693</v>
      </c>
      <c r="D274" s="2" t="str">
        <f t="shared" si="3"/>
        <v>Error?</v>
      </c>
    </row>
    <row r="275" spans="1:4" x14ac:dyDescent="0.2">
      <c r="A275" s="5">
        <v>214</v>
      </c>
      <c r="B275" s="138">
        <f>'Assets-Liab 5-6'!M18</f>
        <v>0</v>
      </c>
      <c r="D275" s="2" t="str">
        <f t="shared" si="3"/>
        <v>Error?</v>
      </c>
    </row>
    <row r="276" spans="1:4" x14ac:dyDescent="0.2">
      <c r="A276" s="5">
        <v>215</v>
      </c>
      <c r="B276" s="138">
        <f>'Assets-Liab 5-6'!M19</f>
        <v>1247501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34561935</v>
      </c>
      <c r="C279" s="2" t="s">
        <v>573</v>
      </c>
      <c r="D279" s="2" t="str">
        <f t="shared" si="3"/>
        <v>Error?</v>
      </c>
    </row>
    <row r="280" spans="1:4" x14ac:dyDescent="0.2">
      <c r="A280" s="5">
        <v>219</v>
      </c>
      <c r="B280" s="138">
        <f>'Assets-Liab 5-6'!M40</f>
        <v>34561935</v>
      </c>
      <c r="D280" s="2" t="str">
        <f t="shared" si="3"/>
        <v>Error?</v>
      </c>
    </row>
    <row r="281" spans="1:4" x14ac:dyDescent="0.2">
      <c r="A281" s="5">
        <v>220</v>
      </c>
      <c r="B281" s="138">
        <f>'Assets-Liab 5-6'!M41</f>
        <v>34561935</v>
      </c>
      <c r="C281" s="2" t="s">
        <v>573</v>
      </c>
      <c r="D281" s="2" t="str">
        <f t="shared" si="3"/>
        <v>Error?</v>
      </c>
    </row>
    <row r="282" spans="1:4" x14ac:dyDescent="0.2">
      <c r="A282" s="5">
        <v>221</v>
      </c>
      <c r="B282" s="138">
        <f>'Assets-Liab 5-6'!N21</f>
        <v>961217</v>
      </c>
      <c r="D282" s="2" t="str">
        <f t="shared" si="3"/>
        <v>Error?</v>
      </c>
    </row>
    <row r="283" spans="1:4" x14ac:dyDescent="0.2">
      <c r="A283" s="5">
        <v>222</v>
      </c>
      <c r="B283" s="138">
        <f>'Assets-Liab 5-6'!N22</f>
        <v>32413783</v>
      </c>
      <c r="D283" s="2" t="str">
        <f t="shared" si="3"/>
        <v>Error?</v>
      </c>
    </row>
    <row r="284" spans="1:4" x14ac:dyDescent="0.2">
      <c r="A284" s="5">
        <v>223</v>
      </c>
      <c r="B284" s="138">
        <f>'Assets-Liab 5-6'!N23</f>
        <v>33375000</v>
      </c>
      <c r="C284" s="2" t="s">
        <v>573</v>
      </c>
      <c r="D284" s="2" t="str">
        <f t="shared" si="3"/>
        <v>Error?</v>
      </c>
    </row>
    <row r="285" spans="1:4" x14ac:dyDescent="0.2">
      <c r="A285" s="5">
        <v>224</v>
      </c>
      <c r="B285" s="138">
        <f>'Assets-Liab 5-6'!N36</f>
        <v>33375000</v>
      </c>
      <c r="D285" s="2" t="str">
        <f t="shared" si="3"/>
        <v>Error?</v>
      </c>
    </row>
    <row r="286" spans="1:4" x14ac:dyDescent="0.2">
      <c r="A286" s="10">
        <v>225</v>
      </c>
      <c r="D286" s="2" t="str">
        <f t="shared" si="3"/>
        <v>OK</v>
      </c>
    </row>
    <row r="287" spans="1:4" x14ac:dyDescent="0.2">
      <c r="A287" s="5">
        <v>226</v>
      </c>
      <c r="B287" s="138">
        <f>'Assets-Liab 5-6'!N37</f>
        <v>33375000</v>
      </c>
      <c r="C287" s="2" t="s">
        <v>573</v>
      </c>
      <c r="D287" s="2" t="str">
        <f t="shared" si="3"/>
        <v>Error?</v>
      </c>
    </row>
    <row r="288" spans="1:4" x14ac:dyDescent="0.2">
      <c r="A288" s="5">
        <v>227</v>
      </c>
      <c r="B288" s="138">
        <f>'Assets-Liab 5-6'!N41</f>
        <v>33375000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890715</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2951102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4032560</v>
      </c>
      <c r="C720" s="2" t="s">
        <v>573</v>
      </c>
      <c r="D720" s="2" t="str">
        <f t="shared" si="10"/>
        <v>Error?</v>
      </c>
    </row>
    <row r="721" spans="1:4" x14ac:dyDescent="0.2">
      <c r="A721" s="5">
        <v>660</v>
      </c>
      <c r="B721" s="138">
        <f>'Expenditures 15-22'!C36</f>
        <v>75845</v>
      </c>
      <c r="D721" s="2" t="str">
        <f t="shared" si="10"/>
        <v>Error?</v>
      </c>
    </row>
    <row r="722" spans="1:4" x14ac:dyDescent="0.2">
      <c r="A722" s="5">
        <v>661</v>
      </c>
      <c r="B722" s="138">
        <f>'Expenditures 15-22'!C37</f>
        <v>5810</v>
      </c>
      <c r="D722" s="2" t="str">
        <f t="shared" si="10"/>
        <v>Error?</v>
      </c>
    </row>
    <row r="723" spans="1:4" x14ac:dyDescent="0.2">
      <c r="A723" s="5">
        <v>662</v>
      </c>
      <c r="B723" s="138">
        <f>'Expenditures 15-22'!C38</f>
        <v>56561</v>
      </c>
      <c r="D723" s="2" t="str">
        <f t="shared" si="10"/>
        <v>Error?</v>
      </c>
    </row>
    <row r="724" spans="1:4" x14ac:dyDescent="0.2">
      <c r="A724" s="5">
        <v>663</v>
      </c>
      <c r="B724" s="138">
        <f>'Expenditures 15-22'!C39</f>
        <v>0</v>
      </c>
      <c r="D724" s="2" t="str">
        <f t="shared" si="10"/>
        <v>Error?</v>
      </c>
    </row>
    <row r="725" spans="1:4" x14ac:dyDescent="0.2">
      <c r="A725" s="5">
        <v>664</v>
      </c>
      <c r="B725" s="138">
        <f>'Expenditures 15-22'!C40</f>
        <v>89095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227311</v>
      </c>
      <c r="C727" s="2" t="s">
        <v>573</v>
      </c>
      <c r="D727" s="2" t="str">
        <f t="shared" si="10"/>
        <v>Error?</v>
      </c>
    </row>
    <row r="728" spans="1:4" x14ac:dyDescent="0.2">
      <c r="A728" s="5">
        <v>667</v>
      </c>
      <c r="B728" s="138">
        <f>'Expenditures 15-22'!C44</f>
        <v>32715</v>
      </c>
      <c r="D728" s="2" t="str">
        <f t="shared" si="10"/>
        <v>Error?</v>
      </c>
    </row>
    <row r="729" spans="1:4" x14ac:dyDescent="0.2">
      <c r="A729" s="5">
        <v>668</v>
      </c>
      <c r="B729" s="138">
        <f>'Expenditures 15-22'!C45</f>
        <v>74042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106757</v>
      </c>
      <c r="C731" s="2" t="s">
        <v>573</v>
      </c>
      <c r="D731" s="2" t="str">
        <f t="shared" si="10"/>
        <v>Error?</v>
      </c>
    </row>
    <row r="732" spans="1:4" x14ac:dyDescent="0.2">
      <c r="A732" s="5">
        <v>671</v>
      </c>
      <c r="B732" s="138">
        <f>'Expenditures 15-22'!C49</f>
        <v>20500</v>
      </c>
      <c r="D732" s="2" t="str">
        <f t="shared" si="10"/>
        <v>Error?</v>
      </c>
    </row>
    <row r="733" spans="1:4" x14ac:dyDescent="0.2">
      <c r="A733" s="5">
        <v>672</v>
      </c>
      <c r="B733" s="138">
        <f>'Expenditures 15-22'!C50</f>
        <v>118179</v>
      </c>
      <c r="D733" s="2" t="str">
        <f t="shared" si="10"/>
        <v>Error?</v>
      </c>
    </row>
    <row r="734" spans="1:4" x14ac:dyDescent="0.2">
      <c r="A734" s="5">
        <v>673</v>
      </c>
      <c r="B734" s="138">
        <f>'Expenditures 15-22'!C53</f>
        <v>138679</v>
      </c>
      <c r="C734" s="2" t="s">
        <v>573</v>
      </c>
      <c r="D734" s="2" t="str">
        <f t="shared" si="10"/>
        <v>Error?</v>
      </c>
    </row>
    <row r="735" spans="1:4" x14ac:dyDescent="0.2">
      <c r="A735" s="5">
        <v>674</v>
      </c>
      <c r="B735" s="138">
        <f>'Expenditures 15-22'!C55</f>
        <v>450276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450276</v>
      </c>
      <c r="C737" s="2" t="s">
        <v>573</v>
      </c>
      <c r="D737" s="2" t="str">
        <f t="shared" si="10"/>
        <v>Error?</v>
      </c>
    </row>
    <row r="738" spans="1:4" x14ac:dyDescent="0.2">
      <c r="A738" s="5">
        <v>677</v>
      </c>
      <c r="B738" s="138">
        <f>'Expenditures 15-22'!C59</f>
        <v>87922</v>
      </c>
      <c r="D738" s="2" t="str">
        <f t="shared" si="10"/>
        <v>Error?</v>
      </c>
    </row>
    <row r="739" spans="1:4" x14ac:dyDescent="0.2">
      <c r="A739" s="5">
        <v>678</v>
      </c>
      <c r="B739" s="138">
        <f>'Expenditures 15-22'!C60</f>
        <v>8077</v>
      </c>
      <c r="D739" s="2" t="str">
        <f t="shared" si="10"/>
        <v>Error?</v>
      </c>
    </row>
    <row r="740" spans="1:4" x14ac:dyDescent="0.2">
      <c r="A740" s="5">
        <v>679</v>
      </c>
      <c r="B740" s="138">
        <f>'Expenditures 15-22'!C61</f>
        <v>358478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219809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674286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1597309</v>
      </c>
      <c r="C755" s="2" t="s">
        <v>573</v>
      </c>
      <c r="D755" s="2" t="str">
        <f t="shared" si="10"/>
        <v>Error?</v>
      </c>
    </row>
    <row r="756" spans="1:4" x14ac:dyDescent="0.2">
      <c r="A756" s="5">
        <v>695</v>
      </c>
      <c r="B756" s="138">
        <f>'Expenditures 15-22'!C75</f>
        <v>65031</v>
      </c>
      <c r="D756" s="2" t="str">
        <f t="shared" si="10"/>
        <v>Error?</v>
      </c>
    </row>
    <row r="757" spans="1:4" x14ac:dyDescent="0.2">
      <c r="A757" s="5">
        <v>696</v>
      </c>
      <c r="B757" s="138">
        <f>'Expenditures 15-22'!C114</f>
        <v>5694900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761419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975685</v>
      </c>
      <c r="C778" s="2" t="s">
        <v>573</v>
      </c>
      <c r="D778" s="2" t="str">
        <f t="shared" si="11"/>
        <v>Error?</v>
      </c>
    </row>
    <row r="779" spans="1:4" x14ac:dyDescent="0.2">
      <c r="A779" s="5">
        <v>718</v>
      </c>
      <c r="B779" s="138">
        <f>'Expenditures 15-22'!D36</f>
        <v>28484</v>
      </c>
      <c r="D779" s="2" t="str">
        <f t="shared" si="11"/>
        <v>Error?</v>
      </c>
    </row>
    <row r="780" spans="1:4" x14ac:dyDescent="0.2">
      <c r="A780" s="5">
        <v>719</v>
      </c>
      <c r="B780" s="138">
        <f>'Expenditures 15-22'!D37</f>
        <v>0</v>
      </c>
      <c r="D780" s="2" t="str">
        <f t="shared" si="11"/>
        <v>Error?</v>
      </c>
    </row>
    <row r="781" spans="1:4" x14ac:dyDescent="0.2">
      <c r="A781" s="5">
        <v>720</v>
      </c>
      <c r="B781" s="138">
        <f>'Expenditures 15-22'!D38</f>
        <v>4100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20073</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52657</v>
      </c>
      <c r="C785" s="2" t="s">
        <v>573</v>
      </c>
      <c r="D785" s="2" t="str">
        <f t="shared" si="11"/>
        <v>Error?</v>
      </c>
    </row>
    <row r="786" spans="1:4" x14ac:dyDescent="0.2">
      <c r="A786" s="5">
        <v>725</v>
      </c>
      <c r="B786" s="138">
        <f>'Expenditures 15-22'!D44</f>
        <v>1535</v>
      </c>
      <c r="D786" s="2" t="str">
        <f t="shared" si="11"/>
        <v>Error?</v>
      </c>
    </row>
    <row r="787" spans="1:4" x14ac:dyDescent="0.2">
      <c r="A787" s="5">
        <v>726</v>
      </c>
      <c r="B787" s="138">
        <f>'Expenditures 15-22'!D45</f>
        <v>5047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6582</v>
      </c>
      <c r="C789" s="2" t="s">
        <v>573</v>
      </c>
      <c r="D789" s="2" t="str">
        <f t="shared" si="11"/>
        <v>Error?</v>
      </c>
    </row>
    <row r="790" spans="1:4" x14ac:dyDescent="0.2">
      <c r="A790" s="5">
        <v>729</v>
      </c>
      <c r="B790" s="138">
        <f>'Expenditures 15-22'!D49</f>
        <v>4234</v>
      </c>
      <c r="D790" s="2" t="str">
        <f t="shared" si="11"/>
        <v>Error?</v>
      </c>
    </row>
    <row r="791" spans="1:4" x14ac:dyDescent="0.2">
      <c r="A791" s="5">
        <v>730</v>
      </c>
      <c r="B791" s="138">
        <f>'Expenditures 15-22'!D50</f>
        <v>35768</v>
      </c>
      <c r="D791" s="2" t="str">
        <f t="shared" si="11"/>
        <v>Error?</v>
      </c>
    </row>
    <row r="792" spans="1:4" x14ac:dyDescent="0.2">
      <c r="A792" s="5">
        <v>731</v>
      </c>
      <c r="B792" s="138">
        <f>'Expenditures 15-22'!D53</f>
        <v>40002</v>
      </c>
      <c r="C792" s="2" t="s">
        <v>573</v>
      </c>
      <c r="D792" s="2" t="str">
        <f t="shared" si="11"/>
        <v>Error?</v>
      </c>
    </row>
    <row r="793" spans="1:4" x14ac:dyDescent="0.2">
      <c r="A793" s="5">
        <v>732</v>
      </c>
      <c r="B793" s="138">
        <f>'Expenditures 15-22'!D55</f>
        <v>99409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99409</v>
      </c>
      <c r="C795" s="2" t="s">
        <v>573</v>
      </c>
      <c r="D795" s="2" t="str">
        <f t="shared" si="11"/>
        <v>Error?</v>
      </c>
    </row>
    <row r="796" spans="1:4" x14ac:dyDescent="0.2">
      <c r="A796" s="5">
        <v>735</v>
      </c>
      <c r="B796" s="138">
        <f>'Expenditures 15-22'!D59</f>
        <v>18649</v>
      </c>
      <c r="D796" s="2" t="str">
        <f t="shared" si="11"/>
        <v>Error?</v>
      </c>
    </row>
    <row r="797" spans="1:4" x14ac:dyDescent="0.2">
      <c r="A797" s="5">
        <v>736</v>
      </c>
      <c r="B797" s="138">
        <f>'Expenditures 15-22'!D60</f>
        <v>1386</v>
      </c>
      <c r="D797" s="2" t="str">
        <f t="shared" si="11"/>
        <v>Error?</v>
      </c>
    </row>
    <row r="798" spans="1:4" x14ac:dyDescent="0.2">
      <c r="A798" s="5">
        <v>737</v>
      </c>
      <c r="B798" s="138">
        <f>'Expenditures 15-22'!D61</f>
        <v>32732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52767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251417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1227102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45865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48400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78837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17625</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96462</v>
      </c>
      <c r="C843" s="2" t="s">
        <v>573</v>
      </c>
      <c r="D843" s="2" t="str">
        <f t="shared" si="12"/>
        <v>Error?</v>
      </c>
    </row>
    <row r="844" spans="1:4" x14ac:dyDescent="0.2">
      <c r="A844" s="5">
        <v>783</v>
      </c>
      <c r="B844" s="138">
        <f>'Expenditures 15-22'!E44</f>
        <v>24645</v>
      </c>
      <c r="D844" s="2" t="str">
        <f t="shared" si="12"/>
        <v>Error?</v>
      </c>
    </row>
    <row r="845" spans="1:4" x14ac:dyDescent="0.2">
      <c r="A845" s="5">
        <v>784</v>
      </c>
      <c r="B845" s="138">
        <f>'Expenditures 15-22'!E45</f>
        <v>2482</v>
      </c>
      <c r="D845" s="2" t="str">
        <f t="shared" si="12"/>
        <v>Error?</v>
      </c>
    </row>
    <row r="846" spans="1:4" x14ac:dyDescent="0.2">
      <c r="A846" s="5">
        <v>785</v>
      </c>
      <c r="B846" s="138">
        <f>'Expenditures 15-22'!E46</f>
        <v>30886</v>
      </c>
      <c r="D846" s="2" t="str">
        <f t="shared" si="12"/>
        <v>Error?</v>
      </c>
    </row>
    <row r="847" spans="1:4" x14ac:dyDescent="0.2">
      <c r="A847" s="5">
        <v>786</v>
      </c>
      <c r="B847" s="138">
        <f>'Expenditures 15-22'!E47</f>
        <v>58013</v>
      </c>
      <c r="C847" s="2" t="s">
        <v>573</v>
      </c>
      <c r="D847" s="2" t="str">
        <f t="shared" si="12"/>
        <v>Error?</v>
      </c>
    </row>
    <row r="848" spans="1:4" x14ac:dyDescent="0.2">
      <c r="A848" s="5">
        <v>787</v>
      </c>
      <c r="B848" s="138">
        <f>'Expenditures 15-22'!E49</f>
        <v>68348</v>
      </c>
      <c r="D848" s="2" t="str">
        <f t="shared" si="12"/>
        <v>Error?</v>
      </c>
    </row>
    <row r="849" spans="1:4" x14ac:dyDescent="0.2">
      <c r="A849" s="5">
        <v>788</v>
      </c>
      <c r="B849" s="138">
        <f>'Expenditures 15-22'!E50</f>
        <v>0</v>
      </c>
      <c r="D849" s="2" t="str">
        <f t="shared" si="12"/>
        <v>Error?</v>
      </c>
    </row>
    <row r="850" spans="1:4" x14ac:dyDescent="0.2">
      <c r="A850" s="5">
        <v>789</v>
      </c>
      <c r="B850" s="138">
        <f>'Expenditures 15-22'!E53</f>
        <v>68348</v>
      </c>
      <c r="C850" s="2" t="s">
        <v>573</v>
      </c>
      <c r="D850" s="2" t="str">
        <f t="shared" si="12"/>
        <v>Error?</v>
      </c>
    </row>
    <row r="851" spans="1:4" x14ac:dyDescent="0.2">
      <c r="A851" s="5">
        <v>790</v>
      </c>
      <c r="B851" s="138">
        <f>'Expenditures 15-22'!E55</f>
        <v>5652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5652</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27443</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301819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329262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557737</v>
      </c>
      <c r="C871" s="2" t="s">
        <v>573</v>
      </c>
      <c r="D871" s="2" t="str">
        <f t="shared" si="12"/>
        <v>Error?</v>
      </c>
    </row>
    <row r="872" spans="1:4" x14ac:dyDescent="0.2">
      <c r="A872" s="5">
        <v>811</v>
      </c>
      <c r="B872" s="138">
        <f>'Expenditures 15-22'!E75</f>
        <v>17837</v>
      </c>
      <c r="D872" s="2" t="str">
        <f t="shared" si="12"/>
        <v>Error?</v>
      </c>
    </row>
    <row r="873" spans="1:4" x14ac:dyDescent="0.2">
      <c r="A873" s="5">
        <v>812</v>
      </c>
      <c r="B873" s="138">
        <f>'Expenditures 15-22'!E114</f>
        <v>623974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226260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239921</v>
      </c>
      <c r="C894" s="2" t="s">
        <v>573</v>
      </c>
      <c r="D894" s="2" t="str">
        <f t="shared" si="12"/>
        <v>Error?</v>
      </c>
    </row>
    <row r="895" spans="1:4" x14ac:dyDescent="0.2">
      <c r="A895" s="5">
        <v>834</v>
      </c>
      <c r="B895" s="138">
        <f>'Expenditures 15-22'!F36</f>
        <v>1323</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2313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1220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4856</v>
      </c>
      <c r="C901" s="2" t="s">
        <v>573</v>
      </c>
      <c r="D901" s="2" t="str">
        <f t="shared" si="13"/>
        <v>Error?</v>
      </c>
    </row>
    <row r="902" spans="1:4" x14ac:dyDescent="0.2">
      <c r="A902" s="5">
        <v>841</v>
      </c>
      <c r="B902" s="138">
        <f>'Expenditures 15-22'!F44</f>
        <v>4968</v>
      </c>
      <c r="D902" s="2" t="str">
        <f t="shared" si="13"/>
        <v>Error?</v>
      </c>
    </row>
    <row r="903" spans="1:4" x14ac:dyDescent="0.2">
      <c r="A903" s="5">
        <v>842</v>
      </c>
      <c r="B903" s="138">
        <f>'Expenditures 15-22'!F45</f>
        <v>19562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24530</v>
      </c>
      <c r="C905" s="2" t="s">
        <v>573</v>
      </c>
      <c r="D905" s="2" t="str">
        <f t="shared" si="13"/>
        <v>Error?</v>
      </c>
    </row>
    <row r="906" spans="1:4" x14ac:dyDescent="0.2">
      <c r="A906" s="5">
        <v>845</v>
      </c>
      <c r="B906" s="138">
        <f>'Expenditures 15-22'!F49</f>
        <v>3811</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3811</v>
      </c>
      <c r="C908" s="2" t="s">
        <v>573</v>
      </c>
      <c r="D908" s="2" t="str">
        <f t="shared" si="13"/>
        <v>Error?</v>
      </c>
    </row>
    <row r="909" spans="1:4" x14ac:dyDescent="0.2">
      <c r="A909" s="5">
        <v>848</v>
      </c>
      <c r="B909" s="138">
        <f>'Expenditures 15-22'!F55</f>
        <v>1030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1030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225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49341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49566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500</v>
      </c>
      <c r="D928" s="2" t="str">
        <f t="shared" si="13"/>
        <v>Error?</v>
      </c>
    </row>
    <row r="929" spans="1:4" x14ac:dyDescent="0.2">
      <c r="A929" s="5">
        <v>868</v>
      </c>
      <c r="B929" s="138">
        <f>'Expenditures 15-22'!F74</f>
        <v>84293</v>
      </c>
      <c r="C929" s="2" t="s">
        <v>573</v>
      </c>
      <c r="D929" s="2" t="str">
        <f t="shared" si="13"/>
        <v>Error?</v>
      </c>
    </row>
    <row r="930" spans="1:4" x14ac:dyDescent="0.2">
      <c r="A930" s="5">
        <v>869</v>
      </c>
      <c r="B930" s="138">
        <f>'Expenditures 15-22'!F75</f>
        <v>14649</v>
      </c>
      <c r="D930" s="2" t="str">
        <f t="shared" si="13"/>
        <v>Error?</v>
      </c>
    </row>
    <row r="931" spans="1:4" x14ac:dyDescent="0.2">
      <c r="A931" s="5">
        <v>870</v>
      </c>
      <c r="B931" s="138">
        <f>'Expenditures 15-22'!F114</f>
        <v>338863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104257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134345</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4253</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4253</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4253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138598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11880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1075</v>
      </c>
      <c r="D1023" s="2" t="str">
        <f t="shared" ref="D1023:D1086" si="15">IF(ISBLANK(B1023),"OK",IF(A1023-B1023=0,"OK","Error?"))</f>
        <v>Error?</v>
      </c>
    </row>
    <row r="1024" spans="1:4" x14ac:dyDescent="0.2">
      <c r="A1024" s="5">
        <v>963</v>
      </c>
      <c r="B1024" s="138">
        <f>'Expenditures 15-22'!H53</f>
        <v>1075</v>
      </c>
      <c r="C1024" s="2" t="s">
        <v>573</v>
      </c>
      <c r="D1024" s="2" t="str">
        <f t="shared" si="15"/>
        <v>Error?</v>
      </c>
    </row>
    <row r="1025" spans="1:4" x14ac:dyDescent="0.2">
      <c r="A1025" s="5">
        <v>964</v>
      </c>
      <c r="B1025" s="138">
        <f>'Expenditures 15-22'!H55</f>
        <v>630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630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1705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387162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400747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4088903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5442791</v>
      </c>
      <c r="C1108" s="2" t="s">
        <v>573</v>
      </c>
      <c r="D1108" s="2" t="str">
        <f t="shared" si="16"/>
        <v>Error?</v>
      </c>
    </row>
    <row r="1109" spans="1:4" x14ac:dyDescent="0.2">
      <c r="A1109" s="5">
        <v>1048</v>
      </c>
      <c r="B1109" s="138">
        <f>'Expenditures 15-22'!K36</f>
        <v>105652</v>
      </c>
      <c r="C1109" s="2" t="s">
        <v>573</v>
      </c>
      <c r="D1109" s="2" t="str">
        <f t="shared" si="16"/>
        <v>Error?</v>
      </c>
    </row>
    <row r="1110" spans="1:4" x14ac:dyDescent="0.2">
      <c r="A1110" s="5">
        <v>1049</v>
      </c>
      <c r="B1110" s="138">
        <f>'Expenditures 15-22'!K37</f>
        <v>5810</v>
      </c>
      <c r="C1110" s="2" t="s">
        <v>573</v>
      </c>
      <c r="D1110" s="2" t="str">
        <f t="shared" si="16"/>
        <v>Error?</v>
      </c>
    </row>
    <row r="1111" spans="1:4" x14ac:dyDescent="0.2">
      <c r="A1111" s="5">
        <v>1050</v>
      </c>
      <c r="B1111" s="138">
        <f>'Expenditures 15-22'!K38</f>
        <v>141811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128013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381286</v>
      </c>
      <c r="C1115" s="2" t="s">
        <v>573</v>
      </c>
      <c r="D1115" s="2" t="str">
        <f t="shared" si="16"/>
        <v>Error?</v>
      </c>
    </row>
    <row r="1116" spans="1:4" x14ac:dyDescent="0.2">
      <c r="A1116" s="5">
        <v>1055</v>
      </c>
      <c r="B1116" s="138">
        <f>'Expenditures 15-22'!K44</f>
        <v>63863</v>
      </c>
      <c r="C1116" s="2" t="s">
        <v>573</v>
      </c>
      <c r="D1116" s="2" t="str">
        <f t="shared" si="16"/>
        <v>Error?</v>
      </c>
    </row>
    <row r="1117" spans="1:4" x14ac:dyDescent="0.2">
      <c r="A1117" s="5">
        <v>1056</v>
      </c>
      <c r="B1117" s="138">
        <f>'Expenditures 15-22'!K45</f>
        <v>101133</v>
      </c>
      <c r="C1117" s="2" t="s">
        <v>573</v>
      </c>
      <c r="D1117" s="2" t="str">
        <f t="shared" si="16"/>
        <v>Error?</v>
      </c>
    </row>
    <row r="1118" spans="1:4" x14ac:dyDescent="0.2">
      <c r="A1118" s="5">
        <v>1057</v>
      </c>
      <c r="B1118" s="138">
        <f>'Expenditures 15-22'!K46</f>
        <v>30886</v>
      </c>
      <c r="C1118" s="2" t="s">
        <v>573</v>
      </c>
      <c r="D1118" s="2" t="str">
        <f t="shared" si="16"/>
        <v>Error?</v>
      </c>
    </row>
    <row r="1119" spans="1:4" x14ac:dyDescent="0.2">
      <c r="A1119" s="5">
        <v>1058</v>
      </c>
      <c r="B1119" s="138">
        <f>'Expenditures 15-22'!K47</f>
        <v>195882</v>
      </c>
      <c r="C1119" s="2" t="s">
        <v>573</v>
      </c>
      <c r="D1119" s="2" t="str">
        <f t="shared" si="16"/>
        <v>Error?</v>
      </c>
    </row>
    <row r="1120" spans="1:4" x14ac:dyDescent="0.2">
      <c r="A1120" s="5">
        <v>1059</v>
      </c>
      <c r="B1120" s="138">
        <f>'Expenditures 15-22'!K49</f>
        <v>96893</v>
      </c>
      <c r="C1120" s="2" t="s">
        <v>573</v>
      </c>
      <c r="D1120" s="2" t="str">
        <f t="shared" si="16"/>
        <v>Error?</v>
      </c>
    </row>
    <row r="1121" spans="1:4" x14ac:dyDescent="0.2">
      <c r="A1121" s="5">
        <v>1060</v>
      </c>
      <c r="B1121" s="138">
        <f>'Expenditures 15-22'!K50</f>
        <v>155022</v>
      </c>
      <c r="C1121" s="2" t="s">
        <v>573</v>
      </c>
      <c r="D1121" s="2" t="str">
        <f t="shared" si="16"/>
        <v>Error?</v>
      </c>
    </row>
    <row r="1122" spans="1:4" x14ac:dyDescent="0.2">
      <c r="A1122" s="5">
        <v>1061</v>
      </c>
      <c r="B1122" s="138">
        <f>'Expenditures 15-22'!K53</f>
        <v>251915</v>
      </c>
      <c r="C1122" s="2" t="s">
        <v>573</v>
      </c>
      <c r="D1122" s="2" t="str">
        <f t="shared" si="16"/>
        <v>Error?</v>
      </c>
    </row>
    <row r="1123" spans="1:4" x14ac:dyDescent="0.2">
      <c r="A1123" s="5">
        <v>1062</v>
      </c>
      <c r="B1123" s="138">
        <f>'Expenditures 15-22'!K55</f>
        <v>556997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556997</v>
      </c>
      <c r="C1125" s="2" t="s">
        <v>573</v>
      </c>
      <c r="D1125" s="2" t="str">
        <f t="shared" si="16"/>
        <v>Error?</v>
      </c>
    </row>
    <row r="1126" spans="1:4" x14ac:dyDescent="0.2">
      <c r="A1126" s="5">
        <v>1065</v>
      </c>
      <c r="B1126" s="138">
        <f>'Expenditures 15-22'!K59</f>
        <v>106571</v>
      </c>
      <c r="C1126" s="2" t="s">
        <v>573</v>
      </c>
      <c r="D1126" s="2" t="str">
        <f t="shared" si="16"/>
        <v>Error?</v>
      </c>
    </row>
    <row r="1127" spans="1:4" x14ac:dyDescent="0.2">
      <c r="A1127" s="5">
        <v>1066</v>
      </c>
      <c r="B1127" s="138">
        <f>'Expenditures 15-22'!K60</f>
        <v>9463</v>
      </c>
      <c r="C1127" s="2" t="s">
        <v>573</v>
      </c>
      <c r="D1127" s="2" t="str">
        <f t="shared" si="16"/>
        <v>Error?</v>
      </c>
    </row>
    <row r="1128" spans="1:4" x14ac:dyDescent="0.2">
      <c r="A1128" s="5">
        <v>1067</v>
      </c>
      <c r="B1128" s="138">
        <f>'Expenditures 15-22'!K61</f>
        <v>418878</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575222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1110134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500</v>
      </c>
      <c r="C1142" s="2" t="s">
        <v>573</v>
      </c>
      <c r="D1142" s="2" t="str">
        <f t="shared" si="16"/>
        <v>Error?</v>
      </c>
    </row>
    <row r="1143" spans="1:4" x14ac:dyDescent="0.2">
      <c r="A1143" s="5">
        <v>1082</v>
      </c>
      <c r="B1143" s="138">
        <f>'Expenditures 15-22'!K74</f>
        <v>2496714</v>
      </c>
      <c r="C1143" s="2" t="s">
        <v>573</v>
      </c>
      <c r="D1143" s="2" t="str">
        <f t="shared" si="16"/>
        <v>Error?</v>
      </c>
    </row>
    <row r="1144" spans="1:4" x14ac:dyDescent="0.2">
      <c r="A1144" s="5">
        <v>1083</v>
      </c>
      <c r="B1144" s="138">
        <f>'Expenditures 15-22'!K75</f>
        <v>97517</v>
      </c>
      <c r="C1144" s="2" t="s">
        <v>573</v>
      </c>
      <c r="D1144" s="2" t="str">
        <f t="shared" si="16"/>
        <v>Error?</v>
      </c>
    </row>
    <row r="1145" spans="1:4" x14ac:dyDescent="0.2">
      <c r="A1145" s="5">
        <v>1084</v>
      </c>
      <c r="B1145" s="138">
        <f>'Expenditures 15-22'!K102</f>
        <v>387162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8424184</v>
      </c>
      <c r="C1152" s="2" t="s">
        <v>573</v>
      </c>
      <c r="D1152" s="2" t="str">
        <f t="shared" si="17"/>
        <v>Error?</v>
      </c>
    </row>
    <row r="1153" spans="1:4" x14ac:dyDescent="0.2">
      <c r="A1153" s="5">
        <v>1092</v>
      </c>
      <c r="B1153" s="138">
        <f>'Expenditures 15-22'!K115</f>
        <v>1078148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336939</v>
      </c>
      <c r="D1237" s="2" t="str">
        <f t="shared" si="18"/>
        <v>Error?</v>
      </c>
    </row>
    <row r="1238" spans="1:4" x14ac:dyDescent="0.2">
      <c r="A1238" s="10">
        <v>1177</v>
      </c>
      <c r="D1238" s="2" t="str">
        <f t="shared" si="18"/>
        <v>OK</v>
      </c>
    </row>
    <row r="1239" spans="1:4" x14ac:dyDescent="0.2">
      <c r="A1239" s="5">
        <v>1178</v>
      </c>
      <c r="B1239" s="138">
        <f>'Expenditures 15-22'!E127</f>
        <v>336939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336939</v>
      </c>
      <c r="C1241" s="2" t="s">
        <v>573</v>
      </c>
      <c r="D1241" s="2" t="str">
        <f t="shared" si="18"/>
        <v>Error?</v>
      </c>
    </row>
    <row r="1242" spans="1:4" x14ac:dyDescent="0.2">
      <c r="A1242" s="5">
        <v>1181</v>
      </c>
      <c r="B1242" s="138">
        <f>'Expenditures 15-22'!E151</f>
        <v>336939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61737</v>
      </c>
      <c r="D1245" s="2" t="str">
        <f t="shared" si="18"/>
        <v>Error?</v>
      </c>
    </row>
    <row r="1246" spans="1:4" x14ac:dyDescent="0.2">
      <c r="A1246" s="10">
        <v>1185</v>
      </c>
      <c r="D1246" s="2" t="str">
        <f t="shared" si="18"/>
        <v>OK</v>
      </c>
    </row>
    <row r="1247" spans="1:4" x14ac:dyDescent="0.2">
      <c r="A1247" s="5">
        <v>1186</v>
      </c>
      <c r="B1247" s="138">
        <f>'Expenditures 15-22'!F127</f>
        <v>61737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61737</v>
      </c>
      <c r="C1249" s="2" t="s">
        <v>573</v>
      </c>
      <c r="D1249" s="2" t="str">
        <f t="shared" si="18"/>
        <v>Error?</v>
      </c>
    </row>
    <row r="1250" spans="1:4" x14ac:dyDescent="0.2">
      <c r="A1250" s="5">
        <v>1189</v>
      </c>
      <c r="B1250" s="138">
        <f>'Expenditures 15-22'!F151</f>
        <v>61737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41186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41186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41186</v>
      </c>
      <c r="C1258" s="2" t="s">
        <v>573</v>
      </c>
      <c r="D1258" s="2" t="str">
        <f t="shared" si="18"/>
        <v>Error?</v>
      </c>
    </row>
    <row r="1259" spans="1:4" x14ac:dyDescent="0.2">
      <c r="A1259" s="5">
        <v>1198</v>
      </c>
      <c r="B1259" s="138">
        <f>'Expenditures 15-22'!G151</f>
        <v>41186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439862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439862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439862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439862</v>
      </c>
      <c r="C1288" s="2" t="s">
        <v>573</v>
      </c>
      <c r="D1288" s="2" t="str">
        <f t="shared" si="19"/>
        <v>Error?</v>
      </c>
    </row>
    <row r="1289" spans="1:4" x14ac:dyDescent="0.2">
      <c r="A1289" s="5">
        <v>1228</v>
      </c>
      <c r="B1289" s="138">
        <f>'Expenditures 15-22'!K152</f>
        <v>-111106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2130937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1051</v>
      </c>
      <c r="C1314" s="2" t="s">
        <v>573</v>
      </c>
      <c r="D1314" s="2" t="str">
        <f t="shared" si="19"/>
        <v>Error?</v>
      </c>
    </row>
    <row r="1315" spans="1:4" x14ac:dyDescent="0.2">
      <c r="A1315" s="5">
        <v>1254</v>
      </c>
      <c r="B1315" s="138">
        <f>'Expenditures 15-22'!H170</f>
        <v>19970000</v>
      </c>
      <c r="D1315" s="2" t="str">
        <f t="shared" si="19"/>
        <v>Error?</v>
      </c>
    </row>
    <row r="1316" spans="1:4" x14ac:dyDescent="0.2">
      <c r="A1316" s="5">
        <v>1255</v>
      </c>
      <c r="B1316" s="138">
        <f>'Expenditures 15-22'!H171</f>
        <v>353405</v>
      </c>
      <c r="D1316" s="2" t="str">
        <f t="shared" si="19"/>
        <v>Error?</v>
      </c>
    </row>
    <row r="1317" spans="1:4" x14ac:dyDescent="0.2">
      <c r="A1317" s="5">
        <v>1256</v>
      </c>
      <c r="B1317" s="138">
        <f>'Expenditures 15-22'!H172</f>
        <v>22455393</v>
      </c>
      <c r="C1317" s="2" t="s">
        <v>573</v>
      </c>
      <c r="D1317" s="2" t="str">
        <f t="shared" si="19"/>
        <v>Error?</v>
      </c>
    </row>
    <row r="1318" spans="1:4" x14ac:dyDescent="0.2">
      <c r="A1318" s="5">
        <v>1257</v>
      </c>
      <c r="B1318" s="138">
        <f>'Expenditures 15-22'!H174</f>
        <v>22455393</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2130937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1051</v>
      </c>
      <c r="C1328" s="2" t="s">
        <v>573</v>
      </c>
      <c r="D1328" s="2" t="str">
        <f t="shared" si="19"/>
        <v>Error?</v>
      </c>
    </row>
    <row r="1329" spans="1:4" x14ac:dyDescent="0.2">
      <c r="A1329" s="5">
        <v>1268</v>
      </c>
      <c r="B1329" s="138">
        <f>'Expenditures 15-22'!K170</f>
        <v>19970000</v>
      </c>
      <c r="C1329" s="2" t="s">
        <v>573</v>
      </c>
      <c r="D1329" s="2" t="str">
        <f t="shared" si="19"/>
        <v>Error?</v>
      </c>
    </row>
    <row r="1330" spans="1:4" x14ac:dyDescent="0.2">
      <c r="A1330" s="5">
        <v>1269</v>
      </c>
      <c r="B1330" s="138">
        <f>'Expenditures 15-22'!K171</f>
        <v>353405</v>
      </c>
      <c r="C1330" s="2" t="s">
        <v>573</v>
      </c>
      <c r="D1330" s="2" t="str">
        <f t="shared" si="19"/>
        <v>Error?</v>
      </c>
    </row>
    <row r="1331" spans="1:4" x14ac:dyDescent="0.2">
      <c r="A1331" s="5">
        <v>1270</v>
      </c>
      <c r="B1331" s="138">
        <f>'Expenditures 15-22'!K172</f>
        <v>22455393</v>
      </c>
      <c r="C1331" s="2" t="s">
        <v>573</v>
      </c>
      <c r="D1331" s="2" t="str">
        <f t="shared" si="19"/>
        <v>Error?</v>
      </c>
    </row>
    <row r="1332" spans="1:4" x14ac:dyDescent="0.2">
      <c r="A1332" s="5">
        <v>1271</v>
      </c>
      <c r="B1332" s="138">
        <f>'Expenditures 15-22'!K174</f>
        <v>22455393</v>
      </c>
      <c r="C1332" s="2" t="s">
        <v>573</v>
      </c>
      <c r="D1332" s="2" t="str">
        <f t="shared" si="19"/>
        <v>Error?</v>
      </c>
    </row>
    <row r="1333" spans="1:4" x14ac:dyDescent="0.2">
      <c r="A1333" s="5">
        <v>1272</v>
      </c>
      <c r="B1333" s="138">
        <f>'Expenditures 15-22'!K175</f>
        <v>-19825345</v>
      </c>
      <c r="C1333" s="2" t="s">
        <v>573</v>
      </c>
      <c r="D1333" s="2" t="str">
        <f t="shared" si="19"/>
        <v>Error?</v>
      </c>
    </row>
    <row r="1334" spans="1:4" x14ac:dyDescent="0.2">
      <c r="A1334" s="10">
        <v>1273</v>
      </c>
      <c r="D1334" s="2" t="str">
        <f t="shared" si="19"/>
        <v>OK</v>
      </c>
    </row>
    <row r="1335" spans="1:4" x14ac:dyDescent="0.2">
      <c r="A1335" s="5">
        <v>1274</v>
      </c>
      <c r="B1335" s="138">
        <f>'Expenditures 15-22'!C182</f>
        <v>42012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42012</v>
      </c>
      <c r="C1339" s="2" t="s">
        <v>573</v>
      </c>
      <c r="D1339" s="2" t="str">
        <f t="shared" si="19"/>
        <v>Error?</v>
      </c>
    </row>
    <row r="1340" spans="1:4" x14ac:dyDescent="0.2">
      <c r="A1340" s="5">
        <v>1279</v>
      </c>
      <c r="B1340" s="138">
        <f>'Expenditures 15-22'!C210</f>
        <v>42012</v>
      </c>
      <c r="C1340" s="2" t="s">
        <v>573</v>
      </c>
      <c r="D1340" s="2" t="str">
        <f t="shared" si="19"/>
        <v>Error?</v>
      </c>
    </row>
    <row r="1341" spans="1:4" x14ac:dyDescent="0.2">
      <c r="A1341" s="5">
        <v>1280</v>
      </c>
      <c r="B1341" s="138">
        <f>'Expenditures 15-22'!D182</f>
        <v>1561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1561</v>
      </c>
      <c r="C1345" s="2" t="s">
        <v>573</v>
      </c>
      <c r="D1345" s="2" t="str">
        <f t="shared" si="20"/>
        <v>Error?</v>
      </c>
    </row>
    <row r="1346" spans="1:4" x14ac:dyDescent="0.2">
      <c r="A1346" s="5">
        <v>1285</v>
      </c>
      <c r="B1346" s="138">
        <f>'Expenditures 15-22'!D210</f>
        <v>1561</v>
      </c>
      <c r="C1346" s="2" t="s">
        <v>573</v>
      </c>
      <c r="D1346" s="2" t="str">
        <f t="shared" si="20"/>
        <v>Error?</v>
      </c>
    </row>
    <row r="1347" spans="1:4" x14ac:dyDescent="0.2">
      <c r="A1347" s="5">
        <v>1286</v>
      </c>
      <c r="B1347" s="138">
        <f>'Expenditures 15-22'!E182</f>
        <v>514997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514997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514997</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558570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558570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558570</v>
      </c>
      <c r="C1388" s="2" t="s">
        <v>573</v>
      </c>
      <c r="D1388" s="2" t="str">
        <f t="shared" si="20"/>
        <v>Error?</v>
      </c>
    </row>
    <row r="1389" spans="1:4" x14ac:dyDescent="0.2">
      <c r="A1389" s="5">
        <v>1328</v>
      </c>
      <c r="B1389" s="138">
        <f>'Expenditures 15-22'!K211</f>
        <v>-73363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124974</v>
      </c>
      <c r="C1410" s="2" t="s">
        <v>573</v>
      </c>
      <c r="D1410" s="2" t="str">
        <f t="shared" si="21"/>
        <v>Error?</v>
      </c>
    </row>
    <row r="1411" spans="1:4" x14ac:dyDescent="0.2">
      <c r="A1411" s="5">
        <v>1350</v>
      </c>
      <c r="B1411" s="138">
        <f>'Expenditures 15-22'!D232</f>
        <v>1032</v>
      </c>
      <c r="D1411" s="2" t="str">
        <f t="shared" si="21"/>
        <v>Error?</v>
      </c>
    </row>
    <row r="1412" spans="1:4" x14ac:dyDescent="0.2">
      <c r="A1412" s="5">
        <v>1351</v>
      </c>
      <c r="B1412" s="138">
        <f>'Expenditures 15-22'!D233</f>
        <v>1017</v>
      </c>
      <c r="D1412" s="2" t="str">
        <f t="shared" si="21"/>
        <v>Error?</v>
      </c>
    </row>
    <row r="1413" spans="1:4" x14ac:dyDescent="0.2">
      <c r="A1413" s="5">
        <v>1352</v>
      </c>
      <c r="B1413" s="138">
        <f>'Expenditures 15-22'!D234</f>
        <v>8578</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1286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11913</v>
      </c>
      <c r="C1417" s="2" t="s">
        <v>573</v>
      </c>
      <c r="D1417" s="2" t="str">
        <f t="shared" si="21"/>
        <v>Error?</v>
      </c>
    </row>
    <row r="1418" spans="1:4" x14ac:dyDescent="0.2">
      <c r="A1418" s="5">
        <v>1357</v>
      </c>
      <c r="B1418" s="138">
        <f>'Expenditures 15-22'!D240</f>
        <v>428</v>
      </c>
      <c r="D1418" s="2" t="str">
        <f t="shared" si="21"/>
        <v>Error?</v>
      </c>
    </row>
    <row r="1419" spans="1:4" x14ac:dyDescent="0.2">
      <c r="A1419" s="5">
        <v>1358</v>
      </c>
      <c r="B1419" s="138">
        <f>'Expenditures 15-22'!D241</f>
        <v>4949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5377</v>
      </c>
      <c r="C1421" s="2" t="s">
        <v>573</v>
      </c>
      <c r="D1421" s="2" t="str">
        <f t="shared" si="21"/>
        <v>Error?</v>
      </c>
    </row>
    <row r="1422" spans="1:4" x14ac:dyDescent="0.2">
      <c r="A1422" s="5">
        <v>1361</v>
      </c>
      <c r="B1422" s="138">
        <f>'Expenditures 15-22'!D245</f>
        <v>3305</v>
      </c>
      <c r="D1422" s="2" t="str">
        <f t="shared" si="21"/>
        <v>Error?</v>
      </c>
    </row>
    <row r="1423" spans="1:4" x14ac:dyDescent="0.2">
      <c r="A1423" s="5">
        <v>1362</v>
      </c>
      <c r="B1423" s="138">
        <f>'Expenditures 15-22'!D246</f>
        <v>1788</v>
      </c>
      <c r="D1423" s="2" t="str">
        <f t="shared" si="21"/>
        <v>Error?</v>
      </c>
    </row>
    <row r="1424" spans="1:4" x14ac:dyDescent="0.2">
      <c r="A1424" s="5">
        <v>1363</v>
      </c>
      <c r="B1424" s="138">
        <f>'Expenditures 15-22'!D257</f>
        <v>6421</v>
      </c>
      <c r="C1424" s="2" t="s">
        <v>573</v>
      </c>
      <c r="D1424" s="2" t="str">
        <f t="shared" si="21"/>
        <v>Error?</v>
      </c>
    </row>
    <row r="1425" spans="1:4" x14ac:dyDescent="0.2">
      <c r="A1425" s="5">
        <v>1364</v>
      </c>
      <c r="B1425" s="138">
        <f>'Expenditures 15-22'!D259</f>
        <v>31219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31219</v>
      </c>
      <c r="C1427" s="2" t="s">
        <v>573</v>
      </c>
      <c r="D1427" s="2" t="str">
        <f t="shared" si="21"/>
        <v>Error?</v>
      </c>
    </row>
    <row r="1428" spans="1:4" x14ac:dyDescent="0.2">
      <c r="A1428" s="5">
        <v>1367</v>
      </c>
      <c r="B1428" s="138">
        <f>'Expenditures 15-22'!D263</f>
        <v>1158</v>
      </c>
      <c r="D1428" s="2" t="str">
        <f t="shared" si="21"/>
        <v>Error?</v>
      </c>
    </row>
    <row r="1429" spans="1:4" x14ac:dyDescent="0.2">
      <c r="A1429" s="5">
        <v>1368</v>
      </c>
      <c r="B1429" s="138">
        <f>'Expenditures 15-22'!D264</f>
        <v>1229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55346</v>
      </c>
      <c r="D1431" s="2" t="str">
        <f t="shared" si="21"/>
        <v>Error?</v>
      </c>
    </row>
    <row r="1432" spans="1:4" x14ac:dyDescent="0.2">
      <c r="A1432" s="5">
        <v>1371</v>
      </c>
      <c r="B1432" s="138">
        <f>'Expenditures 15-22'!D267</f>
        <v>5862</v>
      </c>
      <c r="D1432" s="2" t="str">
        <f t="shared" si="21"/>
        <v>Error?</v>
      </c>
    </row>
    <row r="1433" spans="1:4" x14ac:dyDescent="0.2">
      <c r="A1433" s="5">
        <v>1372</v>
      </c>
      <c r="B1433" s="138">
        <f>'Expenditures 15-22'!D268</f>
        <v>32573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96168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151098</v>
      </c>
      <c r="C1446" s="2" t="s">
        <v>573</v>
      </c>
      <c r="D1446" s="2" t="str">
        <f t="shared" si="21"/>
        <v>Error?</v>
      </c>
    </row>
    <row r="1447" spans="1:4" x14ac:dyDescent="0.2">
      <c r="A1447" s="5">
        <v>1386</v>
      </c>
      <c r="B1447" s="138">
        <f>'Expenditures 15-22'!D280</f>
        <v>8464</v>
      </c>
      <c r="D1447" s="2" t="str">
        <f t="shared" si="21"/>
        <v>Error?</v>
      </c>
    </row>
    <row r="1448" spans="1:4" x14ac:dyDescent="0.2">
      <c r="A1448" s="5">
        <v>1387</v>
      </c>
      <c r="B1448" s="138">
        <f>'Expenditures 15-22'!D295</f>
        <v>284536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124974</v>
      </c>
      <c r="C1474" s="2" t="s">
        <v>573</v>
      </c>
      <c r="D1474" s="2" t="str">
        <f t="shared" si="22"/>
        <v>Error?</v>
      </c>
    </row>
    <row r="1475" spans="1:4" x14ac:dyDescent="0.2">
      <c r="A1475" s="5">
        <v>1414</v>
      </c>
      <c r="B1475" s="138">
        <f>'Expenditures 15-22'!K232</f>
        <v>1032</v>
      </c>
      <c r="C1475" s="2" t="s">
        <v>573</v>
      </c>
      <c r="D1475" s="2" t="str">
        <f t="shared" si="22"/>
        <v>Error?</v>
      </c>
    </row>
    <row r="1476" spans="1:4" x14ac:dyDescent="0.2">
      <c r="A1476" s="5">
        <v>1415</v>
      </c>
      <c r="B1476" s="138">
        <f>'Expenditures 15-22'!K233</f>
        <v>1017</v>
      </c>
      <c r="C1476" s="2" t="s">
        <v>573</v>
      </c>
      <c r="D1476" s="2" t="str">
        <f t="shared" si="22"/>
        <v>Error?</v>
      </c>
    </row>
    <row r="1477" spans="1:4" x14ac:dyDescent="0.2">
      <c r="A1477" s="5">
        <v>1416</v>
      </c>
      <c r="B1477" s="138">
        <f>'Expenditures 15-22'!K234</f>
        <v>8578</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1286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11913</v>
      </c>
      <c r="C1481" s="2" t="s">
        <v>573</v>
      </c>
      <c r="D1481" s="2" t="str">
        <f t="shared" si="22"/>
        <v>Error?</v>
      </c>
    </row>
    <row r="1482" spans="1:4" x14ac:dyDescent="0.2">
      <c r="A1482" s="5">
        <v>1421</v>
      </c>
      <c r="B1482" s="138">
        <f>'Expenditures 15-22'!K240</f>
        <v>428</v>
      </c>
      <c r="C1482" s="2" t="s">
        <v>573</v>
      </c>
      <c r="D1482" s="2" t="str">
        <f t="shared" si="22"/>
        <v>Error?</v>
      </c>
    </row>
    <row r="1483" spans="1:4" x14ac:dyDescent="0.2">
      <c r="A1483" s="5">
        <v>1422</v>
      </c>
      <c r="B1483" s="138">
        <f>'Expenditures 15-22'!K241</f>
        <v>4949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5377</v>
      </c>
      <c r="C1485" s="2" t="s">
        <v>573</v>
      </c>
      <c r="D1485" s="2" t="str">
        <f t="shared" si="22"/>
        <v>Error?</v>
      </c>
    </row>
    <row r="1486" spans="1:4" x14ac:dyDescent="0.2">
      <c r="A1486" s="5">
        <v>1425</v>
      </c>
      <c r="B1486" s="138">
        <f>'Expenditures 15-22'!K245</f>
        <v>3305</v>
      </c>
      <c r="C1486" s="2" t="s">
        <v>573</v>
      </c>
      <c r="D1486" s="2" t="str">
        <f t="shared" si="22"/>
        <v>Error?</v>
      </c>
    </row>
    <row r="1487" spans="1:4" x14ac:dyDescent="0.2">
      <c r="A1487" s="5">
        <v>1426</v>
      </c>
      <c r="B1487" s="138">
        <f>'Expenditures 15-22'!K246</f>
        <v>1788</v>
      </c>
      <c r="C1487" s="2" t="s">
        <v>573</v>
      </c>
      <c r="D1487" s="2" t="str">
        <f t="shared" si="22"/>
        <v>Error?</v>
      </c>
    </row>
    <row r="1488" spans="1:4" x14ac:dyDescent="0.2">
      <c r="A1488" s="5">
        <v>1427</v>
      </c>
      <c r="B1488" s="138">
        <f>'Expenditures 15-22'!K257</f>
        <v>6421</v>
      </c>
      <c r="C1488" s="2" t="s">
        <v>573</v>
      </c>
      <c r="D1488" s="2" t="str">
        <f t="shared" si="22"/>
        <v>Error?</v>
      </c>
    </row>
    <row r="1489" spans="1:4" x14ac:dyDescent="0.2">
      <c r="A1489" s="5">
        <v>1428</v>
      </c>
      <c r="B1489" s="138">
        <f>'Expenditures 15-22'!K259</f>
        <v>31219</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31219</v>
      </c>
      <c r="C1491" s="2" t="s">
        <v>573</v>
      </c>
      <c r="D1491" s="2" t="str">
        <f t="shared" si="22"/>
        <v>Error?</v>
      </c>
    </row>
    <row r="1492" spans="1:4" x14ac:dyDescent="0.2">
      <c r="A1492" s="5">
        <v>1431</v>
      </c>
      <c r="B1492" s="138">
        <f>'Expenditures 15-22'!K263</f>
        <v>1158</v>
      </c>
      <c r="C1492" s="2" t="s">
        <v>573</v>
      </c>
      <c r="D1492" s="2" t="str">
        <f t="shared" si="22"/>
        <v>Error?</v>
      </c>
    </row>
    <row r="1493" spans="1:4" x14ac:dyDescent="0.2">
      <c r="A1493" s="5">
        <v>1432</v>
      </c>
      <c r="B1493" s="138">
        <f>'Expenditures 15-22'!K264</f>
        <v>1229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55346</v>
      </c>
      <c r="C1495" s="2" t="s">
        <v>573</v>
      </c>
      <c r="D1495" s="2" t="str">
        <f t="shared" si="22"/>
        <v>Error?</v>
      </c>
    </row>
    <row r="1496" spans="1:4" x14ac:dyDescent="0.2">
      <c r="A1496" s="5">
        <v>1435</v>
      </c>
      <c r="B1496" s="138">
        <f>'Expenditures 15-22'!K267</f>
        <v>5862</v>
      </c>
      <c r="C1496" s="2" t="s">
        <v>573</v>
      </c>
      <c r="D1496" s="2" t="str">
        <f t="shared" si="22"/>
        <v>Error?</v>
      </c>
    </row>
    <row r="1497" spans="1:4" x14ac:dyDescent="0.2">
      <c r="A1497" s="5">
        <v>1436</v>
      </c>
      <c r="B1497" s="138">
        <f>'Expenditures 15-22'!K268</f>
        <v>32573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96168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151098</v>
      </c>
      <c r="C1510" s="2" t="s">
        <v>573</v>
      </c>
      <c r="D1510" s="2" t="str">
        <f t="shared" si="22"/>
        <v>Error?</v>
      </c>
    </row>
    <row r="1511" spans="1:4" x14ac:dyDescent="0.2">
      <c r="A1511" s="5">
        <v>1450</v>
      </c>
      <c r="B1511" s="138">
        <f>'Expenditures 15-22'!K280</f>
        <v>8464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284536</v>
      </c>
      <c r="C1517" s="2" t="s">
        <v>573</v>
      </c>
      <c r="D1517" s="2" t="str">
        <f t="shared" si="22"/>
        <v>Error?</v>
      </c>
    </row>
    <row r="1518" spans="1:4" x14ac:dyDescent="0.2">
      <c r="A1518" s="5">
        <v>1457</v>
      </c>
      <c r="B1518" s="138">
        <f>'Expenditures 15-22'!K296</f>
        <v>72933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7153553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7431701</v>
      </c>
      <c r="C1630" s="2" t="s">
        <v>573</v>
      </c>
      <c r="D1630" s="2" t="str">
        <f t="shared" si="24"/>
        <v>Error?</v>
      </c>
    </row>
    <row r="1631" spans="1:4" x14ac:dyDescent="0.2">
      <c r="A1631" s="5">
        <v>1570</v>
      </c>
      <c r="B1631" s="138">
        <f>'Acct Summary 7-8'!D79</f>
        <v>529285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418179</v>
      </c>
      <c r="C1644" s="2" t="s">
        <v>573</v>
      </c>
      <c r="D1644" s="2" t="str">
        <f t="shared" si="24"/>
        <v>Error?</v>
      </c>
    </row>
    <row r="1645" spans="1:4" x14ac:dyDescent="0.2">
      <c r="A1645" s="5">
        <v>1584</v>
      </c>
      <c r="B1645" s="138">
        <f>'Acct Summary 7-8'!E79</f>
        <v>710847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961217</v>
      </c>
      <c r="C1658" s="2" t="s">
        <v>573</v>
      </c>
      <c r="D1658" s="2" t="str">
        <f t="shared" si="24"/>
        <v>Error?</v>
      </c>
    </row>
    <row r="1659" spans="1:4" x14ac:dyDescent="0.2">
      <c r="A1659" s="5">
        <v>1598</v>
      </c>
      <c r="B1659" s="138">
        <f>'Acct Summary 7-8'!F79</f>
        <v>73505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142</v>
      </c>
      <c r="C1672" s="2" t="s">
        <v>573</v>
      </c>
      <c r="D1672" s="2" t="str">
        <f t="shared" si="25"/>
        <v>Error?</v>
      </c>
    </row>
    <row r="1673" spans="1:4" x14ac:dyDescent="0.2">
      <c r="A1673" s="5">
        <v>1612</v>
      </c>
      <c r="B1673" s="138">
        <f>'Acct Summary 7-8'!G79</f>
        <v>861202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934135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1823594</v>
      </c>
      <c r="C1744" s="2" t="s">
        <v>573</v>
      </c>
      <c r="D1744" s="2" t="str">
        <f t="shared" si="26"/>
        <v>Error?</v>
      </c>
    </row>
    <row r="1745" spans="1:5" x14ac:dyDescent="0.2">
      <c r="A1745" s="5">
        <v>1684</v>
      </c>
      <c r="B1745" s="138">
        <f>'Tax Sched 23'!B5</f>
        <v>320732</v>
      </c>
      <c r="C1745" s="2" t="s">
        <v>573</v>
      </c>
      <c r="D1745" s="2" t="str">
        <f t="shared" si="26"/>
        <v>Error?</v>
      </c>
    </row>
    <row r="1746" spans="1:5" x14ac:dyDescent="0.2">
      <c r="A1746" s="5">
        <v>1685</v>
      </c>
      <c r="B1746" s="138">
        <f>'Tax Sched 23'!B6</f>
        <v>1933238</v>
      </c>
      <c r="C1746" s="2" t="s">
        <v>573</v>
      </c>
      <c r="D1746" s="2" t="str">
        <f t="shared" si="26"/>
        <v>Error?</v>
      </c>
    </row>
    <row r="1747" spans="1:5" x14ac:dyDescent="0.2">
      <c r="A1747" s="5">
        <v>1686</v>
      </c>
      <c r="B1747" s="138">
        <f>'Tax Sched 23'!B7</f>
        <v>109966</v>
      </c>
      <c r="C1747" s="2" t="s">
        <v>573</v>
      </c>
      <c r="D1747" s="2" t="str">
        <f t="shared" si="26"/>
        <v>Error?</v>
      </c>
    </row>
    <row r="1748" spans="1:5" x14ac:dyDescent="0.2">
      <c r="A1748" s="5">
        <v>1687</v>
      </c>
      <c r="B1748" s="138">
        <f>'Tax Sched 23'!B8</f>
        <v>145122</v>
      </c>
      <c r="C1748" s="2" t="s">
        <v>573</v>
      </c>
      <c r="D1748" s="2" t="str">
        <f t="shared" si="26"/>
        <v>Error?</v>
      </c>
    </row>
    <row r="1749" spans="1:5" x14ac:dyDescent="0.2">
      <c r="A1749" s="5">
        <v>1688</v>
      </c>
      <c r="B1749" s="138">
        <f>'Tax Sched 23'!B10</f>
        <v>45818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212128</v>
      </c>
      <c r="C1752" s="2" t="s">
        <v>573</v>
      </c>
      <c r="D1752" s="2" t="str">
        <f t="shared" si="26"/>
        <v>Error?</v>
      </c>
    </row>
    <row r="1753" spans="1:5" x14ac:dyDescent="0.2">
      <c r="A1753" s="5">
        <v>1692</v>
      </c>
      <c r="B1753" s="138">
        <f>'Tax Sched 23'!B12</f>
        <v>10141</v>
      </c>
      <c r="C1753" s="2" t="s">
        <v>573</v>
      </c>
      <c r="D1753" s="2" t="str">
        <f t="shared" si="26"/>
        <v>Error?</v>
      </c>
    </row>
    <row r="1754" spans="1:5" x14ac:dyDescent="0.2">
      <c r="A1754" s="5">
        <v>1693</v>
      </c>
      <c r="B1754" s="138">
        <f>'Tax Sched 23'!B14</f>
        <v>18329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4853577</v>
      </c>
      <c r="C1759" s="2" t="s">
        <v>573</v>
      </c>
      <c r="D1759" s="2" t="str">
        <f t="shared" si="26"/>
        <v>Error?</v>
      </c>
    </row>
    <row r="1760" spans="1:5" x14ac:dyDescent="0.2">
      <c r="A1760" s="5">
        <v>1699</v>
      </c>
      <c r="B1760" s="138">
        <f>'Tax Sched 23'!D4</f>
        <v>1261444</v>
      </c>
      <c r="C1760" s="2" t="s">
        <v>573</v>
      </c>
      <c r="D1760" s="2" t="str">
        <f t="shared" si="26"/>
        <v>Error?</v>
      </c>
    </row>
    <row r="1761" spans="1:5" x14ac:dyDescent="0.2">
      <c r="A1761" s="5">
        <v>1700</v>
      </c>
      <c r="B1761" s="138">
        <f>'Tax Sched 23'!D5</f>
        <v>221862</v>
      </c>
      <c r="C1761" s="2" t="s">
        <v>573</v>
      </c>
      <c r="D1761" s="2" t="str">
        <f t="shared" si="26"/>
        <v>Error?</v>
      </c>
    </row>
    <row r="1762" spans="1:5" s="8" customFormat="1" x14ac:dyDescent="0.2">
      <c r="A1762" s="5">
        <v>1701</v>
      </c>
      <c r="B1762" s="138">
        <f>'Tax Sched 23'!D6</f>
        <v>1332500</v>
      </c>
      <c r="C1762" s="2" t="s">
        <v>573</v>
      </c>
      <c r="D1762" s="2" t="str">
        <f t="shared" si="26"/>
        <v>Error?</v>
      </c>
      <c r="E1762" s="9"/>
    </row>
    <row r="1763" spans="1:5" x14ac:dyDescent="0.2">
      <c r="A1763" s="5">
        <v>1702</v>
      </c>
      <c r="B1763" s="138">
        <f>'Tax Sched 23'!D7</f>
        <v>76067</v>
      </c>
      <c r="C1763" s="2" t="s">
        <v>573</v>
      </c>
      <c r="D1763" s="2" t="str">
        <f t="shared" si="26"/>
        <v>Error?</v>
      </c>
    </row>
    <row r="1764" spans="1:5" x14ac:dyDescent="0.2">
      <c r="A1764" s="5">
        <v>1703</v>
      </c>
      <c r="B1764" s="138">
        <f>'Tax Sched 23'!D8</f>
        <v>101422</v>
      </c>
      <c r="C1764" s="2" t="s">
        <v>573</v>
      </c>
      <c r="D1764" s="2" t="str">
        <f t="shared" si="26"/>
        <v>Error?</v>
      </c>
    </row>
    <row r="1765" spans="1:5" x14ac:dyDescent="0.2">
      <c r="A1765" s="5">
        <v>1704</v>
      </c>
      <c r="B1765" s="138">
        <f>'Tax Sched 23'!D10</f>
        <v>31694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146874</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12679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3348910</v>
      </c>
      <c r="C1775" s="2" t="s">
        <v>573</v>
      </c>
      <c r="D1775" s="2" t="str">
        <f t="shared" si="26"/>
        <v>Error?</v>
      </c>
    </row>
    <row r="1776" spans="1:5" x14ac:dyDescent="0.2">
      <c r="A1776" s="5">
        <v>1715</v>
      </c>
      <c r="B1776" s="138">
        <f>'Tax Sched 23'!C4</f>
        <v>562150</v>
      </c>
      <c r="D1776" s="2" t="str">
        <f t="shared" si="26"/>
        <v>Error?</v>
      </c>
    </row>
    <row r="1777" spans="1:4" x14ac:dyDescent="0.2">
      <c r="A1777" s="5">
        <v>1716</v>
      </c>
      <c r="B1777" s="138">
        <f>'Tax Sched 23'!C5</f>
        <v>98870</v>
      </c>
      <c r="D1777" s="2" t="str">
        <f t="shared" si="26"/>
        <v>Error?</v>
      </c>
    </row>
    <row r="1778" spans="1:4" x14ac:dyDescent="0.2">
      <c r="A1778" s="5">
        <v>1717</v>
      </c>
      <c r="B1778" s="138">
        <f>'Tax Sched 23'!C6</f>
        <v>600738</v>
      </c>
      <c r="D1778" s="2" t="str">
        <f t="shared" si="26"/>
        <v>Error?</v>
      </c>
    </row>
    <row r="1779" spans="1:4" x14ac:dyDescent="0.2">
      <c r="A1779" s="5">
        <v>1718</v>
      </c>
      <c r="B1779" s="138">
        <f>'Tax Sched 23'!C7</f>
        <v>33899</v>
      </c>
      <c r="D1779" s="2" t="str">
        <f t="shared" si="26"/>
        <v>Error?</v>
      </c>
    </row>
    <row r="1780" spans="1:4" x14ac:dyDescent="0.2">
      <c r="A1780" s="5">
        <v>1719</v>
      </c>
      <c r="B1780" s="138">
        <f>'Tax Sched 23'!C8</f>
        <v>43700</v>
      </c>
      <c r="D1780" s="2" t="str">
        <f t="shared" si="26"/>
        <v>Error?</v>
      </c>
    </row>
    <row r="1781" spans="1:4" x14ac:dyDescent="0.2">
      <c r="A1781" s="5">
        <v>1720</v>
      </c>
      <c r="B1781" s="138">
        <f>'Tax Sched 23'!C10</f>
        <v>14124</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65254</v>
      </c>
      <c r="D1784" s="2" t="str">
        <f t="shared" si="26"/>
        <v>Error?</v>
      </c>
    </row>
    <row r="1785" spans="1:4" x14ac:dyDescent="0.2">
      <c r="A1785" s="5">
        <v>1724</v>
      </c>
      <c r="B1785" s="138">
        <f>'Tax Sched 23'!C12</f>
        <v>10141</v>
      </c>
      <c r="D1785" s="2" t="str">
        <f t="shared" si="26"/>
        <v>Error?</v>
      </c>
    </row>
    <row r="1786" spans="1:4" x14ac:dyDescent="0.2">
      <c r="A1786" s="5">
        <v>1725</v>
      </c>
      <c r="B1786" s="138">
        <f>'Tax Sched 23'!C14</f>
        <v>5650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1504667</v>
      </c>
      <c r="C1791" s="2" t="s">
        <v>573</v>
      </c>
      <c r="D1791" s="2" t="str">
        <f t="shared" ref="D1791:D1854" si="27">IF(ISBLANK(B1791),"OK",IF(A1791-B1791=0,"OK","Error?"))</f>
        <v>Error?</v>
      </c>
    </row>
    <row r="1792" spans="1:4" x14ac:dyDescent="0.2">
      <c r="A1792" s="5">
        <v>1731</v>
      </c>
      <c r="B1792" s="138">
        <f>'Tax Sched 23'!F4</f>
        <v>1264945</v>
      </c>
      <c r="C1792" s="2" t="s">
        <v>573</v>
      </c>
      <c r="D1792" s="2" t="str">
        <f t="shared" si="27"/>
        <v>Error?</v>
      </c>
    </row>
    <row r="1793" spans="1:4" x14ac:dyDescent="0.2">
      <c r="A1793" s="5">
        <v>1732</v>
      </c>
      <c r="B1793" s="138">
        <f>'Tax Sched 23'!F5</f>
        <v>222478</v>
      </c>
      <c r="C1793" s="2" t="s">
        <v>573</v>
      </c>
      <c r="D1793" s="2" t="str">
        <f t="shared" si="27"/>
        <v>Error?</v>
      </c>
    </row>
    <row r="1794" spans="1:4" x14ac:dyDescent="0.2">
      <c r="A1794" s="5">
        <v>1733</v>
      </c>
      <c r="B1794" s="138">
        <f>'Tax Sched 23'!F6</f>
        <v>1351774</v>
      </c>
      <c r="C1794" s="2" t="s">
        <v>573</v>
      </c>
      <c r="D1794" s="2" t="str">
        <f t="shared" si="27"/>
        <v>Error?</v>
      </c>
    </row>
    <row r="1795" spans="1:4" x14ac:dyDescent="0.2">
      <c r="A1795" s="5">
        <v>1734</v>
      </c>
      <c r="B1795" s="138">
        <f>'Tax Sched 23'!F7</f>
        <v>76278</v>
      </c>
      <c r="C1795" s="2" t="s">
        <v>573</v>
      </c>
      <c r="D1795" s="2" t="str">
        <f t="shared" si="27"/>
        <v>Error?</v>
      </c>
    </row>
    <row r="1796" spans="1:4" x14ac:dyDescent="0.2">
      <c r="A1796" s="5">
        <v>1735</v>
      </c>
      <c r="B1796" s="138">
        <f>'Tax Sched 23'!F8</f>
        <v>98336</v>
      </c>
      <c r="C1796" s="2" t="s">
        <v>573</v>
      </c>
      <c r="D1796" s="2" t="str">
        <f t="shared" si="27"/>
        <v>Error?</v>
      </c>
    </row>
    <row r="1797" spans="1:4" x14ac:dyDescent="0.2">
      <c r="A1797" s="5">
        <v>1736</v>
      </c>
      <c r="B1797" s="138">
        <f>'Tax Sched 23'!F10</f>
        <v>31783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146836</v>
      </c>
      <c r="C1800" s="2" t="s">
        <v>573</v>
      </c>
      <c r="D1800" s="2" t="str">
        <f t="shared" si="27"/>
        <v>Error?</v>
      </c>
    </row>
    <row r="1801" spans="1:4" x14ac:dyDescent="0.2">
      <c r="A1801" s="5">
        <v>1740</v>
      </c>
      <c r="B1801" s="138">
        <f>'Tax Sched 23'!F12</f>
        <v>22820</v>
      </c>
      <c r="C1801" s="2" t="s">
        <v>573</v>
      </c>
      <c r="D1801" s="2" t="str">
        <f t="shared" si="27"/>
        <v>Error?</v>
      </c>
    </row>
    <row r="1802" spans="1:4" x14ac:dyDescent="0.2">
      <c r="A1802" s="5">
        <v>1741</v>
      </c>
      <c r="B1802" s="138">
        <f>'Tax Sched 23'!F14</f>
        <v>12713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3385796</v>
      </c>
      <c r="C1807" s="2" t="s">
        <v>573</v>
      </c>
      <c r="D1807" s="2" t="str">
        <f t="shared" si="27"/>
        <v>Error?</v>
      </c>
    </row>
    <row r="1808" spans="1:4" x14ac:dyDescent="0.2">
      <c r="A1808" s="5">
        <v>1747</v>
      </c>
      <c r="B1808" s="138">
        <f>'Tax Sched 23'!E4</f>
        <v>1827095</v>
      </c>
      <c r="D1808" s="2" t="str">
        <f t="shared" si="27"/>
        <v>Error?</v>
      </c>
    </row>
    <row r="1809" spans="1:4" x14ac:dyDescent="0.2">
      <c r="A1809" s="5">
        <v>1748</v>
      </c>
      <c r="B1809" s="138">
        <f>'Tax Sched 23'!E5</f>
        <v>321348</v>
      </c>
      <c r="D1809" s="2" t="str">
        <f t="shared" si="27"/>
        <v>Error?</v>
      </c>
    </row>
    <row r="1810" spans="1:4" x14ac:dyDescent="0.2">
      <c r="A1810" s="5">
        <v>1749</v>
      </c>
      <c r="B1810" s="138">
        <f>'Tax Sched 23'!E6</f>
        <v>1952512</v>
      </c>
      <c r="D1810" s="2" t="str">
        <f t="shared" si="27"/>
        <v>Error?</v>
      </c>
    </row>
    <row r="1811" spans="1:4" x14ac:dyDescent="0.2">
      <c r="A1811" s="5">
        <v>1750</v>
      </c>
      <c r="B1811" s="138">
        <f>'Tax Sched 23'!E7</f>
        <v>110177</v>
      </c>
      <c r="D1811" s="2" t="str">
        <f t="shared" si="27"/>
        <v>Error?</v>
      </c>
    </row>
    <row r="1812" spans="1:4" x14ac:dyDescent="0.2">
      <c r="A1812" s="5">
        <v>1751</v>
      </c>
      <c r="B1812" s="138">
        <f>'Tax Sched 23'!E8</f>
        <v>142036</v>
      </c>
      <c r="D1812" s="2" t="str">
        <f t="shared" si="27"/>
        <v>Error?</v>
      </c>
    </row>
    <row r="1813" spans="1:4" x14ac:dyDescent="0.2">
      <c r="A1813" s="5">
        <v>1752</v>
      </c>
      <c r="B1813" s="138">
        <f>'Tax Sched 23'!E10</f>
        <v>45907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212090</v>
      </c>
      <c r="D1816" s="2" t="str">
        <f t="shared" si="27"/>
        <v>Error?</v>
      </c>
    </row>
    <row r="1817" spans="1:4" x14ac:dyDescent="0.2">
      <c r="A1817" s="5">
        <v>1756</v>
      </c>
      <c r="B1817" s="138">
        <f>'Tax Sched 23'!E12</f>
        <v>32961</v>
      </c>
      <c r="D1817" s="2" t="str">
        <f t="shared" si="27"/>
        <v>Error?</v>
      </c>
    </row>
    <row r="1818" spans="1:4" x14ac:dyDescent="0.2">
      <c r="A1818" s="5">
        <v>1757</v>
      </c>
      <c r="B1818" s="138">
        <f>'Tax Sched 23'!E14</f>
        <v>18363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4890463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34460000</v>
      </c>
      <c r="C1939" s="2" t="s">
        <v>573</v>
      </c>
      <c r="D1939" s="2" t="str">
        <f t="shared" si="29"/>
        <v>Error?</v>
      </c>
    </row>
    <row r="1940" spans="1:5" x14ac:dyDescent="0.2">
      <c r="A1940" s="5">
        <v>1879</v>
      </c>
      <c r="B1940" s="138">
        <f>'Short-Term Long-Term Debt 24'!F49</f>
        <v>18385000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18329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18329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45627</v>
      </c>
      <c r="C1982" s="2" t="s">
        <v>573</v>
      </c>
      <c r="D1982" s="2" t="str">
        <f t="shared" si="29"/>
        <v>Error?</v>
      </c>
    </row>
    <row r="1983" spans="1:5" x14ac:dyDescent="0.2">
      <c r="A1983" s="5">
        <v>1922</v>
      </c>
      <c r="B1983" s="138">
        <f>'Rest Tax Levies-Tort Im 25'!H24</f>
        <v>-27298</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1086741</v>
      </c>
      <c r="D2008" s="2" t="str">
        <f t="shared" si="30"/>
        <v>Error?</v>
      </c>
    </row>
    <row r="2009" spans="1:4" x14ac:dyDescent="0.2">
      <c r="A2009" s="5">
        <v>1948</v>
      </c>
      <c r="B2009" s="138">
        <f>'Cap Outlay Deprec 26'!C8</f>
        <v>31187212</v>
      </c>
      <c r="D2009" s="2" t="str">
        <f t="shared" si="30"/>
        <v>Error?</v>
      </c>
    </row>
    <row r="2010" spans="1:4" x14ac:dyDescent="0.2">
      <c r="A2010" s="5">
        <v>1949</v>
      </c>
      <c r="B2010" s="138">
        <f>'Cap Outlay Deprec 26'!C10</f>
        <v>1040481</v>
      </c>
      <c r="D2010" s="2" t="str">
        <f t="shared" si="30"/>
        <v>Error?</v>
      </c>
    </row>
    <row r="2011" spans="1:4" x14ac:dyDescent="0.2">
      <c r="A2011" s="5">
        <v>1950</v>
      </c>
      <c r="B2011" s="138">
        <f>'Cap Outlay Deprec 26'!C12</f>
        <v>1031162</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34345596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216339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216339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1086741</v>
      </c>
      <c r="C2026" s="2" t="s">
        <v>573</v>
      </c>
      <c r="D2026" s="2" t="str">
        <f t="shared" si="30"/>
        <v>Error?</v>
      </c>
    </row>
    <row r="2027" spans="1:4" x14ac:dyDescent="0.2">
      <c r="A2027" s="5">
        <v>1966</v>
      </c>
      <c r="B2027" s="138">
        <f>'Cap Outlay Deprec 26'!F8</f>
        <v>31187212</v>
      </c>
      <c r="C2027" s="2" t="s">
        <v>573</v>
      </c>
      <c r="D2027" s="2" t="str">
        <f t="shared" si="30"/>
        <v>Error?</v>
      </c>
    </row>
    <row r="2028" spans="1:4" x14ac:dyDescent="0.2">
      <c r="A2028" s="5">
        <v>1967</v>
      </c>
      <c r="B2028" s="138">
        <f>'Cap Outlay Deprec 26'!F10</f>
        <v>1040481</v>
      </c>
      <c r="C2028" s="2" t="s">
        <v>573</v>
      </c>
      <c r="D2028" s="2" t="str">
        <f t="shared" si="30"/>
        <v>Error?</v>
      </c>
    </row>
    <row r="2029" spans="1:4" x14ac:dyDescent="0.2">
      <c r="A2029" s="5">
        <v>1968</v>
      </c>
      <c r="B2029" s="138">
        <f>'Cap Outlay Deprec 26'!F12</f>
        <v>1247501</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34561935</v>
      </c>
      <c r="C2031" s="2" t="s">
        <v>573</v>
      </c>
      <c r="D2031" s="2" t="str">
        <f t="shared" si="30"/>
        <v>Error?</v>
      </c>
    </row>
    <row r="2032" spans="1:4" x14ac:dyDescent="0.2">
      <c r="A2032" s="10">
        <v>1971</v>
      </c>
      <c r="D2032" s="2" t="str">
        <f t="shared" si="30"/>
        <v>OK</v>
      </c>
    </row>
    <row r="2033" spans="1:4" x14ac:dyDescent="0.2">
      <c r="A2033" s="5">
        <v>1972</v>
      </c>
      <c r="B2033" s="138">
        <f>'Cap Outlay Deprec 26'!H8</f>
        <v>4781039</v>
      </c>
      <c r="D2033" s="2" t="str">
        <f t="shared" si="30"/>
        <v>Error?</v>
      </c>
    </row>
    <row r="2034" spans="1:4" x14ac:dyDescent="0.2">
      <c r="A2034" s="5">
        <v>1973</v>
      </c>
      <c r="B2034" s="138">
        <f>'Cap Outlay Deprec 26'!H10</f>
        <v>466960</v>
      </c>
      <c r="D2034" s="2" t="str">
        <f t="shared" si="30"/>
        <v>Error?</v>
      </c>
    </row>
    <row r="2035" spans="1:4" x14ac:dyDescent="0.2">
      <c r="A2035" s="5">
        <v>1974</v>
      </c>
      <c r="B2035" s="138">
        <f>'Cap Outlay Deprec 26'!H12</f>
        <v>589627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5837626</v>
      </c>
      <c r="C2037" s="2" t="s">
        <v>573</v>
      </c>
      <c r="D2037" s="2" t="str">
        <f t="shared" si="30"/>
        <v>Error?</v>
      </c>
    </row>
    <row r="2038" spans="1:4" x14ac:dyDescent="0.2">
      <c r="A2038" s="10">
        <v>1977</v>
      </c>
      <c r="D2038" s="2" t="str">
        <f t="shared" si="30"/>
        <v>OK</v>
      </c>
    </row>
    <row r="2039" spans="1:4" x14ac:dyDescent="0.2">
      <c r="A2039" s="5">
        <v>1978</v>
      </c>
      <c r="B2039" s="138">
        <f>'Cap Outlay Deprec 26'!I8</f>
        <v>623744</v>
      </c>
      <c r="D2039" s="2" t="str">
        <f t="shared" si="30"/>
        <v>Error?</v>
      </c>
    </row>
    <row r="2040" spans="1:4" x14ac:dyDescent="0.2">
      <c r="A2040" s="5">
        <v>1979</v>
      </c>
      <c r="B2040" s="138">
        <f>'Cap Outlay Deprec 26'!I10</f>
        <v>52024</v>
      </c>
      <c r="D2040" s="2" t="str">
        <f t="shared" si="30"/>
        <v>Error?</v>
      </c>
    </row>
    <row r="2041" spans="1:4" x14ac:dyDescent="0.2">
      <c r="A2041" s="5">
        <v>1980</v>
      </c>
      <c r="B2041" s="138">
        <f>'Cap Outlay Deprec 26'!I12</f>
        <v>189652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865420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5404783</v>
      </c>
      <c r="C2051" s="2" t="s">
        <v>573</v>
      </c>
      <c r="D2051" s="2" t="str">
        <f t="shared" si="31"/>
        <v>Error?</v>
      </c>
    </row>
    <row r="2052" spans="1:4" x14ac:dyDescent="0.2">
      <c r="A2052" s="5">
        <v>1991</v>
      </c>
      <c r="B2052" s="138">
        <f>'Cap Outlay Deprec 26'!K10</f>
        <v>518984</v>
      </c>
      <c r="C2052" s="2" t="s">
        <v>573</v>
      </c>
      <c r="D2052" s="2" t="str">
        <f t="shared" si="31"/>
        <v>Error?</v>
      </c>
    </row>
    <row r="2053" spans="1:4" x14ac:dyDescent="0.2">
      <c r="A2053" s="5">
        <v>1992</v>
      </c>
      <c r="B2053" s="138">
        <f>'Cap Outlay Deprec 26'!K12</f>
        <v>779279</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6703046</v>
      </c>
      <c r="C2055" s="2" t="s">
        <v>573</v>
      </c>
      <c r="D2055" s="2" t="str">
        <f t="shared" si="31"/>
        <v>Error?</v>
      </c>
    </row>
    <row r="2056" spans="1:4" x14ac:dyDescent="0.2">
      <c r="A2056" s="5">
        <v>1995</v>
      </c>
      <c r="B2056" s="138">
        <f>'Cap Outlay Deprec 26'!L5</f>
        <v>1086741</v>
      </c>
      <c r="C2056" s="2" t="s">
        <v>573</v>
      </c>
      <c r="D2056" s="2" t="str">
        <f t="shared" si="31"/>
        <v>Error?</v>
      </c>
    </row>
    <row r="2057" spans="1:4" x14ac:dyDescent="0.2">
      <c r="A2057" s="5">
        <v>1996</v>
      </c>
      <c r="B2057" s="138">
        <f>'Cap Outlay Deprec 26'!L8</f>
        <v>25782429</v>
      </c>
      <c r="C2057" s="2" t="s">
        <v>573</v>
      </c>
      <c r="D2057" s="2" t="str">
        <f t="shared" si="31"/>
        <v>Error?</v>
      </c>
    </row>
    <row r="2058" spans="1:4" x14ac:dyDescent="0.2">
      <c r="A2058" s="5">
        <v>1997</v>
      </c>
      <c r="B2058" s="138">
        <f>'Cap Outlay Deprec 26'!L10</f>
        <v>521497</v>
      </c>
      <c r="C2058" s="2" t="s">
        <v>573</v>
      </c>
      <c r="D2058" s="2" t="str">
        <f t="shared" si="31"/>
        <v>Error?</v>
      </c>
    </row>
    <row r="2059" spans="1:4" x14ac:dyDescent="0.2">
      <c r="A2059" s="5">
        <v>1998</v>
      </c>
      <c r="B2059" s="138">
        <f>'Cap Outlay Deprec 26'!L12</f>
        <v>468222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27858889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387162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457563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2864759</v>
      </c>
      <c r="C2551" s="2" t="s">
        <v>573</v>
      </c>
      <c r="D2551" s="2" t="str">
        <f t="shared" si="38"/>
        <v>Error?</v>
      </c>
    </row>
    <row r="2552" spans="1:4" x14ac:dyDescent="0.2">
      <c r="A2552" s="10">
        <v>2491</v>
      </c>
      <c r="D2552" s="2" t="str">
        <f t="shared" si="38"/>
        <v>OK</v>
      </c>
    </row>
    <row r="2553" spans="1:4" x14ac:dyDescent="0.2">
      <c r="A2553" s="5">
        <v>2492</v>
      </c>
      <c r="B2553" s="138">
        <f>'Acct Summary 7-8'!C6</f>
        <v>5352292</v>
      </c>
      <c r="C2553" s="2" t="s">
        <v>573</v>
      </c>
      <c r="D2553" s="2" t="str">
        <f t="shared" si="38"/>
        <v>Error?</v>
      </c>
    </row>
    <row r="2554" spans="1:4" x14ac:dyDescent="0.2">
      <c r="A2554" s="5">
        <v>2493</v>
      </c>
      <c r="B2554" s="138">
        <f>'Acct Summary 7-8'!C7</f>
        <v>1285281</v>
      </c>
      <c r="C2554" s="2" t="s">
        <v>573</v>
      </c>
      <c r="D2554" s="2" t="str">
        <f t="shared" si="38"/>
        <v>Error?</v>
      </c>
    </row>
    <row r="2555" spans="1:4" x14ac:dyDescent="0.2">
      <c r="A2555" s="5">
        <v>2494</v>
      </c>
      <c r="B2555" s="138">
        <f>'Acct Summary 7-8'!C8</f>
        <v>9502332</v>
      </c>
      <c r="C2555" s="2" t="s">
        <v>573</v>
      </c>
      <c r="D2555" s="2" t="str">
        <f t="shared" si="38"/>
        <v>Error?</v>
      </c>
    </row>
    <row r="2556" spans="1:4" x14ac:dyDescent="0.2">
      <c r="A2556" s="5">
        <v>2495</v>
      </c>
      <c r="B2556" s="138">
        <f>'Acct Summary 7-8'!C12</f>
        <v>5442791</v>
      </c>
      <c r="C2556" s="2" t="s">
        <v>573</v>
      </c>
      <c r="D2556" s="2" t="str">
        <f t="shared" si="38"/>
        <v>Error?</v>
      </c>
    </row>
    <row r="2557" spans="1:4" x14ac:dyDescent="0.2">
      <c r="A2557" s="5">
        <v>2496</v>
      </c>
      <c r="B2557" s="138">
        <f>'Acct Summary 7-8'!C13</f>
        <v>2496714</v>
      </c>
      <c r="C2557" s="2" t="s">
        <v>573</v>
      </c>
      <c r="D2557" s="2" t="str">
        <f t="shared" si="38"/>
        <v>Error?</v>
      </c>
    </row>
    <row r="2558" spans="1:4" x14ac:dyDescent="0.2">
      <c r="A2558" s="5">
        <v>2497</v>
      </c>
      <c r="B2558" s="138">
        <f>'Acct Summary 7-8'!C14</f>
        <v>97517</v>
      </c>
      <c r="C2558" s="2" t="s">
        <v>573</v>
      </c>
      <c r="D2558" s="2" t="str">
        <f t="shared" si="38"/>
        <v>Error?</v>
      </c>
    </row>
    <row r="2559" spans="1:4" x14ac:dyDescent="0.2">
      <c r="A2559" s="5">
        <v>2498</v>
      </c>
      <c r="B2559" s="138">
        <f>'Acct Summary 7-8'!C15</f>
        <v>387162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8424184</v>
      </c>
      <c r="C2561" s="2" t="s">
        <v>573</v>
      </c>
      <c r="D2561" s="2" t="str">
        <f t="shared" si="39"/>
        <v>Error?</v>
      </c>
    </row>
    <row r="2562" spans="1:4" x14ac:dyDescent="0.2">
      <c r="A2562" s="5">
        <v>2501</v>
      </c>
      <c r="B2562" s="138">
        <f>'Acct Summary 7-8'!C20</f>
        <v>1078148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328756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328756</v>
      </c>
      <c r="C2568" s="2" t="s">
        <v>573</v>
      </c>
      <c r="D2568" s="2" t="str">
        <f t="shared" si="39"/>
        <v>Error?</v>
      </c>
    </row>
    <row r="2569" spans="1:4" x14ac:dyDescent="0.2">
      <c r="A2569" s="5">
        <v>2508</v>
      </c>
      <c r="B2569" s="138">
        <f>'Acct Summary 7-8'!D13</f>
        <v>439862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439862</v>
      </c>
      <c r="C2573" s="2" t="s">
        <v>573</v>
      </c>
      <c r="D2573" s="2" t="str">
        <f t="shared" si="39"/>
        <v>Error?</v>
      </c>
    </row>
    <row r="2574" spans="1:4" x14ac:dyDescent="0.2">
      <c r="A2574" s="5">
        <v>2513</v>
      </c>
      <c r="B2574" s="138">
        <f>'Acct Summary 7-8'!D20</f>
        <v>-111106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119423</v>
      </c>
      <c r="C2591" s="2" t="s">
        <v>573</v>
      </c>
      <c r="D2591" s="2" t="str">
        <f t="shared" si="39"/>
        <v>Error?</v>
      </c>
    </row>
    <row r="2592" spans="1:4" x14ac:dyDescent="0.2">
      <c r="A2592" s="10">
        <v>2531</v>
      </c>
      <c r="D2592" s="2" t="str">
        <f t="shared" si="39"/>
        <v>OK</v>
      </c>
    </row>
    <row r="2593" spans="1:4" x14ac:dyDescent="0.2">
      <c r="A2593" s="5">
        <v>2532</v>
      </c>
      <c r="B2593" s="138">
        <f>'Acct Summary 7-8'!F6</f>
        <v>365784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485207</v>
      </c>
      <c r="C2595" s="2" t="s">
        <v>573</v>
      </c>
      <c r="D2595" s="2" t="str">
        <f t="shared" si="39"/>
        <v>Error?</v>
      </c>
    </row>
    <row r="2596" spans="1:4" x14ac:dyDescent="0.2">
      <c r="A2596" s="5">
        <v>2535</v>
      </c>
      <c r="B2596" s="138">
        <f>'Acct Summary 7-8'!F13</f>
        <v>558570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558570</v>
      </c>
      <c r="C2600" s="2" t="s">
        <v>573</v>
      </c>
      <c r="D2600" s="2" t="str">
        <f t="shared" si="39"/>
        <v>Error?</v>
      </c>
    </row>
    <row r="2601" spans="1:4" x14ac:dyDescent="0.2">
      <c r="A2601" s="5">
        <v>2540</v>
      </c>
      <c r="B2601" s="138">
        <f>'Acct Summary 7-8'!F20</f>
        <v>-73363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357469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357469</v>
      </c>
      <c r="C2606" s="2" t="s">
        <v>573</v>
      </c>
      <c r="D2606" s="2" t="str">
        <f t="shared" si="39"/>
        <v>Error?</v>
      </c>
    </row>
    <row r="2607" spans="1:4" x14ac:dyDescent="0.2">
      <c r="A2607" s="5">
        <v>2546</v>
      </c>
      <c r="B2607" s="138">
        <f>'Acct Summary 7-8'!G12</f>
        <v>124974</v>
      </c>
      <c r="C2607" s="2" t="s">
        <v>573</v>
      </c>
      <c r="D2607" s="2" t="str">
        <f t="shared" si="39"/>
        <v>Error?</v>
      </c>
    </row>
    <row r="2608" spans="1:4" x14ac:dyDescent="0.2">
      <c r="A2608" s="5">
        <v>2547</v>
      </c>
      <c r="B2608" s="138">
        <f>'Acct Summary 7-8'!G13</f>
        <v>151098</v>
      </c>
      <c r="C2608" s="2" t="s">
        <v>573</v>
      </c>
      <c r="D2608" s="2" t="str">
        <f t="shared" si="39"/>
        <v>Error?</v>
      </c>
    </row>
    <row r="2609" spans="1:4" x14ac:dyDescent="0.2">
      <c r="A2609" s="5">
        <v>2548</v>
      </c>
      <c r="B2609" s="138">
        <f>'Acct Summary 7-8'!G14</f>
        <v>8464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284536</v>
      </c>
      <c r="C2612" s="2" t="s">
        <v>573</v>
      </c>
      <c r="D2612" s="2" t="str">
        <f t="shared" si="39"/>
        <v>Error?</v>
      </c>
    </row>
    <row r="2613" spans="1:4" x14ac:dyDescent="0.2">
      <c r="A2613" s="5">
        <v>2552</v>
      </c>
      <c r="B2613" s="138">
        <f>'Acct Summary 7-8'!G20</f>
        <v>72933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1943224</v>
      </c>
      <c r="C2630" s="2" t="s">
        <v>573</v>
      </c>
      <c r="D2630" s="2" t="str">
        <f t="shared" si="40"/>
        <v>Error?</v>
      </c>
    </row>
    <row r="2631" spans="1:4" x14ac:dyDescent="0.2">
      <c r="A2631" s="5">
        <v>2570</v>
      </c>
      <c r="B2631" s="138">
        <f>'Acct Summary 7-8'!E6</f>
        <v>200000</v>
      </c>
      <c r="C2631" s="2" t="s">
        <v>573</v>
      </c>
      <c r="D2631" s="2" t="str">
        <f t="shared" si="40"/>
        <v>Error?</v>
      </c>
    </row>
    <row r="2632" spans="1:4" x14ac:dyDescent="0.2">
      <c r="A2632" s="5">
        <v>2571</v>
      </c>
      <c r="B2632" s="138">
        <f>'Acct Summary 7-8'!E8</f>
        <v>2630048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22455393</v>
      </c>
      <c r="C2634" s="2" t="s">
        <v>573</v>
      </c>
      <c r="D2634" s="2" t="str">
        <f t="shared" si="40"/>
        <v>Error?</v>
      </c>
    </row>
    <row r="2635" spans="1:4" x14ac:dyDescent="0.2">
      <c r="A2635" s="5">
        <v>2574</v>
      </c>
      <c r="B2635" s="138">
        <f>'Acct Summary 7-8'!E17</f>
        <v>22455393</v>
      </c>
      <c r="C2635" s="2" t="s">
        <v>573</v>
      </c>
      <c r="D2635" s="2" t="str">
        <f t="shared" si="40"/>
        <v>Error?</v>
      </c>
    </row>
    <row r="2636" spans="1:4" x14ac:dyDescent="0.2">
      <c r="A2636" s="5">
        <v>2575</v>
      </c>
      <c r="B2636" s="138">
        <f>'Acct Summary 7-8'!E20</f>
        <v>-19825345</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1051</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1051</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497259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857014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69936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857014</v>
      </c>
      <c r="D2912" s="2" t="str">
        <f t="shared" si="44"/>
        <v>Error?</v>
      </c>
    </row>
    <row r="2913" spans="1:4" x14ac:dyDescent="0.2">
      <c r="A2913" s="5">
        <v>2852</v>
      </c>
      <c r="B2913" s="138">
        <f>'Assets-Liab 5-6'!I41</f>
        <v>857014</v>
      </c>
      <c r="C2913" s="2" t="s">
        <v>573</v>
      </c>
      <c r="D2913" s="2" t="str">
        <f t="shared" si="44"/>
        <v>Error?</v>
      </c>
    </row>
    <row r="2914" spans="1:4" x14ac:dyDescent="0.2">
      <c r="A2914" s="5">
        <v>2853</v>
      </c>
      <c r="B2914" s="138">
        <f>'Assets-Liab 5-6'!L33</f>
        <v>69936</v>
      </c>
      <c r="D2914" s="2" t="str">
        <f t="shared" si="44"/>
        <v>Error?</v>
      </c>
    </row>
    <row r="2915" spans="1:4" x14ac:dyDescent="0.2">
      <c r="A2915" s="10">
        <v>2854</v>
      </c>
      <c r="D2915" s="2" t="str">
        <f t="shared" si="44"/>
        <v>OK</v>
      </c>
    </row>
    <row r="2916" spans="1:4" x14ac:dyDescent="0.2">
      <c r="A2916" s="5">
        <v>2855</v>
      </c>
      <c r="B2916" s="138">
        <f>'Assets-Liab 5-6'!L34</f>
        <v>69936</v>
      </c>
      <c r="C2916" s="2" t="s">
        <v>573</v>
      </c>
      <c r="D2916" s="2" t="str">
        <f t="shared" si="44"/>
        <v>Error?</v>
      </c>
    </row>
    <row r="2917" spans="1:4" x14ac:dyDescent="0.2">
      <c r="A2917" s="5">
        <v>2856</v>
      </c>
      <c r="B2917" s="138">
        <f>'Assets-Liab 5-6'!L41</f>
        <v>69936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18385000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52317</v>
      </c>
      <c r="C3225" s="2" t="s">
        <v>573</v>
      </c>
      <c r="D3225" s="2" t="str">
        <f t="shared" si="49"/>
        <v>Error?</v>
      </c>
    </row>
    <row r="3226" spans="1:4" x14ac:dyDescent="0.2">
      <c r="A3226" s="5">
        <v>3165</v>
      </c>
      <c r="B3226" s="138">
        <f>'Acct Summary 7-8'!I8</f>
        <v>52317</v>
      </c>
      <c r="C3226" s="2" t="s">
        <v>573</v>
      </c>
      <c r="D3226" s="2" t="str">
        <f t="shared" si="49"/>
        <v>Error?</v>
      </c>
    </row>
    <row r="3227" spans="1:4" x14ac:dyDescent="0.2">
      <c r="A3227" s="5">
        <v>3166</v>
      </c>
      <c r="B3227" s="138">
        <f>'Acct Summary 7-8'!I20</f>
        <v>52317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800000</v>
      </c>
      <c r="C3231" s="2" t="s">
        <v>573</v>
      </c>
      <c r="D3231" s="2" t="str">
        <f t="shared" si="49"/>
        <v>Error?</v>
      </c>
    </row>
    <row r="3232" spans="1:4" x14ac:dyDescent="0.2">
      <c r="A3232" s="5">
        <v>3171</v>
      </c>
      <c r="B3232" s="138">
        <f>'Acct Summary 7-8'!C77</f>
        <v>-800000</v>
      </c>
      <c r="C3232" s="2" t="s">
        <v>573</v>
      </c>
      <c r="D3232" s="2" t="str">
        <f t="shared" si="49"/>
        <v>Error?</v>
      </c>
    </row>
    <row r="3233" spans="1:4" x14ac:dyDescent="0.2">
      <c r="A3233" s="5">
        <v>3172</v>
      </c>
      <c r="B3233" s="138">
        <f>'Acct Summary 7-8'!C78</f>
        <v>278148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800000</v>
      </c>
      <c r="C3235" s="2" t="s">
        <v>573</v>
      </c>
      <c r="D3235" s="2" t="str">
        <f t="shared" si="49"/>
        <v>Error?</v>
      </c>
    </row>
    <row r="3236" spans="1:4" x14ac:dyDescent="0.2">
      <c r="A3236" s="5">
        <v>3175</v>
      </c>
      <c r="B3236" s="138">
        <f>'Acct Summary 7-8'!D75</f>
        <v>800000</v>
      </c>
      <c r="D3236" s="2" t="str">
        <f t="shared" si="49"/>
        <v>Error?</v>
      </c>
    </row>
    <row r="3237" spans="1:4" x14ac:dyDescent="0.2">
      <c r="A3237" s="5">
        <v>3176</v>
      </c>
      <c r="B3237" s="138">
        <f>'Acct Summary 7-8'!D76</f>
        <v>800000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-111106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-73363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72933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800000</v>
      </c>
      <c r="D3273" s="2" t="str">
        <f t="shared" si="50"/>
        <v>Error?</v>
      </c>
    </row>
    <row r="3274" spans="1:4" x14ac:dyDescent="0.2">
      <c r="A3274" s="5">
        <v>3213</v>
      </c>
      <c r="B3274" s="138">
        <f>'Acct Summary 7-8'!E44</f>
        <v>20075715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20075715</v>
      </c>
      <c r="C3277" s="2" t="s">
        <v>573</v>
      </c>
      <c r="D3277" s="2" t="str">
        <f t="shared" si="50"/>
        <v>Error?</v>
      </c>
    </row>
    <row r="3278" spans="1:4" x14ac:dyDescent="0.2">
      <c r="A3278" s="5">
        <v>3217</v>
      </c>
      <c r="B3278" s="138">
        <f>'Acct Summary 7-8'!E78</f>
        <v>250370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52317</v>
      </c>
      <c r="C3320" s="2" t="s">
        <v>573</v>
      </c>
      <c r="D3320" s="2" t="str">
        <f t="shared" si="50"/>
        <v>Error?</v>
      </c>
    </row>
    <row r="3321" spans="1:4" x14ac:dyDescent="0.2">
      <c r="A3321" s="5">
        <v>3260</v>
      </c>
      <c r="B3321" s="138">
        <f>'Acct Summary 7-8'!I79</f>
        <v>804697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857014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1068225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211666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2535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11765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2073</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11880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1296264</v>
      </c>
      <c r="C3380" s="2" t="s">
        <v>573</v>
      </c>
      <c r="D3380" s="2" t="str">
        <f t="shared" si="51"/>
        <v>Error?</v>
      </c>
    </row>
    <row r="3381" spans="1:4" x14ac:dyDescent="0.2">
      <c r="A3381" s="5">
        <v>3320</v>
      </c>
      <c r="B3381" s="138">
        <f>'Expenditures 15-22'!K19</f>
        <v>11880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63678</v>
      </c>
      <c r="D3387" s="2" t="str">
        <f t="shared" si="51"/>
        <v>Error?</v>
      </c>
    </row>
    <row r="3388" spans="1:4" x14ac:dyDescent="0.2">
      <c r="A3388" s="5">
        <v>3327</v>
      </c>
      <c r="B3388" s="138">
        <f>'Expenditures 15-22'!D217</f>
        <v>61094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63678</v>
      </c>
      <c r="C3390" s="2" t="s">
        <v>573</v>
      </c>
      <c r="D3390" s="2" t="str">
        <f t="shared" si="51"/>
        <v>Error?</v>
      </c>
    </row>
    <row r="3391" spans="1:4" x14ac:dyDescent="0.2">
      <c r="A3391" s="5">
        <v>3330</v>
      </c>
      <c r="B3391" s="138">
        <f>'Expenditures 15-22'!K217</f>
        <v>61094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4895540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418179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961217</v>
      </c>
      <c r="D3417" s="2" t="str">
        <f t="shared" si="52"/>
        <v>Error?</v>
      </c>
    </row>
    <row r="3418" spans="1:4" x14ac:dyDescent="0.2">
      <c r="A3418" s="10">
        <v>3357</v>
      </c>
      <c r="D3418" s="2" t="str">
        <f t="shared" si="52"/>
        <v>OK</v>
      </c>
    </row>
    <row r="3419" spans="1:4" x14ac:dyDescent="0.2">
      <c r="A3419" s="5">
        <v>3358</v>
      </c>
      <c r="B3419" s="138">
        <f>'Assets-Liab 5-6'!F4</f>
        <v>142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518136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359755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69936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188882</v>
      </c>
      <c r="C3446" s="2" t="s">
        <v>573</v>
      </c>
      <c r="D3446" s="2" t="str">
        <f t="shared" si="52"/>
        <v>Error?</v>
      </c>
    </row>
    <row r="3447" spans="1:4" x14ac:dyDescent="0.2">
      <c r="A3447" s="5">
        <v>3386</v>
      </c>
      <c r="B3447" s="138">
        <f>'Tax Sched 23'!D16</f>
        <v>132865</v>
      </c>
      <c r="C3447" s="2" t="s">
        <v>573</v>
      </c>
      <c r="D3447" s="2" t="str">
        <f t="shared" si="52"/>
        <v>Error?</v>
      </c>
    </row>
    <row r="3448" spans="1:4" x14ac:dyDescent="0.2">
      <c r="A3448" s="5">
        <v>3387</v>
      </c>
      <c r="B3448" s="138">
        <f>'Tax Sched 23'!C16</f>
        <v>56017</v>
      </c>
      <c r="D3448" s="2" t="str">
        <f t="shared" si="52"/>
        <v>Error?</v>
      </c>
    </row>
    <row r="3449" spans="1:4" x14ac:dyDescent="0.2">
      <c r="A3449" s="5">
        <v>3388</v>
      </c>
      <c r="B3449" s="138">
        <f>'Tax Sched 23'!F16</f>
        <v>126050</v>
      </c>
      <c r="C3449" s="2" t="s">
        <v>573</v>
      </c>
      <c r="D3449" s="2" t="str">
        <f t="shared" si="52"/>
        <v>Error?</v>
      </c>
    </row>
    <row r="3450" spans="1:4" x14ac:dyDescent="0.2">
      <c r="A3450" s="5">
        <v>3389</v>
      </c>
      <c r="B3450" s="138">
        <f>'Tax Sched 23'!E16</f>
        <v>182067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248956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248956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248956</v>
      </c>
      <c r="D3567" s="2" t="str">
        <f t="shared" si="54"/>
        <v>Error?</v>
      </c>
    </row>
    <row r="3568" spans="1:4" x14ac:dyDescent="0.2">
      <c r="A3568" s="5">
        <v>3507</v>
      </c>
      <c r="B3568" s="138">
        <f>'Assets-Liab 5-6'!K41</f>
        <v>248956</v>
      </c>
      <c r="C3568" s="2" t="s">
        <v>573</v>
      </c>
      <c r="D3568" s="2" t="str">
        <f t="shared" si="54"/>
        <v>Error?</v>
      </c>
    </row>
    <row r="3569" spans="1:4" x14ac:dyDescent="0.2">
      <c r="A3569" s="5">
        <v>3508</v>
      </c>
      <c r="B3569" s="138">
        <f>'Acct Summary 7-8'!K4</f>
        <v>15060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15060</v>
      </c>
      <c r="C3571" s="2" t="s">
        <v>573</v>
      </c>
      <c r="D3571" s="2" t="str">
        <f t="shared" si="54"/>
        <v>Error?</v>
      </c>
    </row>
    <row r="3572" spans="1:4" x14ac:dyDescent="0.2">
      <c r="A3572" s="5">
        <v>3511</v>
      </c>
      <c r="B3572" s="138">
        <f>'Acct Summary 7-8'!K13</f>
        <v>36553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36553</v>
      </c>
      <c r="C3575" s="2" t="s">
        <v>573</v>
      </c>
      <c r="D3575" s="2" t="str">
        <f t="shared" si="54"/>
        <v>Error?</v>
      </c>
    </row>
    <row r="3576" spans="1:4" x14ac:dyDescent="0.2">
      <c r="A3576" s="5">
        <v>3515</v>
      </c>
      <c r="B3576" s="138">
        <f>'Acct Summary 7-8'!K20</f>
        <v>-21493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-21493</v>
      </c>
      <c r="C3588" s="2" t="s">
        <v>573</v>
      </c>
      <c r="D3588" s="2" t="str">
        <f t="shared" si="55"/>
        <v>Error?</v>
      </c>
    </row>
    <row r="3589" spans="1:4" x14ac:dyDescent="0.2">
      <c r="A3589" s="5">
        <v>3528</v>
      </c>
      <c r="B3589" s="138">
        <f>'Acct Summary 7-8'!K79</f>
        <v>270449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248956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36553</v>
      </c>
      <c r="D3646" s="2" t="str">
        <f t="shared" si="55"/>
        <v>Error?</v>
      </c>
    </row>
    <row r="3647" spans="1:4" x14ac:dyDescent="0.2">
      <c r="A3647" s="5">
        <v>3586</v>
      </c>
      <c r="B3647" s="138">
        <f>'Expenditures 15-22'!G350</f>
        <v>36553</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36553</v>
      </c>
      <c r="C3649" s="2" t="s">
        <v>573</v>
      </c>
      <c r="D3649" s="2" t="str">
        <f t="shared" si="56"/>
        <v>Error?</v>
      </c>
    </row>
    <row r="3650" spans="1:4" x14ac:dyDescent="0.2">
      <c r="A3650" s="5">
        <v>3589</v>
      </c>
      <c r="B3650" s="138">
        <f>'Expenditures 15-22'!G367</f>
        <v>36553</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36553</v>
      </c>
      <c r="C3669" s="2" t="s">
        <v>573</v>
      </c>
      <c r="D3669" s="2" t="str">
        <f t="shared" si="56"/>
        <v>Error?</v>
      </c>
    </row>
    <row r="3670" spans="1:4" x14ac:dyDescent="0.2">
      <c r="A3670" s="5">
        <v>3609</v>
      </c>
      <c r="B3670" s="138">
        <f>'Expenditures 15-22'!K350</f>
        <v>36553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36553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36553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-21493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45627</v>
      </c>
      <c r="C3725" s="2" t="s">
        <v>573</v>
      </c>
      <c r="D3725" s="2" t="str">
        <f t="shared" si="57"/>
        <v>Error?</v>
      </c>
    </row>
    <row r="3726" spans="1:4" x14ac:dyDescent="0.2">
      <c r="A3726" s="5">
        <v>3665</v>
      </c>
      <c r="B3726" s="138">
        <f>'Tax Sched 23'!D13</f>
        <v>31503</v>
      </c>
      <c r="C3726" s="2" t="s">
        <v>573</v>
      </c>
      <c r="D3726" s="2" t="str">
        <f t="shared" si="57"/>
        <v>Error?</v>
      </c>
    </row>
    <row r="3727" spans="1:4" x14ac:dyDescent="0.2">
      <c r="A3727" s="5">
        <v>3666</v>
      </c>
      <c r="B3727" s="138">
        <f>'Tax Sched 23'!C13</f>
        <v>14124</v>
      </c>
      <c r="D3727" s="2" t="str">
        <f t="shared" si="57"/>
        <v>Error?</v>
      </c>
    </row>
    <row r="3728" spans="1:4" x14ac:dyDescent="0.2">
      <c r="A3728" s="5">
        <v>3667</v>
      </c>
      <c r="B3728" s="138">
        <f>'Tax Sched 23'!F13</f>
        <v>31783</v>
      </c>
      <c r="C3728" s="2" t="s">
        <v>573</v>
      </c>
      <c r="D3728" s="2" t="str">
        <f t="shared" si="57"/>
        <v>Error?</v>
      </c>
    </row>
    <row r="3729" spans="1:4" x14ac:dyDescent="0.2">
      <c r="A3729" s="5">
        <v>3668</v>
      </c>
      <c r="B3729" s="138">
        <f>'Tax Sched 23'!E13</f>
        <v>45907</v>
      </c>
      <c r="D3729" s="2" t="str">
        <f t="shared" si="57"/>
        <v>Error?</v>
      </c>
    </row>
    <row r="3730" spans="1:4" x14ac:dyDescent="0.2">
      <c r="A3730" s="5">
        <v>3669</v>
      </c>
      <c r="B3730" s="138">
        <f>'ICR Computation 30'!E10</f>
        <v>351160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3221642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12723974</v>
      </c>
      <c r="C4122" s="2" t="s">
        <v>573</v>
      </c>
      <c r="D4122" s="2" t="str">
        <f t="shared" si="63"/>
        <v>Error?</v>
      </c>
    </row>
    <row r="4123" spans="1:4" x14ac:dyDescent="0.2">
      <c r="A4123" s="5">
        <v>4062</v>
      </c>
      <c r="B4123" s="138">
        <f>'Acct Summary 7-8'!D10</f>
        <v>328756</v>
      </c>
      <c r="C4123" s="2" t="s">
        <v>573</v>
      </c>
      <c r="D4123" s="2" t="str">
        <f t="shared" si="63"/>
        <v>Error?</v>
      </c>
    </row>
    <row r="4124" spans="1:4" x14ac:dyDescent="0.2">
      <c r="A4124" s="5">
        <v>4063</v>
      </c>
      <c r="B4124" s="138">
        <f>'Acct Summary 7-8'!E10</f>
        <v>2630048</v>
      </c>
      <c r="C4124" s="2" t="s">
        <v>573</v>
      </c>
      <c r="D4124" s="2" t="str">
        <f t="shared" si="63"/>
        <v>Error?</v>
      </c>
    </row>
    <row r="4125" spans="1:4" x14ac:dyDescent="0.2">
      <c r="A4125" s="5">
        <v>4064</v>
      </c>
      <c r="B4125" s="138">
        <f>'Acct Summary 7-8'!F10</f>
        <v>485207</v>
      </c>
      <c r="C4125" s="2" t="s">
        <v>573</v>
      </c>
      <c r="D4125" s="2" t="str">
        <f t="shared" si="63"/>
        <v>Error?</v>
      </c>
    </row>
    <row r="4126" spans="1:4" x14ac:dyDescent="0.2">
      <c r="A4126" s="5">
        <v>4065</v>
      </c>
      <c r="B4126" s="138">
        <f>'Acct Summary 7-8'!G10</f>
        <v>357469</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52317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15060</v>
      </c>
      <c r="C4130" s="2" t="s">
        <v>573</v>
      </c>
      <c r="D4130" s="2" t="str">
        <f t="shared" si="63"/>
        <v>Error?</v>
      </c>
    </row>
    <row r="4131" spans="1:4" x14ac:dyDescent="0.2">
      <c r="A4131" s="5">
        <v>4070</v>
      </c>
      <c r="B4131" s="138">
        <f>'Acct Summary 7-8'!C18</f>
        <v>3221642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11645826</v>
      </c>
      <c r="C4136" s="2" t="s">
        <v>573</v>
      </c>
      <c r="D4136" s="2" t="str">
        <f t="shared" si="63"/>
        <v>Error?</v>
      </c>
    </row>
    <row r="4137" spans="1:4" x14ac:dyDescent="0.2">
      <c r="A4137" s="5">
        <v>4076</v>
      </c>
      <c r="B4137" s="138">
        <f>'Acct Summary 7-8'!D19</f>
        <v>439862</v>
      </c>
      <c r="C4137" s="2" t="s">
        <v>573</v>
      </c>
      <c r="D4137" s="2" t="str">
        <f t="shared" si="63"/>
        <v>Error?</v>
      </c>
    </row>
    <row r="4138" spans="1:4" x14ac:dyDescent="0.2">
      <c r="A4138" s="5">
        <v>4077</v>
      </c>
      <c r="B4138" s="138">
        <f>'Acct Summary 7-8'!E19</f>
        <v>22455393</v>
      </c>
      <c r="C4138" s="2" t="s">
        <v>573</v>
      </c>
      <c r="D4138" s="2" t="str">
        <f t="shared" si="63"/>
        <v>Error?</v>
      </c>
    </row>
    <row r="4139" spans="1:4" x14ac:dyDescent="0.2">
      <c r="A4139" s="5">
        <v>4078</v>
      </c>
      <c r="B4139" s="138">
        <f>'Acct Summary 7-8'!F19</f>
        <v>558570</v>
      </c>
      <c r="C4139" s="2" t="s">
        <v>573</v>
      </c>
      <c r="D4139" s="2" t="str">
        <f t="shared" si="63"/>
        <v>Error?</v>
      </c>
    </row>
    <row r="4140" spans="1:4" x14ac:dyDescent="0.2">
      <c r="A4140" s="5">
        <v>4079</v>
      </c>
      <c r="B4140" s="138">
        <f>'Acct Summary 7-8'!G19</f>
        <v>284536</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36553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33375000</v>
      </c>
      <c r="C4171" s="2" t="s">
        <v>573</v>
      </c>
      <c r="D4171" s="2" t="str">
        <f t="shared" si="64"/>
        <v>Error?</v>
      </c>
    </row>
    <row r="4172" spans="1:4" x14ac:dyDescent="0.2">
      <c r="A4172" s="5">
        <v>4111</v>
      </c>
      <c r="B4172" s="138">
        <f>'Short-Term Long-Term Debt 24'!J49</f>
        <v>32413783</v>
      </c>
      <c r="C4172" s="2" t="s">
        <v>573</v>
      </c>
      <c r="D4172" s="2" t="str">
        <f t="shared" si="64"/>
        <v>Error?</v>
      </c>
    </row>
    <row r="4173" spans="1:4" x14ac:dyDescent="0.2">
      <c r="A4173" s="5">
        <v>4112</v>
      </c>
      <c r="B4173" s="138">
        <f>'Short-Term Long-Term Debt 24'!H49</f>
        <v>19970000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500000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1990</v>
      </c>
      <c r="C4265" s="2" t="s">
        <v>573</v>
      </c>
      <c r="D4265" s="2" t="str">
        <f t="shared" si="65"/>
        <v>Error?</v>
      </c>
      <c r="E4265" s="128"/>
    </row>
    <row r="4266" spans="1:5" x14ac:dyDescent="0.2">
      <c r="A4266" s="12">
        <v>4205</v>
      </c>
      <c r="B4266" s="138">
        <f>('FP Info 3'!F10)*100000</f>
        <v>350</v>
      </c>
      <c r="C4266" s="2" t="s">
        <v>573</v>
      </c>
      <c r="D4266" s="2" t="str">
        <f t="shared" si="65"/>
        <v>Error?</v>
      </c>
      <c r="E4266" s="128"/>
    </row>
    <row r="4267" spans="1:5" x14ac:dyDescent="0.2">
      <c r="A4267" s="12">
        <v>4206</v>
      </c>
      <c r="B4267" s="138">
        <f>('FP Info 3'!H10)*100000</f>
        <v>119.99999999999999</v>
      </c>
      <c r="C4267" s="2" t="s">
        <v>573</v>
      </c>
      <c r="D4267" s="2" t="str">
        <f t="shared" si="65"/>
        <v>Error?</v>
      </c>
      <c r="E4267" s="128"/>
    </row>
    <row r="4268" spans="1:5" x14ac:dyDescent="0.2">
      <c r="A4268" s="12">
        <v>4207</v>
      </c>
      <c r="B4268" s="138">
        <f>('FP Info 3'!J10)*100000</f>
        <v>2460</v>
      </c>
      <c r="C4268" s="2" t="s">
        <v>573</v>
      </c>
      <c r="D4268" s="2" t="str">
        <f t="shared" si="65"/>
        <v>Error?</v>
      </c>
    </row>
    <row r="4269" spans="1:5" x14ac:dyDescent="0.2">
      <c r="A4269" s="12">
        <v>4208</v>
      </c>
      <c r="B4269" s="138">
        <f>'FP Info 3'!J16</f>
        <v>8707036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38099</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13338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62755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29725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486824</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486824</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16297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91813808</v>
      </c>
      <c r="D4995" s="2" t="str">
        <f t="shared" si="77"/>
        <v>Error?</v>
      </c>
    </row>
    <row r="4996" spans="1:4" x14ac:dyDescent="0.2">
      <c r="A4996" s="12">
        <v>4935</v>
      </c>
      <c r="B4996" s="138">
        <f>'FP Info 3'!H31</f>
        <v>6335152.7520000003</v>
      </c>
      <c r="D4996" s="2" t="str">
        <f t="shared" si="77"/>
        <v>Error?</v>
      </c>
    </row>
    <row r="4997" spans="1:4" x14ac:dyDescent="0.2">
      <c r="A4997" s="12">
        <v>4936</v>
      </c>
      <c r="B4997" s="138">
        <f>'FP Info 3'!H37</f>
        <v>33375000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800000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800000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45627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1823594</v>
      </c>
      <c r="D5061" s="2" t="str">
        <f t="shared" si="78"/>
        <v>Error?</v>
      </c>
    </row>
    <row r="5062" spans="1:4" x14ac:dyDescent="0.2">
      <c r="A5062" s="10">
        <v>5001</v>
      </c>
      <c r="D5062" s="2" t="str">
        <f t="shared" si="78"/>
        <v>OK</v>
      </c>
    </row>
    <row r="5063" spans="1:4" x14ac:dyDescent="0.2">
      <c r="A5063" s="5">
        <v>5002</v>
      </c>
      <c r="B5063" s="138">
        <f>'Revenues 9-14'!C7</f>
        <v>18329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1887550</v>
      </c>
      <c r="C5066" s="2" t="s">
        <v>573</v>
      </c>
      <c r="D5066" s="2" t="str">
        <f t="shared" si="78"/>
        <v>Error?</v>
      </c>
    </row>
    <row r="5067" spans="1:4" x14ac:dyDescent="0.2">
      <c r="A5067" s="5">
        <v>5006</v>
      </c>
      <c r="B5067" s="138">
        <f>'Revenues 9-14'!C14</f>
        <v>1748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107142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108890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9400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9400</v>
      </c>
      <c r="C5087" s="2" t="s">
        <v>573</v>
      </c>
      <c r="D5087" s="2" t="str">
        <f t="shared" si="78"/>
        <v>Error?</v>
      </c>
    </row>
    <row r="5088" spans="1:4" x14ac:dyDescent="0.2">
      <c r="A5088" s="5">
        <v>5027</v>
      </c>
      <c r="B5088" s="138">
        <f>'Revenues 9-14'!C65</f>
        <v>88471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88471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8698</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7329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94053</v>
      </c>
      <c r="C5096" s="2" t="s">
        <v>573</v>
      </c>
      <c r="D5096" s="2" t="str">
        <f t="shared" si="78"/>
        <v>Error?</v>
      </c>
    </row>
    <row r="5097" spans="1:4" x14ac:dyDescent="0.2">
      <c r="A5097" s="5">
        <v>5036</v>
      </c>
      <c r="B5097" s="138">
        <f>'Revenues 9-14'!C77</f>
        <v>7035</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7035</v>
      </c>
      <c r="C5102" s="2" t="s">
        <v>573</v>
      </c>
      <c r="D5102" s="2" t="str">
        <f t="shared" si="78"/>
        <v>Error?</v>
      </c>
    </row>
    <row r="5103" spans="1:4" x14ac:dyDescent="0.2">
      <c r="A5103" s="5">
        <v>5042</v>
      </c>
      <c r="B5103" s="138">
        <f>'Revenues 9-14'!C84</f>
        <v>23144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23144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82608</v>
      </c>
      <c r="D5118" s="2" t="str">
        <f t="shared" si="78"/>
        <v>Error?</v>
      </c>
    </row>
    <row r="5119" spans="1:4" x14ac:dyDescent="0.2">
      <c r="A5119" s="5">
        <v>5058</v>
      </c>
      <c r="B5119" s="138">
        <f>'Revenues 9-14'!C107</f>
        <v>28185</v>
      </c>
      <c r="D5119" s="2" t="str">
        <f t="shared" ref="D5119:D5182" si="79">IF(ISBLANK(B5119),"OK",IF(A5119-B5119=0,"OK","Error?"))</f>
        <v>Error?</v>
      </c>
    </row>
    <row r="5120" spans="1:4" x14ac:dyDescent="0.2">
      <c r="A5120" s="5">
        <v>5059</v>
      </c>
      <c r="B5120" s="138">
        <f>'Revenues 9-14'!C108</f>
        <v>646216</v>
      </c>
      <c r="C5120" s="2" t="s">
        <v>573</v>
      </c>
      <c r="D5120" s="2" t="str">
        <f t="shared" si="79"/>
        <v>Error?</v>
      </c>
    </row>
    <row r="5121" spans="1:4" x14ac:dyDescent="0.2">
      <c r="A5121" s="5">
        <v>5060</v>
      </c>
      <c r="B5121" s="138">
        <f>'Revenues 9-14'!C109</f>
        <v>2864759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5118932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5118932</v>
      </c>
      <c r="C5132" s="2" t="s">
        <v>573</v>
      </c>
      <c r="D5132" s="2" t="str">
        <f t="shared" si="79"/>
        <v>Error?</v>
      </c>
    </row>
    <row r="5133" spans="1:4" x14ac:dyDescent="0.2">
      <c r="A5133" s="5">
        <v>5072</v>
      </c>
      <c r="B5133" s="138">
        <f>'Revenues 9-14'!C125</f>
        <v>542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106664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107206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936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936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8224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100697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233360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5352292</v>
      </c>
      <c r="C5223" s="2" t="s">
        <v>573</v>
      </c>
      <c r="D5223" s="2" t="str">
        <f t="shared" si="80"/>
        <v>Error?</v>
      </c>
    </row>
    <row r="5224" spans="1:4" x14ac:dyDescent="0.2">
      <c r="A5224" s="5">
        <v>5163</v>
      </c>
      <c r="B5224" s="138">
        <f>'Revenues 9-14'!C173</f>
        <v>40705</v>
      </c>
      <c r="D5224" s="2" t="str">
        <f t="shared" si="80"/>
        <v>Error?</v>
      </c>
    </row>
    <row r="5225" spans="1:4" x14ac:dyDescent="0.2">
      <c r="A5225" s="5">
        <v>5164</v>
      </c>
      <c r="B5225" s="138">
        <f>'Revenues 9-14'!C175</f>
        <v>40705</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353492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127702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519293</v>
      </c>
      <c r="C5246" s="2" t="s">
        <v>573</v>
      </c>
      <c r="D5246" s="2" t="str">
        <f t="shared" si="80"/>
        <v>Error?</v>
      </c>
    </row>
    <row r="5247" spans="1:4" x14ac:dyDescent="0.2">
      <c r="A5247" s="5">
        <v>5186</v>
      </c>
      <c r="B5247" s="138">
        <f>'Revenues 9-14'!C200</f>
        <v>379094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379094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742</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234907</v>
      </c>
      <c r="D5278" s="2" t="str">
        <f t="shared" si="81"/>
        <v>Error?</v>
      </c>
    </row>
    <row r="5279" spans="1:4" x14ac:dyDescent="0.2">
      <c r="A5279" s="5">
        <v>5218</v>
      </c>
      <c r="B5279" s="138">
        <f>'Revenues 9-14'!C214</f>
        <v>4722</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240371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1244576</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1285281</v>
      </c>
      <c r="C5326" s="2" t="s">
        <v>573</v>
      </c>
      <c r="D5326" s="2" t="str">
        <f t="shared" si="82"/>
        <v>Error?</v>
      </c>
    </row>
    <row r="5327" spans="1:5" x14ac:dyDescent="0.2">
      <c r="A5327" s="5">
        <v>5266</v>
      </c>
      <c r="B5327" s="138">
        <f>'Revenues 9-14'!C268</f>
        <v>9502332</v>
      </c>
      <c r="C5327" s="2" t="s">
        <v>573</v>
      </c>
      <c r="D5327" s="2" t="str">
        <f t="shared" si="82"/>
        <v>Error?</v>
      </c>
    </row>
    <row r="5328" spans="1:5" x14ac:dyDescent="0.2">
      <c r="A5328" s="5">
        <v>5267</v>
      </c>
      <c r="B5328" s="138">
        <f>'Revenues 9-14'!D5</f>
        <v>320732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320732</v>
      </c>
      <c r="C5334" s="2" t="s">
        <v>573</v>
      </c>
      <c r="D5334" s="2" t="str">
        <f t="shared" si="82"/>
        <v>Error?</v>
      </c>
    </row>
    <row r="5335" spans="1:4" x14ac:dyDescent="0.2">
      <c r="A5335" s="5">
        <v>5274</v>
      </c>
      <c r="B5335" s="138">
        <f>'Revenues 9-14'!D14</f>
        <v>297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297</v>
      </c>
      <c r="C5339" s="2" t="s">
        <v>573</v>
      </c>
      <c r="D5339" s="2" t="str">
        <f t="shared" si="82"/>
        <v>Error?</v>
      </c>
    </row>
    <row r="5340" spans="1:4" x14ac:dyDescent="0.2">
      <c r="A5340" s="5">
        <v>5279</v>
      </c>
      <c r="B5340" s="138">
        <f>'Revenues 9-14'!D65</f>
        <v>3695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3695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4032</v>
      </c>
      <c r="D5354" s="2" t="str">
        <f t="shared" si="82"/>
        <v>Error?</v>
      </c>
    </row>
    <row r="5355" spans="1:4" x14ac:dyDescent="0.2">
      <c r="A5355" s="5">
        <v>5294</v>
      </c>
      <c r="B5355" s="138">
        <f>'Revenues 9-14'!D108</f>
        <v>4032</v>
      </c>
      <c r="C5355" s="2" t="s">
        <v>573</v>
      </c>
      <c r="D5355" s="2" t="str">
        <f t="shared" si="82"/>
        <v>Error?</v>
      </c>
    </row>
    <row r="5356" spans="1:4" x14ac:dyDescent="0.2">
      <c r="A5356" s="5">
        <v>5295</v>
      </c>
      <c r="B5356" s="138">
        <f>'Revenues 9-14'!D109</f>
        <v>328756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328756</v>
      </c>
      <c r="C5508" s="2" t="s">
        <v>573</v>
      </c>
      <c r="D5508" s="2" t="str">
        <f t="shared" si="85"/>
        <v>Error?</v>
      </c>
    </row>
    <row r="5509" spans="1:4" x14ac:dyDescent="0.2">
      <c r="A5509" s="5">
        <v>5448</v>
      </c>
      <c r="B5509" s="138">
        <f>'Revenues 9-14'!E5</f>
        <v>1933238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1933238</v>
      </c>
      <c r="C5513" s="2" t="s">
        <v>573</v>
      </c>
      <c r="D5513" s="2" t="str">
        <f t="shared" si="85"/>
        <v>Error?</v>
      </c>
    </row>
    <row r="5514" spans="1:4" x14ac:dyDescent="0.2">
      <c r="A5514" s="5">
        <v>5453</v>
      </c>
      <c r="B5514" s="138">
        <f>'Revenues 9-14'!E14</f>
        <v>1784</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1784</v>
      </c>
      <c r="C5518" s="2" t="s">
        <v>573</v>
      </c>
      <c r="D5518" s="2" t="str">
        <f t="shared" si="85"/>
        <v>Error?</v>
      </c>
    </row>
    <row r="5519" spans="1:4" x14ac:dyDescent="0.2">
      <c r="A5519" s="5">
        <v>5458</v>
      </c>
      <c r="B5519" s="138">
        <f>'Revenues 9-14'!E65</f>
        <v>8194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8194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8</v>
      </c>
      <c r="D5525" s="2" t="str">
        <f t="shared" si="85"/>
        <v>Error?</v>
      </c>
    </row>
    <row r="5526" spans="1:4" x14ac:dyDescent="0.2">
      <c r="A5526" s="5">
        <v>5465</v>
      </c>
      <c r="B5526" s="138">
        <f>'Revenues 9-14'!E108</f>
        <v>8</v>
      </c>
      <c r="C5526" s="2" t="s">
        <v>573</v>
      </c>
      <c r="D5526" s="2" t="str">
        <f t="shared" si="85"/>
        <v>Error?</v>
      </c>
    </row>
    <row r="5527" spans="1:4" x14ac:dyDescent="0.2">
      <c r="A5527" s="5">
        <v>5466</v>
      </c>
      <c r="B5527" s="138">
        <f>'Revenues 9-14'!E109</f>
        <v>1943224</v>
      </c>
      <c r="C5527" s="2" t="s">
        <v>573</v>
      </c>
      <c r="D5527" s="2" t="str">
        <f t="shared" si="85"/>
        <v>Error?</v>
      </c>
    </row>
    <row r="5528" spans="1:4" x14ac:dyDescent="0.2">
      <c r="A5528" s="5">
        <v>5467</v>
      </c>
      <c r="B5528" s="138">
        <f>'Revenues 9-14'!E117</f>
        <v>200000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200000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200000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2630048</v>
      </c>
      <c r="C5552" s="2" t="s">
        <v>573</v>
      </c>
      <c r="D5552" s="2" t="str">
        <f t="shared" si="85"/>
        <v>Error?</v>
      </c>
    </row>
    <row r="5553" spans="1:4" x14ac:dyDescent="0.2">
      <c r="A5553" s="5">
        <v>5492</v>
      </c>
      <c r="B5553" s="138">
        <f>'Revenues 9-14'!F5</f>
        <v>109966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109966</v>
      </c>
      <c r="C5557" s="2" t="s">
        <v>573</v>
      </c>
      <c r="D5557" s="2" t="str">
        <f t="shared" si="85"/>
        <v>Error?</v>
      </c>
    </row>
    <row r="5558" spans="1:4" x14ac:dyDescent="0.2">
      <c r="A5558" s="5">
        <v>5497</v>
      </c>
      <c r="B5558" s="138">
        <f>'Revenues 9-14'!F14</f>
        <v>102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102</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569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569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8786</v>
      </c>
      <c r="D5586" s="2" t="str">
        <f t="shared" si="86"/>
        <v>Error?</v>
      </c>
    </row>
    <row r="5587" spans="1:4" x14ac:dyDescent="0.2">
      <c r="A5587" s="5">
        <v>5526</v>
      </c>
      <c r="B5587" s="138">
        <f>'Revenues 9-14'!F108</f>
        <v>8786</v>
      </c>
      <c r="C5587" s="2" t="s">
        <v>573</v>
      </c>
      <c r="D5587" s="2" t="str">
        <f t="shared" si="86"/>
        <v>Error?</v>
      </c>
    </row>
    <row r="5588" spans="1:4" x14ac:dyDescent="0.2">
      <c r="A5588" s="5">
        <v>5527</v>
      </c>
      <c r="B5588" s="138">
        <f>'Revenues 9-14'!F109</f>
        <v>119423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66500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66500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131556</v>
      </c>
      <c r="D5615" s="2" t="str">
        <f t="shared" si="86"/>
        <v>Error?</v>
      </c>
    </row>
    <row r="5616" spans="1:4" x14ac:dyDescent="0.2">
      <c r="A5616" s="10">
        <v>5555</v>
      </c>
      <c r="D5616" s="2" t="str">
        <f t="shared" si="86"/>
        <v>OK</v>
      </c>
    </row>
    <row r="5617" spans="1:5" x14ac:dyDescent="0.2">
      <c r="A5617" s="5">
        <v>5556</v>
      </c>
      <c r="B5617" s="138">
        <f>'Revenues 9-14'!F153</f>
        <v>167728</v>
      </c>
      <c r="D5617" s="2" t="str">
        <f t="shared" si="86"/>
        <v>Error?</v>
      </c>
    </row>
    <row r="5618" spans="1:5" x14ac:dyDescent="0.2">
      <c r="A5618" s="5">
        <v>5557</v>
      </c>
      <c r="B5618" s="138">
        <f>'Revenues 9-14'!F155</f>
        <v>299284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299284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365784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485207</v>
      </c>
      <c r="C5720" s="2" t="s">
        <v>573</v>
      </c>
      <c r="D5720" s="2" t="str">
        <f t="shared" si="88"/>
        <v>Error?</v>
      </c>
    </row>
    <row r="5721" spans="1:4" x14ac:dyDescent="0.2">
      <c r="A5721" s="5">
        <v>5660</v>
      </c>
      <c r="B5721" s="138">
        <f>'Revenues 9-14'!G5</f>
        <v>145122</v>
      </c>
      <c r="D5721" s="2" t="str">
        <f t="shared" si="88"/>
        <v>Error?</v>
      </c>
    </row>
    <row r="5722" spans="1:4" x14ac:dyDescent="0.2">
      <c r="A5722" s="5">
        <v>5661</v>
      </c>
      <c r="B5722" s="138">
        <f>'Revenues 9-14'!G7</f>
        <v>0</v>
      </c>
      <c r="D5722" s="2" t="str">
        <f t="shared" si="88"/>
        <v>Error?</v>
      </c>
    </row>
    <row r="5723" spans="1:4" x14ac:dyDescent="0.2">
      <c r="A5723" s="5">
        <v>5662</v>
      </c>
      <c r="B5723" s="138">
        <f>'Revenues 9-14'!G8</f>
        <v>188882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334004</v>
      </c>
      <c r="C5725" s="2" t="s">
        <v>573</v>
      </c>
      <c r="D5725" s="2" t="str">
        <f t="shared" si="88"/>
        <v>Error?</v>
      </c>
    </row>
    <row r="5726" spans="1:4" x14ac:dyDescent="0.2">
      <c r="A5726" s="5">
        <v>5665</v>
      </c>
      <c r="B5726" s="138">
        <f>'Revenues 9-14'!G14</f>
        <v>314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10314</v>
      </c>
      <c r="C5730" s="2" t="s">
        <v>573</v>
      </c>
      <c r="D5730" s="2" t="str">
        <f t="shared" si="88"/>
        <v>Error?</v>
      </c>
    </row>
    <row r="5731" spans="1:4" x14ac:dyDescent="0.2">
      <c r="A5731" s="5">
        <v>5670</v>
      </c>
      <c r="B5731" s="138">
        <f>'Revenues 9-14'!G65</f>
        <v>13151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13151</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357469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45818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45818</v>
      </c>
      <c r="C5918" s="2" t="s">
        <v>573</v>
      </c>
      <c r="D5918" s="2" t="str">
        <f t="shared" si="91"/>
        <v>Error?</v>
      </c>
    </row>
    <row r="5919" spans="1:4" x14ac:dyDescent="0.2">
      <c r="A5919" s="5">
        <v>5858</v>
      </c>
      <c r="B5919" s="138">
        <f>'Revenues 9-14'!I14</f>
        <v>42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42</v>
      </c>
      <c r="C5923" s="2" t="s">
        <v>573</v>
      </c>
      <c r="D5923" s="2" t="str">
        <f t="shared" si="91"/>
        <v>Error?</v>
      </c>
    </row>
    <row r="5924" spans="1:4" x14ac:dyDescent="0.2">
      <c r="A5924" s="5">
        <v>5863</v>
      </c>
      <c r="B5924" s="138">
        <f>'Revenues 9-14'!I65</f>
        <v>6457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6457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52317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10141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10141</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4919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4919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15060</v>
      </c>
      <c r="C6023" s="2" t="s">
        <v>573</v>
      </c>
      <c r="D6023" s="2" t="str">
        <f t="shared" si="93"/>
        <v>Error?</v>
      </c>
    </row>
    <row r="6024" spans="1:5" x14ac:dyDescent="0.2">
      <c r="A6024" s="5">
        <v>5963</v>
      </c>
      <c r="B6024" s="138">
        <f>'Revenues 9-14'!G109</f>
        <v>357469</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52317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15060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78026</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38099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996.75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671357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671357</v>
      </c>
      <c r="D6215" s="2" t="str">
        <f t="shared" si="96"/>
        <v>Error?</v>
      </c>
      <c r="E6215" s="2" t="s">
        <v>190</v>
      </c>
    </row>
    <row r="6216" spans="1:5" x14ac:dyDescent="0.2">
      <c r="A6216">
        <v>6155</v>
      </c>
      <c r="B6216" s="138">
        <f>'Assets-Liab 5-6'!J41</f>
        <v>671357</v>
      </c>
      <c r="D6216" s="2" t="str">
        <f t="shared" si="96"/>
        <v>Error?</v>
      </c>
      <c r="E6216" s="2" t="s">
        <v>190</v>
      </c>
    </row>
    <row r="6217" spans="1:5" x14ac:dyDescent="0.2">
      <c r="A6217">
        <v>6156</v>
      </c>
      <c r="B6217" s="138">
        <f>'Assets-Liab 5-6'!J4</f>
        <v>671357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220775</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220775</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220775</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150840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150840</v>
      </c>
      <c r="D6229" s="2" t="str">
        <f t="shared" si="96"/>
        <v>Error?</v>
      </c>
      <c r="E6229" s="2" t="s">
        <v>190</v>
      </c>
    </row>
    <row r="6230" spans="1:5" x14ac:dyDescent="0.2">
      <c r="A6230">
        <v>6169</v>
      </c>
      <c r="B6230" s="138">
        <f>'Acct Summary 7-8'!J20</f>
        <v>69935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69935</v>
      </c>
      <c r="D6263" s="2" t="str">
        <f t="shared" si="96"/>
        <v>Error?</v>
      </c>
      <c r="E6263" s="2" t="s">
        <v>190</v>
      </c>
    </row>
    <row r="6264" spans="1:5" x14ac:dyDescent="0.2">
      <c r="A6264">
        <v>6203</v>
      </c>
      <c r="B6264" s="138">
        <f>'Acct Summary 7-8'!J79</f>
        <v>601422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671357</v>
      </c>
      <c r="D6266" s="2" t="str">
        <f t="shared" si="96"/>
        <v>Error?</v>
      </c>
      <c r="E6266" s="2" t="s">
        <v>190</v>
      </c>
    </row>
    <row r="6267" spans="1:5" x14ac:dyDescent="0.2">
      <c r="A6267">
        <v>6206</v>
      </c>
      <c r="B6267" s="138">
        <f>'Acct Summary 7-8'!C82</f>
        <v>278148</v>
      </c>
      <c r="D6267" s="2" t="str">
        <f t="shared" si="96"/>
        <v>Error?</v>
      </c>
      <c r="E6267" s="2" t="s">
        <v>190</v>
      </c>
    </row>
    <row r="6268" spans="1:5" x14ac:dyDescent="0.2">
      <c r="A6268">
        <v>6207</v>
      </c>
      <c r="B6268" s="138">
        <f>'Acct Summary 7-8'!D82</f>
        <v>-111106</v>
      </c>
      <c r="D6268" s="2" t="str">
        <f t="shared" si="96"/>
        <v>Error?</v>
      </c>
      <c r="E6268" s="2" t="s">
        <v>190</v>
      </c>
    </row>
    <row r="6269" spans="1:5" x14ac:dyDescent="0.2">
      <c r="A6269">
        <v>6208</v>
      </c>
      <c r="B6269" s="138">
        <f>'Acct Summary 7-8'!E82</f>
        <v>250370</v>
      </c>
      <c r="D6269" s="2" t="str">
        <f t="shared" si="96"/>
        <v>Error?</v>
      </c>
      <c r="E6269" s="2" t="s">
        <v>190</v>
      </c>
    </row>
    <row r="6270" spans="1:5" x14ac:dyDescent="0.2">
      <c r="A6270">
        <v>6209</v>
      </c>
      <c r="B6270" s="138">
        <f>'Acct Summary 7-8'!F82</f>
        <v>-73363</v>
      </c>
      <c r="D6270" s="2" t="str">
        <f t="shared" si="96"/>
        <v>Error?</v>
      </c>
      <c r="E6270" s="2" t="s">
        <v>190</v>
      </c>
    </row>
    <row r="6271" spans="1:5" x14ac:dyDescent="0.2">
      <c r="A6271">
        <v>6210</v>
      </c>
      <c r="B6271" s="138">
        <f>'Acct Summary 7-8'!G82</f>
        <v>72933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52317</v>
      </c>
      <c r="D6273" s="2" t="str">
        <f t="shared" si="97"/>
        <v>Error?</v>
      </c>
      <c r="E6273" s="2" t="s">
        <v>190</v>
      </c>
    </row>
    <row r="6274" spans="1:5" x14ac:dyDescent="0.2">
      <c r="A6274">
        <v>6213</v>
      </c>
      <c r="B6274" s="138">
        <f>'Acct Summary 7-8'!J82</f>
        <v>69935</v>
      </c>
      <c r="D6274" s="2" t="str">
        <f t="shared" si="97"/>
        <v>Error?</v>
      </c>
      <c r="E6274" s="2" t="s">
        <v>190</v>
      </c>
    </row>
    <row r="6275" spans="1:5" x14ac:dyDescent="0.2">
      <c r="A6275">
        <v>6214</v>
      </c>
      <c r="B6275" s="138">
        <f>'Acct Summary 7-8'!K82</f>
        <v>-21493</v>
      </c>
      <c r="D6275" s="2" t="str">
        <f t="shared" si="97"/>
        <v>Error?</v>
      </c>
      <c r="E6275" s="2" t="s">
        <v>190</v>
      </c>
    </row>
    <row r="6276" spans="1:5" x14ac:dyDescent="0.2">
      <c r="A6276">
        <v>6215</v>
      </c>
      <c r="B6276" s="138">
        <f>'Acct Summary 7-8'!C83</f>
        <v>3.7427232338868313E-2</v>
      </c>
      <c r="D6276" s="2" t="str">
        <f t="shared" si="97"/>
        <v>Error?</v>
      </c>
      <c r="E6276" s="2" t="s">
        <v>190</v>
      </c>
    </row>
    <row r="6277" spans="1:5" x14ac:dyDescent="0.2">
      <c r="A6277">
        <v>6216</v>
      </c>
      <c r="B6277" s="138">
        <f>'Acct Summary 7-8'!D83</f>
        <v>-0.26569005138947677</v>
      </c>
      <c r="D6277" s="2" t="str">
        <f t="shared" si="97"/>
        <v>Error?</v>
      </c>
      <c r="E6277" s="2" t="s">
        <v>190</v>
      </c>
    </row>
    <row r="6278" spans="1:5" x14ac:dyDescent="0.2">
      <c r="A6278">
        <v>6217</v>
      </c>
      <c r="B6278" s="138">
        <f>'Acct Summary 7-8'!E83</f>
        <v>0.26047188095924229</v>
      </c>
      <c r="D6278" s="2" t="str">
        <f t="shared" si="97"/>
        <v>Error?</v>
      </c>
      <c r="E6278" s="2" t="s">
        <v>190</v>
      </c>
    </row>
    <row r="6279" spans="1:5" x14ac:dyDescent="0.2">
      <c r="A6279">
        <v>6218</v>
      </c>
      <c r="B6279" s="138">
        <f>'Acct Summary 7-8'!F83</f>
        <v>-516.64084507042253</v>
      </c>
      <c r="D6279" s="2" t="str">
        <f t="shared" si="97"/>
        <v>Error?</v>
      </c>
      <c r="E6279" s="2" t="s">
        <v>190</v>
      </c>
    </row>
    <row r="6280" spans="1:5" x14ac:dyDescent="0.2">
      <c r="A6280">
        <v>6219</v>
      </c>
      <c r="B6280" s="138">
        <f>'Acct Summary 7-8'!G83</f>
        <v>7.8075438774909411E-2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6.1045677200139085E-2</v>
      </c>
      <c r="D6282" s="2" t="str">
        <f t="shared" si="97"/>
        <v>Error?</v>
      </c>
      <c r="E6282" s="2" t="s">
        <v>190</v>
      </c>
    </row>
    <row r="6283" spans="1:5" x14ac:dyDescent="0.2">
      <c r="A6283">
        <v>6222</v>
      </c>
      <c r="B6283" s="138">
        <f>'Acct Summary 7-8'!J83</f>
        <v>0.10416961467594738</v>
      </c>
      <c r="D6283" s="2" t="str">
        <f t="shared" si="97"/>
        <v>Error?</v>
      </c>
      <c r="E6283" s="2" t="s">
        <v>190</v>
      </c>
    </row>
    <row r="6284" spans="1:5" x14ac:dyDescent="0.2">
      <c r="A6284">
        <v>6223</v>
      </c>
      <c r="B6284" s="138">
        <f>'Acct Summary 7-8'!K83</f>
        <v>-8.633252462282491E-2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212128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212128</v>
      </c>
      <c r="D6301" s="2" t="str">
        <f t="shared" si="97"/>
        <v>Error?</v>
      </c>
      <c r="E6301" s="2" t="s">
        <v>190</v>
      </c>
    </row>
    <row r="6302" spans="1:5" x14ac:dyDescent="0.2">
      <c r="A6302">
        <v>6241</v>
      </c>
      <c r="B6302" s="138">
        <f>'Revenues 9-14'!J14</f>
        <v>197</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197</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8132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8132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535423</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318</v>
      </c>
      <c r="D6350" s="2" t="str">
        <f t="shared" si="98"/>
        <v>Error?</v>
      </c>
      <c r="E6350" s="2" t="s">
        <v>190</v>
      </c>
    </row>
    <row r="6351" spans="1:5" x14ac:dyDescent="0.2">
      <c r="A6351">
        <v>6290</v>
      </c>
      <c r="B6351" s="138">
        <f>'Revenues 9-14'!J108</f>
        <v>318</v>
      </c>
      <c r="D6351" s="2" t="str">
        <f t="shared" si="98"/>
        <v>Error?</v>
      </c>
      <c r="E6351" s="2" t="s">
        <v>190</v>
      </c>
    </row>
    <row r="6352" spans="1:5" x14ac:dyDescent="0.2">
      <c r="A6352">
        <v>6291</v>
      </c>
      <c r="B6352" s="138">
        <f>'Revenues 9-14'!J109</f>
        <v>220775</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13233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486824</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486824</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45744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387162</v>
      </c>
      <c r="D6983" s="2" t="str">
        <f t="shared" si="108"/>
        <v>Error?</v>
      </c>
    </row>
    <row r="6984" spans="1:4" x14ac:dyDescent="0.2">
      <c r="A6984">
        <v>6923</v>
      </c>
      <c r="B6984" s="138">
        <f>'Expenditures 15-22'!K86</f>
        <v>387162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387162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150840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220775</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202</v>
      </c>
      <c r="D7073" s="2" t="str">
        <f t="shared" si="109"/>
        <v>Error?</v>
      </c>
    </row>
    <row r="7074" spans="1:4" x14ac:dyDescent="0.2">
      <c r="A7074">
        <v>7013</v>
      </c>
      <c r="B7074" s="138">
        <f>'Expenditures 15-22'!K216</f>
        <v>202</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1328</v>
      </c>
      <c r="D7093" s="2" t="str">
        <f t="shared" si="109"/>
        <v>Error?</v>
      </c>
    </row>
    <row r="7094" spans="1:4" x14ac:dyDescent="0.2">
      <c r="A7094">
        <v>7033</v>
      </c>
      <c r="B7094" s="138">
        <f>'Expenditures 15-22'!K254</f>
        <v>1328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91983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91983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11085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11085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30170</v>
      </c>
      <c r="D7172" s="2" t="str">
        <f t="shared" si="111"/>
        <v>Error?</v>
      </c>
    </row>
    <row r="7173" spans="1:4" x14ac:dyDescent="0.2">
      <c r="A7173">
        <v>7112</v>
      </c>
      <c r="B7173" s="138">
        <f>'Expenditures 15-22'!D325</f>
        <v>16648</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954</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47772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30170</v>
      </c>
      <c r="D7199" s="2" t="str">
        <f t="shared" si="111"/>
        <v>Error?</v>
      </c>
    </row>
    <row r="7200" spans="1:4" x14ac:dyDescent="0.2">
      <c r="A7200">
        <v>7139</v>
      </c>
      <c r="B7200" s="138">
        <f>'Expenditures 15-22'!D330</f>
        <v>16648</v>
      </c>
      <c r="D7200" s="2" t="str">
        <f t="shared" si="111"/>
        <v>Error?</v>
      </c>
    </row>
    <row r="7201" spans="1:4" x14ac:dyDescent="0.2">
      <c r="A7201">
        <v>7140</v>
      </c>
      <c r="B7201" s="138">
        <f>'Expenditures 15-22'!E330</f>
        <v>103068</v>
      </c>
      <c r="D7201" s="2" t="str">
        <f t="shared" si="111"/>
        <v>Error?</v>
      </c>
    </row>
    <row r="7202" spans="1:4" x14ac:dyDescent="0.2">
      <c r="A7202">
        <v>7141</v>
      </c>
      <c r="B7202" s="138">
        <f>'Expenditures 15-22'!F330</f>
        <v>954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150840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30170</v>
      </c>
      <c r="D7216" s="2" t="str">
        <f t="shared" si="111"/>
        <v>Error?</v>
      </c>
    </row>
    <row r="7217" spans="1:4" x14ac:dyDescent="0.2">
      <c r="A7217">
        <v>7156</v>
      </c>
      <c r="B7217" s="138">
        <f>'Expenditures 15-22'!D342</f>
        <v>16648</v>
      </c>
      <c r="D7217" s="2" t="str">
        <f t="shared" si="111"/>
        <v>Error?</v>
      </c>
    </row>
    <row r="7218" spans="1:4" x14ac:dyDescent="0.2">
      <c r="A7218">
        <v>7157</v>
      </c>
      <c r="B7218" s="138">
        <f>'Expenditures 15-22'!E342</f>
        <v>103068</v>
      </c>
      <c r="D7218" s="2" t="str">
        <f t="shared" si="111"/>
        <v>Error?</v>
      </c>
    </row>
    <row r="7219" spans="1:4" x14ac:dyDescent="0.2">
      <c r="A7219">
        <v>7158</v>
      </c>
      <c r="B7219" s="138">
        <f>'Expenditures 15-22'!F342</f>
        <v>954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150840</v>
      </c>
      <c r="D7224" s="2" t="str">
        <f t="shared" si="111"/>
        <v>Error?</v>
      </c>
    </row>
    <row r="7225" spans="1:4" x14ac:dyDescent="0.2">
      <c r="A7225">
        <v>7164</v>
      </c>
      <c r="B7225" s="138">
        <f>'Expenditures 15-22'!K343</f>
        <v>69935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2600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1896</v>
      </c>
      <c r="D7248" s="2" t="str">
        <f t="shared" si="112"/>
        <v>Error?</v>
      </c>
    </row>
    <row r="7249" spans="1:4" x14ac:dyDescent="0.2">
      <c r="A7249">
        <f t="shared" si="113"/>
        <v>7188</v>
      </c>
      <c r="B7249" s="138">
        <f>'Expenditures 15-22'!G7</f>
        <v>28015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865420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45627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-27298</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486824</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880477</v>
      </c>
      <c r="D7797" s="2" t="str">
        <f t="shared" si="127"/>
        <v>Error?</v>
      </c>
      <c r="E7797" s="4" t="s">
        <v>1901</v>
      </c>
    </row>
    <row r="7798" spans="1:5" x14ac:dyDescent="0.2">
      <c r="A7798">
        <v>7737</v>
      </c>
      <c r="B7798" s="138">
        <f>'Contracts Paid in CY 29'!F141</f>
        <v>125000</v>
      </c>
      <c r="D7798" s="2" t="str">
        <f t="shared" si="127"/>
        <v>Error?</v>
      </c>
      <c r="E7798" s="4" t="s">
        <v>1901</v>
      </c>
    </row>
    <row r="7799" spans="1:5" x14ac:dyDescent="0.2">
      <c r="A7799">
        <v>7738</v>
      </c>
      <c r="B7799" s="138">
        <f>'Contracts Paid in CY 29'!G141</f>
        <v>755477</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zoomScale="110" zoomScaleNormal="110" workbookViewId="0">
      <selection activeCell="Q26" sqref="Q26"/>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388" t="s">
        <v>1190</v>
      </c>
      <c r="B3" s="2388"/>
      <c r="C3" s="2388"/>
      <c r="D3" s="2388"/>
      <c r="E3" s="2388"/>
      <c r="F3" s="2388"/>
      <c r="G3" s="2388"/>
      <c r="H3" s="2388"/>
      <c r="I3" s="2388"/>
      <c r="J3" s="2388"/>
      <c r="K3" s="2388"/>
      <c r="L3" s="2388"/>
    </row>
    <row r="4" spans="1:29" ht="13.5" customHeight="1" x14ac:dyDescent="0.2">
      <c r="A4" s="2402" t="s">
        <v>1986</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2" t="str">
        <f>COVER!A17</f>
        <v>BELLE VALLEY SCHOOL DISTRICT NO. 119</v>
      </c>
      <c r="B7" s="2383"/>
      <c r="C7" s="2383"/>
      <c r="D7" s="2420"/>
      <c r="E7" s="2421">
        <f>COVER!A13</f>
        <v>50082119002</v>
      </c>
      <c r="F7" s="2422"/>
      <c r="G7" s="2389" t="str">
        <f>COVER!T23</f>
        <v>066-005060</v>
      </c>
      <c r="H7" s="2390"/>
      <c r="I7" s="2390"/>
      <c r="J7" s="2390"/>
      <c r="K7" s="2390"/>
      <c r="L7" s="239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2"/>
      <c r="B9" s="2393"/>
      <c r="C9" s="2393"/>
      <c r="D9" s="2393"/>
      <c r="E9" s="2393"/>
      <c r="F9" s="2394"/>
      <c r="G9" s="2395" t="str">
        <f>COVER!T13</f>
        <v>DENNIS ROSE &amp; ASSOCIATES, P.C.</v>
      </c>
      <c r="H9" s="2396"/>
      <c r="I9" s="2396"/>
      <c r="J9" s="2396"/>
      <c r="K9" s="2396"/>
      <c r="L9" s="2397"/>
    </row>
    <row r="10" spans="1:29" ht="13.5" customHeight="1" x14ac:dyDescent="0.2">
      <c r="A10" s="2379">
        <f>COVER!A38</f>
        <v>0</v>
      </c>
      <c r="B10" s="2380"/>
      <c r="C10" s="2380"/>
      <c r="D10" s="2380"/>
      <c r="E10" s="2380"/>
      <c r="F10" s="2381"/>
      <c r="G10" s="2395" t="str">
        <f>COVER!T17</f>
        <v>1904 STATE STREET</v>
      </c>
      <c r="H10" s="2408"/>
      <c r="I10" s="2408"/>
      <c r="J10" s="2408"/>
      <c r="K10" s="2408"/>
      <c r="L10" s="2409"/>
    </row>
    <row r="11" spans="1:29" ht="13.5" customHeight="1" x14ac:dyDescent="0.2">
      <c r="A11" s="1184" t="s">
        <v>1519</v>
      </c>
      <c r="B11" s="1185"/>
      <c r="C11" s="1186"/>
      <c r="D11" s="1191"/>
      <c r="E11" s="1186"/>
      <c r="F11" s="1190"/>
      <c r="G11" s="2395" t="str">
        <f>COVER!T19</f>
        <v>ALTON</v>
      </c>
      <c r="H11" s="2408"/>
      <c r="I11" s="2408"/>
      <c r="J11" s="2408"/>
      <c r="K11" s="2408"/>
      <c r="L11" s="2409"/>
    </row>
    <row r="12" spans="1:29" ht="13.5" customHeight="1" x14ac:dyDescent="0.2">
      <c r="A12" s="2413" t="s">
        <v>1518</v>
      </c>
      <c r="B12" s="2414"/>
      <c r="C12" s="2414"/>
      <c r="D12" s="2414"/>
      <c r="E12" s="2414"/>
      <c r="F12" s="2415"/>
      <c r="G12" s="2410"/>
      <c r="H12" s="2411"/>
      <c r="I12" s="2411"/>
      <c r="J12" s="2411"/>
      <c r="K12" s="2411"/>
      <c r="L12" s="2412"/>
    </row>
    <row r="13" spans="1:29" ht="13.5" customHeight="1" x14ac:dyDescent="0.2">
      <c r="A13" s="2395"/>
      <c r="B13" s="2408"/>
      <c r="C13" s="2408"/>
      <c r="D13" s="2408"/>
      <c r="E13" s="2408"/>
      <c r="F13" s="2409"/>
      <c r="G13" s="2403" t="s">
        <v>1520</v>
      </c>
      <c r="H13" s="2404"/>
      <c r="I13" s="2416" t="str">
        <f>COVER!T25</f>
        <v>DROSECPA@DRA-CPA.COM</v>
      </c>
      <c r="J13" s="2417"/>
      <c r="K13" s="2417"/>
      <c r="L13" s="2418"/>
    </row>
    <row r="14" spans="1:29" ht="13.5" customHeight="1" x14ac:dyDescent="0.2">
      <c r="A14" s="2395" t="str">
        <f>COVER!A19</f>
        <v>2465 AMANN DR.</v>
      </c>
      <c r="B14" s="2408"/>
      <c r="C14" s="2408"/>
      <c r="D14" s="2408"/>
      <c r="E14" s="2408"/>
      <c r="F14" s="2409"/>
      <c r="G14" s="1195" t="s">
        <v>1185</v>
      </c>
      <c r="H14" s="1193"/>
      <c r="I14" s="1193"/>
      <c r="J14" s="1193"/>
      <c r="K14" s="1193"/>
      <c r="L14" s="1194"/>
    </row>
    <row r="15" spans="1:29" ht="13.5" customHeight="1" x14ac:dyDescent="0.2">
      <c r="A15" s="2395" t="str">
        <f>COVER!A21</f>
        <v>BELLEVILLE</v>
      </c>
      <c r="B15" s="2408"/>
      <c r="C15" s="2408"/>
      <c r="D15" s="2408"/>
      <c r="E15" s="2408"/>
      <c r="F15" s="2409"/>
      <c r="G15" s="2405" t="str">
        <f>COVER!T15</f>
        <v>DENNIS ROSE</v>
      </c>
      <c r="H15" s="2406"/>
      <c r="I15" s="2406"/>
      <c r="J15" s="2406"/>
      <c r="K15" s="2406"/>
      <c r="L15" s="2407"/>
    </row>
    <row r="16" spans="1:29" ht="12.2" customHeight="1" x14ac:dyDescent="0.2">
      <c r="A16" s="2385">
        <f>COVER!A25</f>
        <v>62220</v>
      </c>
      <c r="B16" s="2386"/>
      <c r="C16" s="2386"/>
      <c r="D16" s="2386"/>
      <c r="E16" s="2386"/>
      <c r="F16" s="2387"/>
      <c r="G16" s="2398"/>
      <c r="H16" s="2399"/>
      <c r="I16" s="2399"/>
      <c r="J16" s="2399"/>
      <c r="K16" s="2399"/>
      <c r="L16" s="2400"/>
    </row>
    <row r="17" spans="1:13" ht="12.2" customHeight="1" x14ac:dyDescent="0.2">
      <c r="A17" s="2401"/>
      <c r="B17" s="2386"/>
      <c r="C17" s="2386"/>
      <c r="D17" s="2386"/>
      <c r="E17" s="2386"/>
      <c r="F17" s="2387"/>
      <c r="G17" s="1195" t="s">
        <v>1184</v>
      </c>
      <c r="H17" s="1193"/>
      <c r="I17" s="1193"/>
      <c r="J17" s="1193"/>
      <c r="K17" s="1197" t="s">
        <v>1183</v>
      </c>
      <c r="L17" s="1190"/>
      <c r="M17" s="1183"/>
    </row>
    <row r="18" spans="1:13" ht="12.2" customHeight="1" x14ac:dyDescent="0.2">
      <c r="A18" s="2379"/>
      <c r="B18" s="2380"/>
      <c r="C18" s="2380"/>
      <c r="D18" s="2380"/>
      <c r="E18" s="2380"/>
      <c r="F18" s="2381"/>
      <c r="G18" s="2382" t="str">
        <f>COVER!T21</f>
        <v>618-465-4999</v>
      </c>
      <c r="H18" s="2383"/>
      <c r="I18" s="2383"/>
      <c r="J18" s="2383"/>
      <c r="K18" s="2382" t="str">
        <f>COVER!X21</f>
        <v>618-465-5050</v>
      </c>
      <c r="L18" s="238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75" right="0.75" top="1" bottom="0.5" header="0.5" footer="0.5"/>
  <pageSetup scale="89" firstPageNumber="35" fitToHeight="0" orientation="portrait" r:id="rId1"/>
  <headerFooter>
    <oddHeader xml:space="preserve">&amp;C&amp;"Times New Roman,Regular"
</oddHeader>
    <oddFooter>&amp;C&amp;"Times New Roman,Regular"See Independent Auditor's Reports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82" zoomScale="125" zoomScaleNormal="125" workbookViewId="0">
      <selection activeCell="V29" sqref="V29"/>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BELLE VALLEY SCHOOL DISTRICT NO. 119</v>
      </c>
      <c r="B1" s="2419"/>
      <c r="C1" s="2419"/>
      <c r="D1" s="2419"/>
    </row>
    <row r="2" spans="1:11" s="1212" customFormat="1" ht="12.75" x14ac:dyDescent="0.2">
      <c r="A2" s="2424">
        <f>'Single Audit Cover'!E7</f>
        <v>50082119002</v>
      </c>
      <c r="B2" s="2425"/>
      <c r="C2" s="2425"/>
      <c r="D2" s="2425"/>
    </row>
    <row r="3" spans="1:11" s="1212" customFormat="1" ht="12.75" x14ac:dyDescent="0.2">
      <c r="A3" s="2423" t="s">
        <v>1513</v>
      </c>
      <c r="B3" s="2419"/>
      <c r="C3" s="2419"/>
      <c r="D3" s="2419"/>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75" right="0.75" top="1" bottom="0.5" header="0.5" footer="0.5"/>
  <pageSetup scale="75" firstPageNumber="36" fitToHeight="0" orientation="landscape" r:id="rId5"/>
  <headerFooter>
    <oddHeader xml:space="preserve">&amp;C&amp;"Times New Roman,Regular"
</oddHead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G24" sqref="G24"/>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BELLE VALLEY SCHOOL DISTRICT NO. 119</v>
      </c>
      <c r="B1" s="2427"/>
      <c r="C1" s="2427"/>
      <c r="D1" s="2427"/>
      <c r="E1" s="2427"/>
    </row>
    <row r="2" spans="1:5" x14ac:dyDescent="0.2">
      <c r="A2" s="2428">
        <f>'Single Audit Cover'!E7</f>
        <v>50082119002</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1772105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38099</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-62755</v>
      </c>
    </row>
    <row r="19" spans="1:4" ht="13.5" thickBot="1" x14ac:dyDescent="0.25">
      <c r="A19" s="1262" t="s">
        <v>1235</v>
      </c>
      <c r="D19" s="1263">
        <f>SUM(D10:D17)</f>
        <v>1747449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t="s">
        <v>2153</v>
      </c>
      <c r="B24" s="2429"/>
      <c r="D24" s="1265">
        <v>-486824</v>
      </c>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1260625</v>
      </c>
    </row>
    <row r="33" spans="1:4" x14ac:dyDescent="0.2">
      <c r="D33" s="1266"/>
    </row>
    <row r="34" spans="1:4" x14ac:dyDescent="0.2">
      <c r="A34" s="317" t="s">
        <v>1232</v>
      </c>
    </row>
    <row r="35" spans="1:4" x14ac:dyDescent="0.2">
      <c r="A35" s="317" t="s">
        <v>1231</v>
      </c>
      <c r="B35" s="1255" t="s">
        <v>1230</v>
      </c>
      <c r="D35" s="1267">
        <v>1222526</v>
      </c>
    </row>
    <row r="37" spans="1:4" x14ac:dyDescent="0.2">
      <c r="A37" s="1257" t="s">
        <v>1229</v>
      </c>
    </row>
    <row r="39" spans="1:4" ht="13.35" customHeight="1" x14ac:dyDescent="0.2">
      <c r="A39" s="1264" t="s">
        <v>1228</v>
      </c>
    </row>
    <row r="40" spans="1:4" x14ac:dyDescent="0.2">
      <c r="A40" s="2426" t="s">
        <v>2154</v>
      </c>
      <c r="B40" s="2426"/>
      <c r="D40" s="1265">
        <v>38099</v>
      </c>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1260625</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75" right="0.75" top="1" bottom="0.5" header="0.5" footer="0.5"/>
  <pageSetup scale="89" firstPageNumber="73" orientation="portrait" useFirstPageNumber="1" r:id="rId1"/>
  <headerFooter>
    <oddHeader xml:space="preserve">&amp;C&amp;"Times New Roman,Regular"
</oddHead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7" zoomScale="120" zoomScaleNormal="120" workbookViewId="0">
      <selection activeCell="G25" sqref="G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BELLE VALLEY SCHOOL DISTRICT NO. 119</v>
      </c>
      <c r="C1" s="2431"/>
      <c r="D1" s="2431"/>
      <c r="E1" s="2431"/>
      <c r="F1" s="2431"/>
      <c r="G1" s="2431"/>
      <c r="H1" s="2431"/>
      <c r="I1" s="2431"/>
      <c r="J1" s="2431"/>
      <c r="K1" s="2431"/>
      <c r="L1" s="2431"/>
      <c r="M1" s="2431"/>
    </row>
    <row r="2" spans="2:14" ht="15" x14ac:dyDescent="0.2">
      <c r="B2" s="2432">
        <f>'Single Audit Cover'!E7</f>
        <v>50082119002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2099</v>
      </c>
      <c r="C11" s="1335"/>
      <c r="D11" s="1336"/>
      <c r="E11" s="1337"/>
      <c r="F11" s="1337"/>
      <c r="G11" s="1337"/>
      <c r="H11" s="1337"/>
      <c r="I11" s="1337"/>
      <c r="J11" s="1337"/>
      <c r="K11" s="1337"/>
      <c r="L11" s="1337">
        <f>+G11+I11+K11</f>
        <v>0</v>
      </c>
      <c r="M11" s="1337"/>
    </row>
    <row r="12" spans="2:14" ht="20.100000000000001" customHeight="1" x14ac:dyDescent="0.2">
      <c r="B12" s="1334" t="s">
        <v>2100</v>
      </c>
      <c r="C12" s="1338"/>
      <c r="D12" s="1339"/>
      <c r="E12" s="1340"/>
      <c r="F12" s="1340"/>
      <c r="G12" s="1340"/>
      <c r="H12" s="1340"/>
      <c r="I12" s="1340"/>
      <c r="J12" s="1340"/>
      <c r="K12" s="1340"/>
      <c r="L12" s="1337">
        <f t="shared" ref="L12:L25" si="0">+G12+I12+K12</f>
        <v>0</v>
      </c>
      <c r="M12" s="1340"/>
    </row>
    <row r="13" spans="2:14" ht="20.100000000000001" customHeight="1" x14ac:dyDescent="0.2">
      <c r="B13" s="1334" t="s">
        <v>2166</v>
      </c>
      <c r="C13" s="1338" t="s">
        <v>2101</v>
      </c>
      <c r="D13" s="1339" t="s">
        <v>2102</v>
      </c>
      <c r="E13" s="1340">
        <v>151573</v>
      </c>
      <c r="F13" s="1340">
        <v>165927</v>
      </c>
      <c r="G13" s="1340">
        <v>305903</v>
      </c>
      <c r="H13" s="1340"/>
      <c r="I13" s="1340">
        <v>11597</v>
      </c>
      <c r="J13" s="1340"/>
      <c r="K13" s="1340"/>
      <c r="L13" s="1337">
        <f t="shared" si="0"/>
        <v>317500</v>
      </c>
      <c r="M13" s="1340">
        <v>317500</v>
      </c>
    </row>
    <row r="14" spans="2:14" ht="20.100000000000001" customHeight="1" x14ac:dyDescent="0.2">
      <c r="B14" s="1334" t="s">
        <v>2167</v>
      </c>
      <c r="C14" s="1338" t="s">
        <v>2101</v>
      </c>
      <c r="D14" s="1339" t="s">
        <v>2103</v>
      </c>
      <c r="E14" s="1340"/>
      <c r="F14" s="1340">
        <v>213167</v>
      </c>
      <c r="G14" s="1340"/>
      <c r="H14" s="1340"/>
      <c r="I14" s="1340">
        <v>321824</v>
      </c>
      <c r="J14" s="1340"/>
      <c r="K14" s="1340">
        <v>8896</v>
      </c>
      <c r="L14" s="1337">
        <f t="shared" si="0"/>
        <v>330720</v>
      </c>
      <c r="M14" s="1340">
        <v>330720</v>
      </c>
    </row>
    <row r="15" spans="2:14" ht="20.100000000000001" customHeight="1" x14ac:dyDescent="0.2">
      <c r="B15" s="1334" t="s">
        <v>2104</v>
      </c>
      <c r="C15" s="1338" t="s">
        <v>2105</v>
      </c>
      <c r="D15" s="1339" t="s">
        <v>2106</v>
      </c>
      <c r="E15" s="1340">
        <v>37075</v>
      </c>
      <c r="F15" s="1340">
        <v>3783</v>
      </c>
      <c r="G15" s="1340">
        <v>40858</v>
      </c>
      <c r="H15" s="1340"/>
      <c r="I15" s="1340"/>
      <c r="J15" s="1340"/>
      <c r="K15" s="1340"/>
      <c r="L15" s="1337">
        <f t="shared" si="0"/>
        <v>40858</v>
      </c>
      <c r="M15" s="1340">
        <v>42447</v>
      </c>
    </row>
    <row r="16" spans="2:14" ht="20.100000000000001" customHeight="1" x14ac:dyDescent="0.2">
      <c r="B16" s="1334" t="s">
        <v>2104</v>
      </c>
      <c r="C16" s="1338" t="s">
        <v>2105</v>
      </c>
      <c r="D16" s="1339" t="s">
        <v>2107</v>
      </c>
      <c r="E16" s="1340"/>
      <c r="F16" s="1340">
        <v>25942</v>
      </c>
      <c r="G16" s="1340"/>
      <c r="H16" s="1340"/>
      <c r="I16" s="1340">
        <v>41398</v>
      </c>
      <c r="J16" s="1340"/>
      <c r="K16" s="1340">
        <v>2076</v>
      </c>
      <c r="L16" s="1337">
        <f t="shared" si="0"/>
        <v>43474</v>
      </c>
      <c r="M16" s="1340">
        <v>43474</v>
      </c>
    </row>
    <row r="17" spans="2:14" ht="20.100000000000001" customHeight="1" x14ac:dyDescent="0.2">
      <c r="B17" s="1334" t="s">
        <v>2108</v>
      </c>
      <c r="C17" s="1338" t="s">
        <v>2109</v>
      </c>
      <c r="D17" s="1339" t="s">
        <v>2110</v>
      </c>
      <c r="E17" s="1340"/>
      <c r="F17" s="1340">
        <v>4722</v>
      </c>
      <c r="G17" s="1340"/>
      <c r="H17" s="1340"/>
      <c r="I17" s="1340">
        <v>4722</v>
      </c>
      <c r="J17" s="1340"/>
      <c r="K17" s="1340"/>
      <c r="L17" s="1337">
        <f t="shared" si="0"/>
        <v>4722</v>
      </c>
      <c r="M17" s="1340"/>
    </row>
    <row r="18" spans="2:14" ht="20.100000000000001" customHeight="1" x14ac:dyDescent="0.2">
      <c r="B18" s="1334" t="s">
        <v>2111</v>
      </c>
      <c r="C18" s="1338"/>
      <c r="D18" s="1339"/>
      <c r="E18" s="1340">
        <f>SUM(E13:E17)</f>
        <v>188648</v>
      </c>
      <c r="F18" s="1340">
        <f>SUM(F13:F17)</f>
        <v>413541</v>
      </c>
      <c r="G18" s="1340">
        <f>SUM(G13:G17)</f>
        <v>346761</v>
      </c>
      <c r="H18" s="1340"/>
      <c r="I18" s="1340">
        <f>SUM(I13:I17)</f>
        <v>379541</v>
      </c>
      <c r="J18" s="1340"/>
      <c r="K18" s="1340">
        <f>SUM(K13:K17)</f>
        <v>10972</v>
      </c>
      <c r="L18" s="1337">
        <f t="shared" si="0"/>
        <v>737274</v>
      </c>
      <c r="M18" s="1340"/>
    </row>
    <row r="19" spans="2:14" ht="20.100000000000001" customHeight="1" x14ac:dyDescent="0.2">
      <c r="B19" s="1334"/>
      <c r="C19" s="1338"/>
      <c r="D19" s="1339"/>
      <c r="E19" s="1340"/>
      <c r="F19" s="1340"/>
      <c r="G19" s="1340"/>
      <c r="H19" s="1340"/>
      <c r="I19" s="1340"/>
      <c r="J19" s="1340"/>
      <c r="K19" s="1340"/>
      <c r="L19" s="1337"/>
      <c r="M19" s="1340"/>
    </row>
    <row r="20" spans="2:14" ht="20.100000000000001" customHeight="1" x14ac:dyDescent="0.2">
      <c r="B20" s="1334"/>
      <c r="C20" s="1338"/>
      <c r="D20" s="1339"/>
      <c r="E20" s="1340"/>
      <c r="F20" s="1340"/>
      <c r="G20" s="1340"/>
      <c r="H20" s="1340"/>
      <c r="I20" s="1340"/>
      <c r="J20" s="1340"/>
      <c r="K20" s="1340"/>
      <c r="L20" s="1337"/>
      <c r="M20" s="1340"/>
    </row>
    <row r="21" spans="2:14" ht="20.100000000000001" customHeight="1" x14ac:dyDescent="0.2">
      <c r="B21" s="1334" t="s">
        <v>2112</v>
      </c>
      <c r="C21" s="1338"/>
      <c r="D21" s="1339"/>
      <c r="E21" s="1340"/>
      <c r="F21" s="1340"/>
      <c r="G21" s="1340"/>
      <c r="H21" s="1340"/>
      <c r="I21" s="1340"/>
      <c r="J21" s="1340"/>
      <c r="K21" s="1340"/>
      <c r="L21" s="1337"/>
      <c r="M21" s="1340"/>
    </row>
    <row r="22" spans="2:14" ht="20.100000000000001" customHeight="1" x14ac:dyDescent="0.2">
      <c r="B22" s="1334" t="s">
        <v>2116</v>
      </c>
      <c r="C22" s="1338">
        <v>84.027000000000001</v>
      </c>
      <c r="D22" s="1339" t="s">
        <v>2113</v>
      </c>
      <c r="E22" s="1340">
        <v>212064</v>
      </c>
      <c r="F22" s="1340">
        <v>6011</v>
      </c>
      <c r="G22" s="1340">
        <v>217216</v>
      </c>
      <c r="H22" s="1340"/>
      <c r="I22" s="1340">
        <v>859</v>
      </c>
      <c r="J22" s="1340"/>
      <c r="K22" s="1340"/>
      <c r="L22" s="1337">
        <f t="shared" si="0"/>
        <v>218075</v>
      </c>
      <c r="M22" s="1340">
        <v>218428</v>
      </c>
    </row>
    <row r="23" spans="2:14" ht="20.100000000000001" customHeight="1" x14ac:dyDescent="0.2">
      <c r="B23" s="1334" t="s">
        <v>2115</v>
      </c>
      <c r="C23" s="1338">
        <v>84.027000000000001</v>
      </c>
      <c r="D23" s="1339" t="s">
        <v>2114</v>
      </c>
      <c r="E23" s="1340"/>
      <c r="F23" s="1340">
        <v>228896</v>
      </c>
      <c r="G23" s="1340"/>
      <c r="H23" s="1340"/>
      <c r="I23" s="1340">
        <v>229195</v>
      </c>
      <c r="J23" s="1340"/>
      <c r="K23" s="1340"/>
      <c r="L23" s="1337">
        <f t="shared" si="0"/>
        <v>229195</v>
      </c>
      <c r="M23" s="1340">
        <v>229195</v>
      </c>
    </row>
    <row r="24" spans="2:14" ht="20.100000000000001" customHeight="1" x14ac:dyDescent="0.2">
      <c r="B24" s="1334" t="s">
        <v>2117</v>
      </c>
      <c r="C24" s="1338">
        <v>84.027000000000001</v>
      </c>
      <c r="D24" s="1339" t="s">
        <v>2118</v>
      </c>
      <c r="E24" s="1340">
        <v>553</v>
      </c>
      <c r="F24" s="1340">
        <v>290</v>
      </c>
      <c r="G24" s="1340">
        <v>553</v>
      </c>
      <c r="H24" s="1340"/>
      <c r="I24" s="1340">
        <v>290</v>
      </c>
      <c r="J24" s="1340"/>
      <c r="K24" s="1340"/>
      <c r="L24" s="1337">
        <f t="shared" si="0"/>
        <v>843</v>
      </c>
      <c r="M24" s="1340">
        <v>2225</v>
      </c>
    </row>
    <row r="25" spans="2:14" ht="20.100000000000001" customHeight="1" x14ac:dyDescent="0.2">
      <c r="B25" s="1334" t="s">
        <v>2117</v>
      </c>
      <c r="C25" s="1338">
        <v>84.027000000000001</v>
      </c>
      <c r="D25" s="1339" t="s">
        <v>2119</v>
      </c>
      <c r="E25" s="1340"/>
      <c r="F25" s="1340">
        <v>452</v>
      </c>
      <c r="G25" s="1340"/>
      <c r="H25" s="1340"/>
      <c r="I25" s="1340">
        <v>452</v>
      </c>
      <c r="J25" s="1340"/>
      <c r="K25" s="1340"/>
      <c r="L25" s="1337">
        <f t="shared" si="0"/>
        <v>452</v>
      </c>
      <c r="M25" s="1340">
        <v>452</v>
      </c>
    </row>
    <row r="26" spans="2:14" ht="20.100000000000001" customHeight="1" x14ac:dyDescent="0.2">
      <c r="B26" s="1334" t="s">
        <v>2117</v>
      </c>
      <c r="C26" s="1338">
        <v>84.027000000000001</v>
      </c>
      <c r="D26" s="1339" t="s">
        <v>2171</v>
      </c>
      <c r="E26" s="1340">
        <v>1362</v>
      </c>
      <c r="F26" s="1340"/>
      <c r="G26" s="1340"/>
      <c r="H26" s="1340"/>
      <c r="I26" s="1340"/>
      <c r="J26" s="1340"/>
      <c r="K26" s="1340"/>
      <c r="L26" s="1337"/>
      <c r="M26" s="1340"/>
    </row>
    <row r="27" spans="2:14" ht="20.100000000000001" customHeight="1" x14ac:dyDescent="0.2">
      <c r="B27" s="1334" t="s">
        <v>2170</v>
      </c>
      <c r="C27" s="1338"/>
      <c r="D27" s="1339"/>
      <c r="E27" s="1340">
        <f>SUM(E22:E26)</f>
        <v>213979</v>
      </c>
      <c r="F27" s="1340">
        <f>SUM(F22:F26)</f>
        <v>235649</v>
      </c>
      <c r="G27" s="1340">
        <f>SUM(G22:G26)</f>
        <v>217769</v>
      </c>
      <c r="H27" s="1340"/>
      <c r="I27" s="1340">
        <f>SUM(I22:I26)</f>
        <v>230796</v>
      </c>
      <c r="J27" s="1340"/>
      <c r="K27" s="1340"/>
      <c r="L27" s="1337">
        <f>SUM(L22:L26)</f>
        <v>448565</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8E220-8B05-4BF7-98AB-0507CA988C99}">
  <dimension ref="B1:N152"/>
  <sheetViews>
    <sheetView showGridLines="0" zoomScaleNormal="100" workbookViewId="0">
      <selection activeCell="L18" sqref="L1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BELLE VALLEY SCHOOL DISTRICT NO. 119</v>
      </c>
      <c r="C1" s="2431"/>
      <c r="D1" s="2431"/>
      <c r="E1" s="2431"/>
      <c r="F1" s="2431"/>
      <c r="G1" s="2431"/>
      <c r="H1" s="2431"/>
      <c r="I1" s="2431"/>
      <c r="J1" s="2431"/>
      <c r="K1" s="2431"/>
      <c r="L1" s="2431"/>
      <c r="M1" s="2431"/>
    </row>
    <row r="2" spans="2:14" ht="15" x14ac:dyDescent="0.2">
      <c r="B2" s="2432">
        <f>'Single Audit Cover'!E7</f>
        <v>50082119002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2120</v>
      </c>
      <c r="C11" s="1335"/>
      <c r="D11" s="1336"/>
      <c r="E11" s="1337"/>
      <c r="F11" s="1337"/>
      <c r="G11" s="1337"/>
      <c r="H11" s="1337"/>
      <c r="I11" s="1337"/>
      <c r="J11" s="1337"/>
      <c r="K11" s="1337"/>
      <c r="L11" s="1337">
        <f>+G11+I11+K11</f>
        <v>0</v>
      </c>
      <c r="M11" s="1337"/>
    </row>
    <row r="12" spans="2:14" ht="20.100000000000001" customHeight="1" x14ac:dyDescent="0.2">
      <c r="B12" s="1334" t="s">
        <v>2099</v>
      </c>
      <c r="C12" s="1338"/>
      <c r="D12" s="1339"/>
      <c r="E12" s="1340"/>
      <c r="F12" s="1340"/>
      <c r="G12" s="1340"/>
      <c r="H12" s="1340"/>
      <c r="I12" s="1340"/>
      <c r="J12" s="1340"/>
      <c r="K12" s="1340"/>
      <c r="L12" s="1337">
        <f t="shared" ref="L12:L27" si="0">+G12+I12+K12</f>
        <v>0</v>
      </c>
      <c r="M12" s="1340"/>
    </row>
    <row r="13" spans="2:14" ht="20.100000000000001" customHeight="1" x14ac:dyDescent="0.2">
      <c r="B13" s="1334" t="s">
        <v>2121</v>
      </c>
      <c r="C13" s="1338">
        <v>84.040999999999997</v>
      </c>
      <c r="D13" s="1339" t="s">
        <v>2122</v>
      </c>
      <c r="E13" s="1340"/>
      <c r="F13" s="1340">
        <v>6724</v>
      </c>
      <c r="G13" s="1340"/>
      <c r="H13" s="1340"/>
      <c r="I13" s="1340">
        <v>6724</v>
      </c>
      <c r="J13" s="1340"/>
      <c r="K13" s="1340"/>
      <c r="L13" s="1337">
        <f t="shared" si="0"/>
        <v>6724</v>
      </c>
      <c r="M13" s="1340"/>
    </row>
    <row r="14" spans="2:14" ht="20.100000000000001" customHeight="1" x14ac:dyDescent="0.2">
      <c r="B14" s="1334" t="s">
        <v>2121</v>
      </c>
      <c r="C14" s="1338">
        <v>84.040999999999997</v>
      </c>
      <c r="D14" s="1339" t="s">
        <v>2123</v>
      </c>
      <c r="E14" s="1340">
        <v>30000</v>
      </c>
      <c r="F14" s="1340">
        <v>9931</v>
      </c>
      <c r="G14" s="1340">
        <v>30000</v>
      </c>
      <c r="H14" s="1340"/>
      <c r="I14" s="1340">
        <v>9931</v>
      </c>
      <c r="J14" s="1340"/>
      <c r="K14" s="1340"/>
      <c r="L14" s="1337">
        <f t="shared" si="0"/>
        <v>39931</v>
      </c>
      <c r="M14" s="1340"/>
    </row>
    <row r="15" spans="2:14" ht="20.100000000000001" customHeight="1" x14ac:dyDescent="0.2">
      <c r="B15" s="1334" t="s">
        <v>2121</v>
      </c>
      <c r="C15" s="1338">
        <v>84.040999999999997</v>
      </c>
      <c r="D15" s="1339" t="s">
        <v>2124</v>
      </c>
      <c r="E15" s="1340"/>
      <c r="F15" s="1340">
        <v>24050</v>
      </c>
      <c r="G15" s="1340"/>
      <c r="H15" s="1340"/>
      <c r="I15" s="1340">
        <v>24050</v>
      </c>
      <c r="J15" s="1340"/>
      <c r="K15" s="1340"/>
      <c r="L15" s="1337">
        <f t="shared" si="0"/>
        <v>24050</v>
      </c>
      <c r="M15" s="1340"/>
    </row>
    <row r="16" spans="2:14" ht="20.100000000000001" customHeight="1" x14ac:dyDescent="0.2">
      <c r="B16" s="1334" t="s">
        <v>2128</v>
      </c>
      <c r="C16" s="1338"/>
      <c r="D16" s="1339"/>
      <c r="E16" s="1340">
        <f>SUM(E13:E15)</f>
        <v>30000</v>
      </c>
      <c r="F16" s="1340">
        <f>SUM(F13:F15)</f>
        <v>40705</v>
      </c>
      <c r="G16" s="1340">
        <f>SUM(G13:G15)</f>
        <v>30000</v>
      </c>
      <c r="H16" s="1340"/>
      <c r="I16" s="1340">
        <f>SUM(I13:I15)</f>
        <v>40705</v>
      </c>
      <c r="J16" s="1340"/>
      <c r="K16" s="1340"/>
      <c r="L16" s="1337">
        <f t="shared" si="0"/>
        <v>70705</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t="s">
        <v>2129</v>
      </c>
      <c r="C18" s="1338"/>
      <c r="D18" s="1339"/>
      <c r="E18" s="1340">
        <f>' SEFA'!E18+' SEFA'!E27+' SEFA (2)'!E16</f>
        <v>432627</v>
      </c>
      <c r="F18" s="1340">
        <f>' SEFA'!F18+' SEFA'!F27+' SEFA (2)'!F16</f>
        <v>689895</v>
      </c>
      <c r="G18" s="1340">
        <f>' SEFA'!G18+' SEFA'!G27+' SEFA (2)'!G16</f>
        <v>594530</v>
      </c>
      <c r="H18" s="1340"/>
      <c r="I18" s="1340">
        <f>' SEFA'!I18+' SEFA'!I27+' SEFA (2)'!I16</f>
        <v>651042</v>
      </c>
      <c r="J18" s="1340"/>
      <c r="K18" s="1340">
        <f>' SEFA'!K18+' SEFA'!K27+' SEFA (2)'!K16</f>
        <v>10972</v>
      </c>
      <c r="L18" s="1337">
        <f t="shared" si="0"/>
        <v>1256544</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2125</v>
      </c>
      <c r="C21" s="1338"/>
      <c r="D21" s="1339"/>
      <c r="E21" s="1340"/>
      <c r="F21" s="1340"/>
      <c r="G21" s="1340"/>
      <c r="H21" s="1340"/>
      <c r="I21" s="1340"/>
      <c r="J21" s="1340"/>
      <c r="K21" s="1340"/>
      <c r="L21" s="1337">
        <f t="shared" si="0"/>
        <v>0</v>
      </c>
      <c r="M21" s="1340"/>
    </row>
    <row r="22" spans="2:14" ht="20.100000000000001" customHeight="1" x14ac:dyDescent="0.2">
      <c r="B22" s="1334" t="s">
        <v>2126</v>
      </c>
      <c r="C22" s="1338"/>
      <c r="D22" s="1339"/>
      <c r="E22" s="1340"/>
      <c r="F22" s="1340"/>
      <c r="G22" s="1340"/>
      <c r="H22" s="1340"/>
      <c r="I22" s="1340"/>
      <c r="J22" s="1340"/>
      <c r="K22" s="1340"/>
      <c r="L22" s="1337">
        <f t="shared" si="0"/>
        <v>0</v>
      </c>
      <c r="M22" s="1340"/>
    </row>
    <row r="23" spans="2:14" ht="20.100000000000001" customHeight="1" x14ac:dyDescent="0.2">
      <c r="B23" s="1334" t="s">
        <v>2127</v>
      </c>
      <c r="C23" s="1338">
        <v>93.778000000000006</v>
      </c>
      <c r="D23" s="1339">
        <v>2019</v>
      </c>
      <c r="E23" s="1340"/>
      <c r="F23" s="1340">
        <v>13338</v>
      </c>
      <c r="G23" s="1340"/>
      <c r="H23" s="1340"/>
      <c r="I23" s="1340">
        <v>13338</v>
      </c>
      <c r="J23" s="1340"/>
      <c r="K23" s="1340"/>
      <c r="L23" s="1337">
        <f t="shared" si="0"/>
        <v>13338</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8317-1A3E-45EB-94C2-CF2826BBDAE5}">
  <dimension ref="B1:N152"/>
  <sheetViews>
    <sheetView showGridLines="0" topLeftCell="A4" zoomScaleNormal="100" workbookViewId="0">
      <selection activeCell="C14" sqref="C14"/>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BELLE VALLEY SCHOOL DISTRICT NO. 119</v>
      </c>
      <c r="C1" s="2431"/>
      <c r="D1" s="2431"/>
      <c r="E1" s="2431"/>
      <c r="F1" s="2431"/>
      <c r="G1" s="2431"/>
      <c r="H1" s="2431"/>
      <c r="I1" s="2431"/>
      <c r="J1" s="2431"/>
      <c r="K1" s="2431"/>
      <c r="L1" s="2431"/>
      <c r="M1" s="2431"/>
    </row>
    <row r="2" spans="2:14" ht="15" x14ac:dyDescent="0.2">
      <c r="B2" s="2432">
        <f>'Single Audit Cover'!E7</f>
        <v>50082119002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2130</v>
      </c>
      <c r="C11" s="1335"/>
      <c r="D11" s="1336"/>
      <c r="E11" s="1337"/>
      <c r="F11" s="1337"/>
      <c r="G11" s="1337"/>
      <c r="H11" s="1337"/>
      <c r="I11" s="1337"/>
      <c r="J11" s="1337"/>
      <c r="K11" s="1337"/>
      <c r="L11" s="1337">
        <f>+G11+I11+K11</f>
        <v>0</v>
      </c>
      <c r="M11" s="1337"/>
    </row>
    <row r="12" spans="2:14" ht="20.100000000000001" customHeight="1" x14ac:dyDescent="0.2">
      <c r="B12" s="1334" t="s">
        <v>2100</v>
      </c>
      <c r="C12" s="1338"/>
      <c r="D12" s="1339"/>
      <c r="E12" s="1340"/>
      <c r="F12" s="1340"/>
      <c r="G12" s="1340"/>
      <c r="H12" s="1340"/>
      <c r="I12" s="1340"/>
      <c r="J12" s="1340"/>
      <c r="K12" s="1340"/>
      <c r="L12" s="1337">
        <f t="shared" ref="L12:L27" si="0">+G12+I12+K12</f>
        <v>0</v>
      </c>
      <c r="M12" s="1340"/>
    </row>
    <row r="13" spans="2:14" ht="20.100000000000001" customHeight="1" x14ac:dyDescent="0.2">
      <c r="B13" s="1334" t="s">
        <v>2131</v>
      </c>
      <c r="C13" s="1338">
        <v>10.555</v>
      </c>
      <c r="D13" s="1339" t="s">
        <v>2132</v>
      </c>
      <c r="E13" s="1340">
        <v>274740</v>
      </c>
      <c r="F13" s="1340">
        <v>66144</v>
      </c>
      <c r="G13" s="1340">
        <v>274740</v>
      </c>
      <c r="H13" s="1340"/>
      <c r="I13" s="1340">
        <v>66144</v>
      </c>
      <c r="J13" s="1340"/>
      <c r="K13" s="1340"/>
      <c r="L13" s="1337">
        <f t="shared" si="0"/>
        <v>340884</v>
      </c>
      <c r="M13" s="1340"/>
    </row>
    <row r="14" spans="2:14" ht="20.100000000000001" customHeight="1" x14ac:dyDescent="0.2">
      <c r="B14" s="1334" t="s">
        <v>2131</v>
      </c>
      <c r="C14" s="1338">
        <v>10.555</v>
      </c>
      <c r="D14" s="1339" t="s">
        <v>2133</v>
      </c>
      <c r="E14" s="1340"/>
      <c r="F14" s="1340">
        <v>287348</v>
      </c>
      <c r="G14" s="1340"/>
      <c r="H14" s="1340"/>
      <c r="I14" s="1340">
        <v>287348</v>
      </c>
      <c r="J14" s="1340"/>
      <c r="K14" s="1340"/>
      <c r="L14" s="1337">
        <f t="shared" si="0"/>
        <v>287348</v>
      </c>
      <c r="M14" s="1340"/>
    </row>
    <row r="15" spans="2:14" ht="20.100000000000001" customHeight="1" x14ac:dyDescent="0.2">
      <c r="B15" s="1334" t="s">
        <v>2134</v>
      </c>
      <c r="C15" s="1338">
        <v>10.553000000000001</v>
      </c>
      <c r="D15" s="1339" t="s">
        <v>2135</v>
      </c>
      <c r="E15" s="1340">
        <v>82733</v>
      </c>
      <c r="F15" s="1340">
        <v>23498</v>
      </c>
      <c r="G15" s="1340">
        <v>82733</v>
      </c>
      <c r="H15" s="1340"/>
      <c r="I15" s="1340">
        <v>23498</v>
      </c>
      <c r="J15" s="1340"/>
      <c r="K15" s="1340"/>
      <c r="L15" s="1337">
        <f t="shared" si="0"/>
        <v>106231</v>
      </c>
      <c r="M15" s="1340"/>
    </row>
    <row r="16" spans="2:14" ht="20.100000000000001" customHeight="1" x14ac:dyDescent="0.2">
      <c r="B16" s="1334" t="s">
        <v>2134</v>
      </c>
      <c r="C16" s="1338">
        <v>10.553000000000001</v>
      </c>
      <c r="D16" s="1339" t="s">
        <v>2136</v>
      </c>
      <c r="E16" s="1340"/>
      <c r="F16" s="1340">
        <v>104204</v>
      </c>
      <c r="G16" s="1340"/>
      <c r="H16" s="1340"/>
      <c r="I16" s="1340">
        <v>104204</v>
      </c>
      <c r="J16" s="1340"/>
      <c r="K16" s="1340"/>
      <c r="L16" s="1337">
        <f t="shared" si="0"/>
        <v>104204</v>
      </c>
      <c r="M16" s="1340"/>
    </row>
    <row r="17" spans="2:14" ht="20.100000000000001" customHeight="1" x14ac:dyDescent="0.2">
      <c r="B17" s="1334" t="s">
        <v>2137</v>
      </c>
      <c r="C17" s="1338">
        <v>10.555</v>
      </c>
      <c r="D17" s="1339" t="s">
        <v>2138</v>
      </c>
      <c r="E17" s="1340"/>
      <c r="F17" s="1340">
        <v>19603</v>
      </c>
      <c r="G17" s="1340"/>
      <c r="H17" s="1340"/>
      <c r="I17" s="1340">
        <v>19603</v>
      </c>
      <c r="J17" s="1340"/>
      <c r="K17" s="1340"/>
      <c r="L17" s="1337">
        <f t="shared" si="0"/>
        <v>19603</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t="s">
        <v>2139</v>
      </c>
      <c r="C20" s="1338"/>
      <c r="D20" s="1339"/>
      <c r="E20" s="1340">
        <f>SUM(E13:E19)</f>
        <v>357473</v>
      </c>
      <c r="F20" s="1340">
        <f>SUM(F13:F19)</f>
        <v>500797</v>
      </c>
      <c r="G20" s="1340">
        <f>SUM(G13:G19)</f>
        <v>357473</v>
      </c>
      <c r="H20" s="1340"/>
      <c r="I20" s="1340">
        <f>SUM(I13:I19)</f>
        <v>500797</v>
      </c>
      <c r="J20" s="1340"/>
      <c r="K20" s="1340"/>
      <c r="L20" s="1337">
        <f t="shared" si="0"/>
        <v>858270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2140</v>
      </c>
      <c r="C22" s="1338"/>
      <c r="D22" s="1339"/>
      <c r="E22" s="1340"/>
      <c r="F22" s="1340"/>
      <c r="G22" s="1340"/>
      <c r="H22" s="1340"/>
      <c r="I22" s="1340"/>
      <c r="J22" s="1340"/>
      <c r="K22" s="1340"/>
      <c r="L22" s="1337">
        <f t="shared" si="0"/>
        <v>0</v>
      </c>
      <c r="M22" s="1340"/>
    </row>
    <row r="23" spans="2:14" ht="20.100000000000001" customHeight="1" x14ac:dyDescent="0.2">
      <c r="B23" s="1334" t="s">
        <v>2137</v>
      </c>
      <c r="C23" s="1338">
        <v>10.555</v>
      </c>
      <c r="D23" s="1339" t="s">
        <v>2138</v>
      </c>
      <c r="E23" s="1340"/>
      <c r="F23" s="1340">
        <v>18496</v>
      </c>
      <c r="G23" s="1340"/>
      <c r="H23" s="1340"/>
      <c r="I23" s="1340">
        <v>18496</v>
      </c>
      <c r="J23" s="1340"/>
      <c r="K23" s="1340"/>
      <c r="L23" s="1337">
        <f t="shared" si="0"/>
        <v>18496</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t="s">
        <v>2141</v>
      </c>
      <c r="C26" s="1338"/>
      <c r="D26" s="1339"/>
      <c r="E26" s="1340">
        <f>' SEFA (2)'!E18+' SEFA (2)'!E23+' SEFA (3)'!E20+' SEFA (3)'!E23</f>
        <v>790100</v>
      </c>
      <c r="F26" s="1340">
        <f>' SEFA (2)'!F18+' SEFA (2)'!F23+' SEFA (3)'!F20+' SEFA (3)'!F23</f>
        <v>1222526</v>
      </c>
      <c r="G26" s="1340">
        <f>' SEFA (2)'!G18+' SEFA (2)'!G23+' SEFA (3)'!G20+' SEFA (3)'!G23</f>
        <v>952003</v>
      </c>
      <c r="H26" s="1340"/>
      <c r="I26" s="1340">
        <f>' SEFA (2)'!I18+' SEFA (2)'!I23+' SEFA (3)'!I20+' SEFA (3)'!I23</f>
        <v>1183673</v>
      </c>
      <c r="J26" s="1340"/>
      <c r="K26" s="1340">
        <f>' SEFA (2)'!K18+' SEFA (2)'!K23+' SEFA (3)'!K20+' SEFA (3)'!K23</f>
        <v>10972</v>
      </c>
      <c r="L26" s="1337">
        <f t="shared" si="0"/>
        <v>2146648</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364B-AC9B-49E4-9089-F839AF04D100}">
  <dimension ref="B1:N152"/>
  <sheetViews>
    <sheetView showGridLines="0" topLeftCell="B4" zoomScaleNormal="100" workbookViewId="0">
      <selection activeCell="I27" sqref="I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8" t="str">
        <f>'Single Audit Cover'!A7</f>
        <v>BELLE VALLEY SCHOOL DISTRICT NO. 119</v>
      </c>
      <c r="C1" s="2431"/>
      <c r="D1" s="2431"/>
      <c r="E1" s="2431"/>
      <c r="F1" s="2431"/>
      <c r="G1" s="2431"/>
      <c r="H1" s="2431"/>
      <c r="I1" s="2431"/>
      <c r="J1" s="2431"/>
      <c r="K1" s="2431"/>
      <c r="L1" s="2431"/>
      <c r="M1" s="2431"/>
    </row>
    <row r="2" spans="2:14" ht="15" x14ac:dyDescent="0.2">
      <c r="B2" s="2432">
        <f>'Single Audit Cover'!E7</f>
        <v>50082119002</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1987</v>
      </c>
      <c r="K8" s="1316" t="s">
        <v>1261</v>
      </c>
      <c r="L8" s="1317" t="s">
        <v>1257</v>
      </c>
      <c r="M8" s="1318" t="s">
        <v>30</v>
      </c>
    </row>
    <row r="9" spans="2:14" ht="14.25" x14ac:dyDescent="0.2">
      <c r="B9" s="1322" t="s">
        <v>1259</v>
      </c>
      <c r="C9" s="1310" t="s">
        <v>1732</v>
      </c>
      <c r="D9" s="1311" t="s">
        <v>1733</v>
      </c>
      <c r="E9" s="1319" t="s">
        <v>1836</v>
      </c>
      <c r="F9" s="1320" t="s">
        <v>1987</v>
      </c>
      <c r="G9" s="1321" t="s">
        <v>1836</v>
      </c>
      <c r="H9" s="1314" t="s">
        <v>1582</v>
      </c>
      <c r="I9" s="1316" t="s">
        <v>1987</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2142</v>
      </c>
      <c r="C11" s="1335"/>
      <c r="D11" s="1336"/>
      <c r="E11" s="1337"/>
      <c r="F11" s="1337"/>
      <c r="G11" s="1337"/>
      <c r="H11" s="1337"/>
      <c r="I11" s="1337"/>
      <c r="J11" s="1337"/>
      <c r="K11" s="1337"/>
      <c r="L11" s="1337">
        <f>+G11+I11+K11</f>
        <v>0</v>
      </c>
      <c r="M11" s="1337"/>
    </row>
    <row r="12" spans="2:14" ht="20.100000000000001" customHeight="1" x14ac:dyDescent="0.2">
      <c r="B12" s="1334" t="s">
        <v>2143</v>
      </c>
      <c r="C12" s="1338"/>
      <c r="D12" s="1339"/>
      <c r="E12" s="1340">
        <f>' SEFA'!E13+' SEFA'!E14</f>
        <v>151573</v>
      </c>
      <c r="F12" s="1340">
        <f>' SEFA'!F13+' SEFA'!F14</f>
        <v>379094</v>
      </c>
      <c r="G12" s="1340">
        <f>' SEFA'!G13+' SEFA'!G14</f>
        <v>305903</v>
      </c>
      <c r="H12" s="1340"/>
      <c r="I12" s="1340">
        <f>' SEFA'!I13+' SEFA'!I14</f>
        <v>333421</v>
      </c>
      <c r="J12" s="1340"/>
      <c r="K12" s="1340">
        <f>' SEFA'!K13+' SEFA'!K14</f>
        <v>8896</v>
      </c>
      <c r="L12" s="1337">
        <f t="shared" ref="L12:L27" si="0">+G12+I12+K12</f>
        <v>648220</v>
      </c>
      <c r="M12" s="1340"/>
    </row>
    <row r="13" spans="2:14" ht="20.100000000000001" customHeight="1" x14ac:dyDescent="0.2">
      <c r="B13" s="1334" t="s">
        <v>2144</v>
      </c>
      <c r="C13" s="1338"/>
      <c r="D13" s="1339"/>
      <c r="E13" s="1340">
        <f>' SEFA'!E15+' SEFA'!E16</f>
        <v>37075</v>
      </c>
      <c r="F13" s="1340">
        <f>' SEFA'!F15+' SEFA'!F16</f>
        <v>29725</v>
      </c>
      <c r="G13" s="1340">
        <f>' SEFA'!G15+' SEFA'!G16</f>
        <v>40858</v>
      </c>
      <c r="H13" s="1340"/>
      <c r="I13" s="1340">
        <f>' SEFA'!I15+' SEFA'!I16</f>
        <v>41398</v>
      </c>
      <c r="J13" s="1340"/>
      <c r="K13" s="1340">
        <f>' SEFA'!K15+' SEFA'!K16</f>
        <v>2076</v>
      </c>
      <c r="L13" s="1337">
        <f t="shared" si="0"/>
        <v>84332</v>
      </c>
      <c r="M13" s="1340"/>
    </row>
    <row r="14" spans="2:14" ht="20.100000000000001" customHeight="1" x14ac:dyDescent="0.2">
      <c r="B14" s="1334" t="s">
        <v>2145</v>
      </c>
      <c r="C14" s="1338"/>
      <c r="D14" s="1339"/>
      <c r="E14" s="1340">
        <f>+' SEFA'!E27</f>
        <v>213979</v>
      </c>
      <c r="F14" s="1340">
        <f>+' SEFA'!F27</f>
        <v>235649</v>
      </c>
      <c r="G14" s="1340">
        <f>+' SEFA'!G27</f>
        <v>217769</v>
      </c>
      <c r="H14" s="1340"/>
      <c r="I14" s="1340">
        <f>+' SEFA'!I27</f>
        <v>230796</v>
      </c>
      <c r="J14" s="1340"/>
      <c r="K14" s="1340"/>
      <c r="L14" s="1337">
        <f t="shared" si="0"/>
        <v>448565</v>
      </c>
      <c r="M14" s="1340"/>
    </row>
    <row r="15" spans="2:14" ht="20.100000000000001" customHeight="1" x14ac:dyDescent="0.2">
      <c r="B15" s="1334" t="s">
        <v>2152</v>
      </c>
      <c r="C15" s="1338"/>
      <c r="D15" s="1339"/>
      <c r="E15" s="1340">
        <f>' SEFA (2)'!E16</f>
        <v>30000</v>
      </c>
      <c r="F15" s="1340">
        <f>' SEFA (2)'!F16</f>
        <v>40705</v>
      </c>
      <c r="G15" s="1340">
        <f>' SEFA (2)'!G16</f>
        <v>30000</v>
      </c>
      <c r="H15" s="1340"/>
      <c r="I15" s="1340">
        <f>' SEFA (2)'!I16</f>
        <v>40705</v>
      </c>
      <c r="J15" s="1340"/>
      <c r="K15" s="1340"/>
      <c r="L15" s="1337">
        <f t="shared" si="0"/>
        <v>70705</v>
      </c>
      <c r="M15" s="1340"/>
    </row>
    <row r="16" spans="2:14" ht="20.100000000000001" customHeight="1" x14ac:dyDescent="0.2">
      <c r="B16" s="1334" t="s">
        <v>2146</v>
      </c>
      <c r="C16" s="1338"/>
      <c r="D16" s="1339"/>
      <c r="E16" s="1340">
        <f>' SEFA (3)'!E13+' SEFA (3)'!E14+' SEFA (3)'!E17+' SEFA (3)'!E23</f>
        <v>274740</v>
      </c>
      <c r="F16" s="1340">
        <f>' SEFA (3)'!F13+' SEFA (3)'!F14+' SEFA (3)'!F17+' SEFA (3)'!F23</f>
        <v>391591</v>
      </c>
      <c r="G16" s="1340">
        <f>' SEFA (3)'!G13+' SEFA (3)'!G14+' SEFA (3)'!G17+' SEFA (3)'!G23</f>
        <v>274740</v>
      </c>
      <c r="H16" s="1340"/>
      <c r="I16" s="1340">
        <f>' SEFA (3)'!I13+' SEFA (3)'!I14+' SEFA (3)'!I17+' SEFA (3)'!I23</f>
        <v>391591</v>
      </c>
      <c r="J16" s="1340"/>
      <c r="K16" s="1340"/>
      <c r="L16" s="1337">
        <f t="shared" si="0"/>
        <v>666331</v>
      </c>
      <c r="M16" s="1340"/>
    </row>
    <row r="17" spans="2:14" ht="20.100000000000001" customHeight="1" x14ac:dyDescent="0.2">
      <c r="B17" s="1334" t="s">
        <v>2147</v>
      </c>
      <c r="C17" s="1338"/>
      <c r="D17" s="1339"/>
      <c r="E17" s="1340">
        <f>' SEFA (3)'!E15+' SEFA (3)'!E16</f>
        <v>82733</v>
      </c>
      <c r="F17" s="1340">
        <f>' SEFA (3)'!F15+' SEFA (3)'!F16</f>
        <v>127702</v>
      </c>
      <c r="G17" s="1340">
        <f>' SEFA (3)'!G15+' SEFA (3)'!G16</f>
        <v>82733</v>
      </c>
      <c r="H17" s="1340"/>
      <c r="I17" s="1340">
        <f>' SEFA (3)'!I15+' SEFA (3)'!I16</f>
        <v>127702</v>
      </c>
      <c r="J17" s="1340"/>
      <c r="K17" s="1340"/>
      <c r="L17" s="1337">
        <f t="shared" si="0"/>
        <v>210435</v>
      </c>
      <c r="M17" s="1340"/>
    </row>
    <row r="18" spans="2:14" ht="20.100000000000001" customHeight="1" x14ac:dyDescent="0.2">
      <c r="B18" s="1334" t="s">
        <v>2148</v>
      </c>
      <c r="C18" s="1338"/>
      <c r="D18" s="1339"/>
      <c r="E18" s="1340"/>
      <c r="F18" s="1340">
        <f>' SEFA (2)'!F23</f>
        <v>13338</v>
      </c>
      <c r="G18" s="1340"/>
      <c r="H18" s="1340"/>
      <c r="I18" s="1340">
        <f>' SEFA (2)'!I23</f>
        <v>13338</v>
      </c>
      <c r="J18" s="1340"/>
      <c r="K18" s="1340"/>
      <c r="L18" s="1337">
        <f t="shared" si="0"/>
        <v>13338</v>
      </c>
      <c r="M18" s="1340"/>
    </row>
    <row r="19" spans="2:14" ht="20.100000000000001" customHeight="1" x14ac:dyDescent="0.2">
      <c r="B19" s="1334" t="s">
        <v>2168</v>
      </c>
      <c r="C19" s="1338"/>
      <c r="D19" s="1339"/>
      <c r="E19" s="1340">
        <f>+' SEFA'!E17</f>
        <v>0</v>
      </c>
      <c r="F19" s="1340">
        <f>+' SEFA'!F17</f>
        <v>4722</v>
      </c>
      <c r="G19" s="1340">
        <f>+' SEFA'!G17</f>
        <v>0</v>
      </c>
      <c r="H19" s="1340"/>
      <c r="I19" s="1340">
        <f>+' SEFA'!I17</f>
        <v>4722</v>
      </c>
      <c r="J19" s="1340"/>
      <c r="K19" s="1340"/>
      <c r="L19" s="1337">
        <f t="shared" si="0"/>
        <v>4722</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t="s">
        <v>2149</v>
      </c>
      <c r="C22" s="1338"/>
      <c r="D22" s="1339"/>
      <c r="E22" s="1340">
        <f>SUM(E12:E21)</f>
        <v>790100</v>
      </c>
      <c r="F22" s="1340">
        <f>SUM(F12:F21)</f>
        <v>1222526</v>
      </c>
      <c r="G22" s="1340">
        <f>SUM(G12:G21)</f>
        <v>952003</v>
      </c>
      <c r="H22" s="1340"/>
      <c r="I22" s="1340">
        <f>SUM(I12:I21)</f>
        <v>1183673</v>
      </c>
      <c r="J22" s="1340"/>
      <c r="K22" s="1340">
        <f>SUM(K12:K21)</f>
        <v>10972</v>
      </c>
      <c r="L22" s="1337">
        <f t="shared" si="0"/>
        <v>2146648</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t="s">
        <v>2150</v>
      </c>
      <c r="C24" s="1338"/>
      <c r="D24" s="1339"/>
      <c r="E24" s="1340"/>
      <c r="F24" s="1340"/>
      <c r="G24" s="1340"/>
      <c r="H24" s="1340"/>
      <c r="I24" s="1340"/>
      <c r="J24" s="1340"/>
      <c r="K24" s="1340"/>
      <c r="L24" s="1337">
        <f t="shared" si="0"/>
        <v>0</v>
      </c>
      <c r="M24" s="1340"/>
    </row>
    <row r="25" spans="2:14" ht="20.100000000000001" customHeight="1" x14ac:dyDescent="0.2">
      <c r="B25" s="1334" t="s">
        <v>2151</v>
      </c>
      <c r="C25" s="1338"/>
      <c r="D25" s="1339"/>
      <c r="E25" s="1340">
        <f>E16+E17</f>
        <v>357473</v>
      </c>
      <c r="F25" s="1340">
        <f>F16+F17</f>
        <v>519293</v>
      </c>
      <c r="G25" s="1340">
        <f>G16+G17</f>
        <v>357473</v>
      </c>
      <c r="H25" s="1340"/>
      <c r="I25" s="1340">
        <f>I16+I17</f>
        <v>519293</v>
      </c>
      <c r="J25" s="1340"/>
      <c r="K25" s="1340"/>
      <c r="L25" s="1337">
        <f t="shared" si="0"/>
        <v>876766</v>
      </c>
      <c r="M25" s="1340"/>
    </row>
    <row r="26" spans="2:14" ht="20.100000000000001" customHeight="1" x14ac:dyDescent="0.2">
      <c r="B26" s="1334" t="s">
        <v>2169</v>
      </c>
      <c r="C26" s="1338"/>
      <c r="D26" s="1339"/>
      <c r="E26" s="1340">
        <f>+E14+E19</f>
        <v>213979</v>
      </c>
      <c r="F26" s="1340">
        <f>+F14+F19</f>
        <v>240371</v>
      </c>
      <c r="G26" s="1340">
        <f>+G14+G19</f>
        <v>217769</v>
      </c>
      <c r="H26" s="1340"/>
      <c r="I26" s="1340">
        <f>+I14+I19</f>
        <v>235518</v>
      </c>
      <c r="J26" s="1340"/>
      <c r="K26" s="1340"/>
      <c r="L26" s="1337">
        <f t="shared" si="0"/>
        <v>453287</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pageMargins left="0.75" right="0.75" top="0.75" bottom="0.5" header="0.5" footer="0.5"/>
  <pageSetup scale="74" firstPageNumber="38" orientation="landscape" r:id="rId1"/>
  <headerFooter>
    <oddHeader xml:space="preserve">&amp;C&amp;"Times New Roman,Regular"
</oddHeader>
    <oddFooter>&amp;C&amp;"Times New Roman,Regular"See Independent Auditor's Reports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J49" sqref="J49"/>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6" t="str">
        <f>'Single Audit Cover'!A7</f>
        <v>BELLE VALLEY SCHOOL DISTRICT NO. 119</v>
      </c>
      <c r="B1" s="2436"/>
      <c r="C1" s="2436"/>
      <c r="D1" s="2436"/>
      <c r="E1" s="2436"/>
      <c r="F1" s="2436"/>
    </row>
    <row r="2" spans="1:7" ht="13.5" customHeight="1" x14ac:dyDescent="0.2">
      <c r="A2" s="2432">
        <f>'Single Audit Cover'!E7</f>
        <v>50082119002</v>
      </c>
      <c r="B2" s="2432"/>
      <c r="C2" s="2432"/>
      <c r="D2" s="2432"/>
      <c r="E2" s="2432"/>
      <c r="F2" s="2432"/>
      <c r="G2" s="1272"/>
    </row>
    <row r="3" spans="1:7" ht="15.75" customHeight="1" x14ac:dyDescent="0.2">
      <c r="A3" s="2437" t="s">
        <v>1271</v>
      </c>
      <c r="B3" s="2437"/>
      <c r="C3" s="2437"/>
      <c r="D3" s="2437"/>
      <c r="E3" s="2437"/>
      <c r="F3" s="2437"/>
    </row>
    <row r="4" spans="1:7" ht="13.5" customHeight="1" x14ac:dyDescent="0.2">
      <c r="A4" s="2438" t="str">
        <f>'Single Audit Cover'!A4</f>
        <v>Year Ending June 30, 2019</v>
      </c>
      <c r="B4" s="2438"/>
      <c r="C4" s="2438"/>
      <c r="D4" s="2438"/>
      <c r="E4" s="2438"/>
      <c r="F4" s="2438"/>
    </row>
    <row r="5" spans="1:7" ht="8.25" customHeight="1" x14ac:dyDescent="0.2">
      <c r="C5" s="317"/>
      <c r="D5" s="317"/>
    </row>
    <row r="6" spans="1:7" ht="13.5" customHeight="1" x14ac:dyDescent="0.2">
      <c r="A6" s="1273" t="s">
        <v>1728</v>
      </c>
      <c r="C6" s="317"/>
      <c r="D6" s="317"/>
    </row>
    <row r="7" spans="1:7" ht="60.95" customHeight="1" x14ac:dyDescent="0.2">
      <c r="A7" s="2435" t="s">
        <v>2077</v>
      </c>
      <c r="B7" s="2435"/>
      <c r="C7" s="2435"/>
      <c r="D7" s="2435"/>
      <c r="E7" s="2435"/>
      <c r="F7" s="2435"/>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2071</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5" t="s">
        <v>2078</v>
      </c>
      <c r="B13" s="2435"/>
      <c r="C13" s="2435"/>
      <c r="D13" s="2435"/>
      <c r="E13" s="2435"/>
      <c r="F13" s="2435"/>
    </row>
    <row r="14" spans="1:7" ht="9.75" customHeight="1" x14ac:dyDescent="0.2">
      <c r="C14" s="1257"/>
      <c r="D14" s="1257"/>
    </row>
    <row r="15" spans="1:7" ht="13.5" customHeight="1" x14ac:dyDescent="0.2">
      <c r="C15" s="1846" t="s">
        <v>1270</v>
      </c>
      <c r="D15" s="2440" t="s">
        <v>1269</v>
      </c>
      <c r="E15" s="2440"/>
      <c r="F15" s="2440"/>
    </row>
    <row r="16" spans="1:7" ht="13.5" customHeight="1" x14ac:dyDescent="0.2">
      <c r="A16" s="1279"/>
      <c r="B16" s="1273" t="s">
        <v>1268</v>
      </c>
      <c r="C16" s="1846" t="s">
        <v>1267</v>
      </c>
      <c r="D16" s="2441" t="s">
        <v>1588</v>
      </c>
      <c r="E16" s="2441"/>
      <c r="F16" s="2441"/>
    </row>
    <row r="17" spans="1:6" ht="20.45" customHeight="1" x14ac:dyDescent="0.2">
      <c r="A17" s="1280"/>
      <c r="B17" s="1281" t="s">
        <v>2080</v>
      </c>
      <c r="C17" s="1282"/>
      <c r="D17" s="2439"/>
      <c r="E17" s="2439"/>
      <c r="F17" s="2439"/>
    </row>
    <row r="18" spans="1:6" ht="20.65" customHeight="1" x14ac:dyDescent="0.2">
      <c r="A18" s="1280"/>
      <c r="B18" s="1281"/>
      <c r="C18" s="1282"/>
      <c r="D18" s="2439"/>
      <c r="E18" s="2439"/>
      <c r="F18" s="2439"/>
    </row>
    <row r="19" spans="1:6" ht="20.65" customHeight="1" x14ac:dyDescent="0.2">
      <c r="A19" s="1280"/>
      <c r="B19" s="1281"/>
      <c r="C19" s="1282"/>
      <c r="D19" s="2439"/>
      <c r="E19" s="2439"/>
      <c r="F19" s="2439"/>
    </row>
    <row r="20" spans="1:6" ht="20.65" customHeight="1" x14ac:dyDescent="0.2">
      <c r="A20" s="1280"/>
      <c r="B20" s="1281"/>
      <c r="C20" s="1282"/>
      <c r="D20" s="2439"/>
      <c r="E20" s="2439"/>
      <c r="F20" s="2439"/>
    </row>
    <row r="21" spans="1:6" ht="20.65" customHeight="1" x14ac:dyDescent="0.2">
      <c r="A21" s="1280"/>
      <c r="B21" s="1281"/>
      <c r="C21" s="1282"/>
      <c r="D21" s="2439"/>
      <c r="E21" s="2439"/>
      <c r="F21" s="2439"/>
    </row>
    <row r="22" spans="1:6" ht="20.65" customHeight="1" x14ac:dyDescent="0.2">
      <c r="A22" s="1280"/>
      <c r="B22" s="1281"/>
      <c r="C22" s="1282"/>
      <c r="D22" s="2439"/>
      <c r="E22" s="2439"/>
      <c r="F22" s="2439"/>
    </row>
    <row r="23" spans="1:6" ht="20.65" customHeight="1" x14ac:dyDescent="0.2">
      <c r="A23" s="1280"/>
      <c r="B23" s="1281"/>
      <c r="C23" s="1282"/>
      <c r="D23" s="2439"/>
      <c r="E23" s="2439"/>
      <c r="F23" s="2439"/>
    </row>
    <row r="24" spans="1:6" ht="20.65" customHeight="1" x14ac:dyDescent="0.2">
      <c r="A24" s="1280"/>
      <c r="B24" s="1281"/>
      <c r="C24" s="1282"/>
      <c r="D24" s="2439"/>
      <c r="E24" s="2439"/>
      <c r="F24" s="2439"/>
    </row>
    <row r="25" spans="1:6" ht="20.65" customHeight="1" x14ac:dyDescent="0.2">
      <c r="A25" s="1280"/>
      <c r="B25" s="1281"/>
      <c r="C25" s="1282"/>
      <c r="D25" s="2439"/>
      <c r="E25" s="2439"/>
      <c r="F25" s="2439"/>
    </row>
    <row r="26" spans="1:6" ht="20.65" customHeight="1" x14ac:dyDescent="0.2">
      <c r="A26" s="1280"/>
      <c r="B26" s="1281"/>
      <c r="C26" s="1282"/>
      <c r="D26" s="2439"/>
      <c r="E26" s="2439"/>
      <c r="F26" s="2439"/>
    </row>
    <row r="27" spans="1:6" ht="20.65" customHeight="1" x14ac:dyDescent="0.2">
      <c r="A27" s="1280"/>
      <c r="B27" s="1281"/>
      <c r="C27" s="1282"/>
      <c r="D27" s="2439"/>
      <c r="E27" s="2439"/>
      <c r="F27" s="2439"/>
    </row>
    <row r="28" spans="1:6" ht="20.65" customHeight="1" x14ac:dyDescent="0.2">
      <c r="A28" s="1280"/>
      <c r="B28" s="1281"/>
      <c r="C28" s="1282"/>
      <c r="D28" s="2439"/>
      <c r="E28" s="2439"/>
      <c r="F28" s="2439"/>
    </row>
    <row r="29" spans="1:6" ht="20.65" customHeight="1" x14ac:dyDescent="0.2">
      <c r="A29" s="1280"/>
      <c r="B29" s="1281"/>
      <c r="C29" s="1282"/>
      <c r="D29" s="2439"/>
      <c r="E29" s="2439"/>
      <c r="F29" s="2439"/>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2079</v>
      </c>
      <c r="B32" s="2443"/>
      <c r="C32" s="2443"/>
      <c r="D32" s="2443"/>
      <c r="E32" s="2443"/>
      <c r="F32" s="2443"/>
    </row>
    <row r="33" spans="1:6" ht="13.5" customHeight="1" x14ac:dyDescent="0.2">
      <c r="A33" s="328" t="s">
        <v>1434</v>
      </c>
      <c r="B33" s="328"/>
      <c r="C33" s="1285">
        <v>19603</v>
      </c>
      <c r="D33" s="1903"/>
      <c r="E33" s="1283"/>
    </row>
    <row r="34" spans="1:6" ht="13.5" customHeight="1" x14ac:dyDescent="0.2">
      <c r="A34" s="328" t="s">
        <v>1835</v>
      </c>
      <c r="B34" s="328"/>
      <c r="C34" s="1286">
        <v>18496</v>
      </c>
      <c r="D34" s="1903" t="s">
        <v>1589</v>
      </c>
      <c r="E34" s="2444">
        <f>+C33+C34</f>
        <v>38099</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t="s">
        <v>99</v>
      </c>
      <c r="D38" s="1903"/>
      <c r="E38" s="1283"/>
    </row>
    <row r="39" spans="1:6" ht="14.25" customHeight="1" x14ac:dyDescent="0.2">
      <c r="A39" s="328"/>
      <c r="B39" s="328" t="s">
        <v>1436</v>
      </c>
      <c r="C39" s="1289" t="s">
        <v>99</v>
      </c>
      <c r="D39" s="1903"/>
      <c r="E39" s="1283"/>
    </row>
    <row r="40" spans="1:6" ht="14.25" customHeight="1" x14ac:dyDescent="0.2">
      <c r="A40" s="328"/>
      <c r="B40" s="328" t="s">
        <v>1437</v>
      </c>
      <c r="C40" s="1289" t="s">
        <v>99</v>
      </c>
      <c r="D40" s="1903"/>
      <c r="E40" s="1283"/>
    </row>
    <row r="41" spans="1:6" ht="14.25" customHeight="1" x14ac:dyDescent="0.2">
      <c r="A41" s="328"/>
      <c r="B41" s="328" t="s">
        <v>1438</v>
      </c>
      <c r="C41" s="1289" t="s">
        <v>99</v>
      </c>
      <c r="D41" s="1903"/>
      <c r="E41" s="1283"/>
    </row>
    <row r="42" spans="1:6" ht="14.25" customHeight="1" x14ac:dyDescent="0.2">
      <c r="A42" s="328" t="s">
        <v>1439</v>
      </c>
      <c r="B42" s="328"/>
      <c r="C42" s="1901" t="s">
        <v>99</v>
      </c>
      <c r="D42" s="1903"/>
      <c r="E42" s="1283"/>
    </row>
    <row r="43" spans="1:6" ht="14.25" customHeight="1" x14ac:dyDescent="0.2">
      <c r="A43" s="328" t="s">
        <v>1440</v>
      </c>
      <c r="B43" s="328"/>
      <c r="C43" s="1290" t="s">
        <v>99</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2" t="s">
        <v>1551</v>
      </c>
      <c r="C51" s="2442"/>
      <c r="D51" s="2442"/>
    </row>
    <row r="52" spans="1:5" ht="14.25" customHeight="1" x14ac:dyDescent="0.2">
      <c r="A52" s="1298"/>
      <c r="B52" s="2442"/>
      <c r="C52" s="2442"/>
      <c r="D52" s="2442"/>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75" right="0.75" top="0.75" bottom="0.5" header="0.5" footer="0.5"/>
  <pageSetup scale="80" firstPageNumber="39" orientation="portrait" r:id="rId1"/>
  <headerFooter>
    <oddHeader xml:space="preserve">&amp;C&amp;"Times New Roman,Regular"
</oddHeader>
    <oddFooter>&amp;C&amp;"Times New Roman,Regular"See Independent Auditor's Reports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22" zoomScale="110" zoomScaleNormal="110" workbookViewId="0">
      <selection activeCell="D46" sqref="D46"/>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1" t="str">
        <f>'Single Audit Cover'!A7</f>
        <v>BELLE VALLEY SCHOOL DISTRICT NO. 119</v>
      </c>
      <c r="C1" s="2452"/>
      <c r="D1" s="2452"/>
      <c r="E1" s="2452"/>
      <c r="F1" s="2452"/>
      <c r="G1" s="2452"/>
      <c r="H1" s="2452"/>
      <c r="I1" s="2452"/>
      <c r="J1" s="1406"/>
    </row>
    <row r="2" spans="2:10" s="317" customFormat="1" ht="12.75" customHeight="1" x14ac:dyDescent="0.2">
      <c r="B2" s="2453">
        <f>'Single Audit Cover'!E7</f>
        <v>50082119002</v>
      </c>
      <c r="C2" s="2454"/>
      <c r="D2" s="2454"/>
      <c r="E2" s="2454"/>
      <c r="F2" s="2454"/>
      <c r="G2" s="2454"/>
      <c r="H2" s="2454"/>
      <c r="I2" s="2454"/>
      <c r="J2" s="1406"/>
    </row>
    <row r="3" spans="2:10" s="317" customFormat="1" ht="12.75" customHeight="1" x14ac:dyDescent="0.2">
      <c r="B3" s="2455" t="s">
        <v>1285</v>
      </c>
      <c r="C3" s="2456"/>
      <c r="D3" s="2456"/>
      <c r="E3" s="2456"/>
      <c r="F3" s="2456"/>
      <c r="G3" s="2456"/>
      <c r="H3" s="2456"/>
      <c r="I3" s="2456"/>
      <c r="J3" s="1407"/>
    </row>
    <row r="4" spans="2:10" s="317" customFormat="1" ht="12.75" customHeight="1" x14ac:dyDescent="0.2">
      <c r="B4" s="2455" t="str">
        <f>'Single Audit Cover'!A4</f>
        <v>Year Ending June 30, 2019</v>
      </c>
      <c r="C4" s="2456"/>
      <c r="D4" s="2456"/>
      <c r="E4" s="2456"/>
      <c r="F4" s="2456"/>
      <c r="G4" s="2456"/>
      <c r="H4" s="2456"/>
      <c r="I4" s="2456"/>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5" t="s">
        <v>1284</v>
      </c>
      <c r="C7" s="2456"/>
      <c r="D7" s="2456"/>
      <c r="E7" s="2456"/>
      <c r="F7" s="2456"/>
      <c r="G7" s="2456"/>
      <c r="H7" s="2456"/>
      <c r="I7" s="2456"/>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7" t="s">
        <v>2155</v>
      </c>
      <c r="D11" s="2457"/>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2061</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2061</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2061</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2061</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2061</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8" t="s">
        <v>2156</v>
      </c>
      <c r="E29" s="2458"/>
      <c r="F29" s="2458"/>
      <c r="G29" s="2458"/>
      <c r="H29" s="2458"/>
      <c r="I29" s="2458"/>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2061</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59" t="s">
        <v>1748</v>
      </c>
      <c r="D37" s="2460"/>
      <c r="E37" s="2460"/>
      <c r="F37" s="2461"/>
      <c r="G37" s="2459" t="s">
        <v>1592</v>
      </c>
      <c r="H37" s="2460"/>
      <c r="I37" s="2461"/>
    </row>
    <row r="38" spans="2:9" ht="16.5" customHeight="1" x14ac:dyDescent="0.2">
      <c r="B38" s="1428" t="s">
        <v>2151</v>
      </c>
      <c r="C38" s="2447" t="s">
        <v>2157</v>
      </c>
      <c r="D38" s="2448"/>
      <c r="E38" s="2448"/>
      <c r="F38" s="2449"/>
      <c r="G38" s="2462">
        <v>519293</v>
      </c>
      <c r="H38" s="2463"/>
      <c r="I38" s="2464"/>
    </row>
    <row r="39" spans="2:9" ht="16.5" customHeight="1" x14ac:dyDescent="0.2">
      <c r="B39" s="1428"/>
      <c r="C39" s="2447"/>
      <c r="D39" s="2448"/>
      <c r="E39" s="2448"/>
      <c r="F39" s="2449"/>
      <c r="G39" s="2450"/>
      <c r="H39" s="2450"/>
      <c r="I39" s="2450"/>
    </row>
    <row r="40" spans="2:9" ht="16.5" customHeight="1" x14ac:dyDescent="0.2">
      <c r="B40" s="1428"/>
      <c r="C40" s="2447"/>
      <c r="D40" s="2448"/>
      <c r="E40" s="2448"/>
      <c r="F40" s="2449"/>
      <c r="G40" s="2450"/>
      <c r="H40" s="2450"/>
      <c r="I40" s="2450"/>
    </row>
    <row r="41" spans="2:9" ht="16.5" customHeight="1" x14ac:dyDescent="0.2">
      <c r="B41" s="1428"/>
      <c r="C41" s="2447"/>
      <c r="D41" s="2448"/>
      <c r="E41" s="2448"/>
      <c r="F41" s="2449"/>
      <c r="G41" s="2450"/>
      <c r="H41" s="2450"/>
      <c r="I41" s="2450"/>
    </row>
    <row r="42" spans="2:9" ht="16.5" customHeight="1" x14ac:dyDescent="0.2">
      <c r="B42" s="1428"/>
      <c r="C42" s="2447"/>
      <c r="D42" s="2448"/>
      <c r="E42" s="2448"/>
      <c r="F42" s="2449"/>
      <c r="G42" s="2450"/>
      <c r="H42" s="2450"/>
      <c r="I42" s="2450"/>
    </row>
    <row r="43" spans="2:9" ht="16.5" customHeight="1" x14ac:dyDescent="0.2">
      <c r="B43" s="1428"/>
      <c r="C43" s="2465" t="s">
        <v>1593</v>
      </c>
      <c r="D43" s="2466"/>
      <c r="E43" s="2466"/>
      <c r="F43" s="2467"/>
      <c r="G43" s="2468">
        <f>SUM(G38:I42)</f>
        <v>519293</v>
      </c>
      <c r="H43" s="2468"/>
      <c r="I43" s="2468"/>
    </row>
    <row r="44" spans="2:9" ht="12.75" customHeight="1" x14ac:dyDescent="0.2"/>
    <row r="45" spans="2:9" ht="12.75" customHeight="1" x14ac:dyDescent="0.2">
      <c r="B45" s="1419" t="s">
        <v>1838</v>
      </c>
      <c r="D45" s="2469">
        <v>1186644</v>
      </c>
      <c r="E45" s="2470"/>
    </row>
    <row r="46" spans="2:9" ht="5.25" customHeight="1" x14ac:dyDescent="0.2">
      <c r="B46" s="1429"/>
      <c r="D46" s="1430"/>
      <c r="E46" s="1431"/>
    </row>
    <row r="47" spans="2:9" ht="12.75" customHeight="1" x14ac:dyDescent="0.2">
      <c r="B47" s="1297" t="s">
        <v>1594</v>
      </c>
      <c r="C47" s="1297"/>
      <c r="D47" s="1432">
        <f>+G43/D45</f>
        <v>0.43761481960891385</v>
      </c>
      <c r="E47" s="1433"/>
      <c r="F47" s="1434"/>
      <c r="I47" s="1435"/>
    </row>
    <row r="48" spans="2:9" ht="9.9499999999999993" customHeight="1" x14ac:dyDescent="0.2"/>
    <row r="49" spans="1:9" x14ac:dyDescent="0.2">
      <c r="B49" s="1365" t="s">
        <v>1273</v>
      </c>
      <c r="C49" s="1279"/>
      <c r="D49" s="1279"/>
      <c r="E49" s="2471">
        <v>750000</v>
      </c>
      <c r="F49" s="2471"/>
      <c r="G49" s="2471"/>
      <c r="H49" s="322"/>
    </row>
    <row r="51" spans="1:9" ht="13.5" customHeight="1" x14ac:dyDescent="0.2">
      <c r="B51" s="1365" t="s">
        <v>1272</v>
      </c>
      <c r="C51" s="1279"/>
      <c r="E51" s="1422"/>
      <c r="F51" s="1297" t="s">
        <v>885</v>
      </c>
      <c r="G51" s="1422" t="s">
        <v>2061</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75" right="0.75" top="0.75" bottom="0.5" header="0.5" footer="0.5"/>
  <pageSetup scale="88" firstPageNumber="40" orientation="portrait" r:id="rId1"/>
  <headerFooter>
    <oddHeader xml:space="preserve">&amp;C&amp;"Times New Roman,Regular"
</oddHeader>
    <oddFooter>&amp;C&amp;"Times New Roman,Regular"See Independent Auditor's Reports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0" zoomScale="110" zoomScaleNormal="110" workbookViewId="0">
      <selection activeCell="T11" sqref="T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1" t="str">
        <f>'Single Audit Cover'!A7</f>
        <v>BELLE VALLEY SCHOOL DISTRICT NO. 119</v>
      </c>
      <c r="C1" s="2451"/>
      <c r="D1" s="2451"/>
      <c r="E1" s="2451"/>
      <c r="F1" s="2451"/>
      <c r="G1" s="2451"/>
      <c r="H1" s="2451"/>
      <c r="I1" s="2451"/>
      <c r="J1" s="2451"/>
      <c r="K1" s="2451"/>
      <c r="L1" s="1371"/>
      <c r="M1" s="1371"/>
    </row>
    <row r="2" spans="1:13" ht="12" customHeight="1" x14ac:dyDescent="0.2">
      <c r="B2" s="2453">
        <f>'Single Audit Cover'!E7</f>
        <v>50082119002</v>
      </c>
      <c r="C2" s="2453"/>
      <c r="D2" s="2453"/>
      <c r="E2" s="2453"/>
      <c r="F2" s="2453"/>
      <c r="G2" s="2453"/>
      <c r="H2" s="2453"/>
      <c r="I2" s="2453"/>
      <c r="J2" s="2453"/>
      <c r="K2" s="2453"/>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1988</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t="s">
        <v>2080</v>
      </c>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1839</v>
      </c>
      <c r="C36" s="1297"/>
      <c r="L36" s="1378"/>
    </row>
    <row r="37" spans="1:13" ht="9.6" customHeight="1" x14ac:dyDescent="0.2">
      <c r="B37" s="1297" t="s">
        <v>1840</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0.75" bottom="0.5" header="0.5" footer="0.5"/>
  <pageSetup scale="89" firstPageNumber="41" orientation="portrait" r:id="rId1"/>
  <headerFooter>
    <oddHeader xml:space="preserve">&amp;C&amp;"Times New Roman,Regular"
</oddHeader>
    <oddFooter>&amp;C&amp;"Times New Roman,Regular"See Independent Auditor's Reports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16"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BELLE VALLEY SCHOOL DISTRICT NO. 119</v>
      </c>
      <c r="C1" s="2478"/>
      <c r="D1" s="2478"/>
      <c r="E1" s="2478"/>
      <c r="F1" s="2478"/>
      <c r="G1" s="2478"/>
      <c r="H1" s="2478"/>
      <c r="I1" s="2478"/>
      <c r="J1" s="2478"/>
      <c r="K1" s="2478"/>
      <c r="L1" s="1449"/>
    </row>
    <row r="2" spans="1:12" ht="12.75" customHeight="1" x14ac:dyDescent="0.2">
      <c r="B2" s="2479">
        <f>'Single Audit Cover'!E7</f>
        <v>50082119002</v>
      </c>
      <c r="C2" s="2479"/>
      <c r="D2" s="2479"/>
      <c r="E2" s="2479"/>
      <c r="F2" s="2479"/>
      <c r="G2" s="2479"/>
      <c r="H2" s="2479"/>
      <c r="I2" s="2479"/>
      <c r="J2" s="2479"/>
      <c r="K2" s="2479"/>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1988</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8"/>
      <c r="G12" s="2458"/>
      <c r="H12" s="2458"/>
      <c r="I12" s="2458"/>
      <c r="J12" s="2458"/>
      <c r="K12" s="2458"/>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1"/>
      <c r="E14" s="2481"/>
      <c r="F14" s="2481"/>
      <c r="H14" s="1459" t="s">
        <v>1303</v>
      </c>
      <c r="I14" s="2482"/>
      <c r="J14" s="2482"/>
      <c r="K14" s="2482"/>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2"/>
      <c r="E16" s="2482"/>
      <c r="F16" s="2482"/>
      <c r="G16" s="2482"/>
      <c r="H16" s="2482"/>
      <c r="I16" s="2482"/>
      <c r="J16" s="2482"/>
      <c r="K16" s="2482"/>
      <c r="L16" s="322"/>
    </row>
    <row r="17" spans="2:12" ht="13.5" customHeight="1" x14ac:dyDescent="0.2">
      <c r="B17" s="1384" t="s">
        <v>1301</v>
      </c>
      <c r="C17" s="1384"/>
      <c r="D17" s="2483"/>
      <c r="E17" s="2483"/>
      <c r="F17" s="2483"/>
      <c r="G17" s="2483"/>
      <c r="H17" s="2483"/>
      <c r="I17" s="2483"/>
      <c r="J17" s="2483"/>
      <c r="K17" s="2483"/>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t="s">
        <v>2080</v>
      </c>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75" right="0.75" top="1.25" bottom="0.5" header="0.5" footer="0.5"/>
  <pageSetup scale="89" firstPageNumber="42" orientation="portrait" r:id="rId1"/>
  <headerFooter>
    <oddHeader xml:space="preserve">&amp;C&amp;"Times New Roman,Regular"
</oddHeader>
    <oddFooter>&amp;C&amp;"Times New Roman,Regular"See Independent Auditor's Reports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23" sqref="D2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1" t="str">
        <f>'Single Audit Cover'!A7</f>
        <v>BELLE VALLEY SCHOOL DISTRICT NO. 119</v>
      </c>
      <c r="C1" s="2451"/>
      <c r="D1" s="2451"/>
      <c r="E1" s="1469"/>
    </row>
    <row r="2" spans="2:5" s="1279" customFormat="1" ht="12.75" customHeight="1" x14ac:dyDescent="0.2">
      <c r="B2" s="2453">
        <f>'Single Audit Cover'!E7</f>
        <v>50082119002</v>
      </c>
      <c r="C2" s="2453"/>
      <c r="D2" s="2453"/>
      <c r="E2" s="1470"/>
    </row>
    <row r="3" spans="2:5" ht="12.75" customHeight="1" x14ac:dyDescent="0.2">
      <c r="B3" s="2474" t="s">
        <v>1763</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2080</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rintOptions horizontalCentered="1"/>
  <pageMargins left="0.75" right="0.75" top="1" bottom="0.5" header="0.5" footer="0.5"/>
  <pageSetup scale="90" firstPageNumber="43" orientation="portrait" r:id="rId1"/>
  <headerFooter>
    <oddHeader xml:space="preserve">&amp;C&amp;"Times New Roman,Regular"
</oddHeader>
    <oddFooter>&amp;C&amp;"Times New Roman,Regular"See Independent Auditor's Reports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sharepoint/v3"/>
    <ds:schemaRef ds:uri="http://www.w3.org/XML/1998/namespace"/>
    <ds:schemaRef ds:uri="http://schemas.microsoft.com/office/infopath/2007/PartnerControls"/>
    <ds:schemaRef ds:uri="http://schemas.microsoft.com/office/2006/documentManagement/types"/>
    <ds:schemaRef ds:uri="6ce3111e-7420-4802-b50a-75d4e9a0b980"/>
    <ds:schemaRef ds:uri="http://purl.org/dc/dcmitype/"/>
    <ds:schemaRef ds:uri="http://purl.org/dc/terms/"/>
    <ds:schemaRef ds:uri="http://schemas.openxmlformats.org/package/2006/metadata/core-properties"/>
    <ds:schemaRef ds:uri="4d435f69-8686-490b-bd6d-b153bf22ab50"/>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23</vt:i4>
      </vt:variant>
    </vt:vector>
  </HeadingPairs>
  <TitlesOfParts>
    <vt:vector size="5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SSPAF</vt:lpstr>
      <vt:lpstr>' SEFA'!Print_Area</vt:lpstr>
      <vt:lpstr>' SEFA (2)'!Print_Area</vt:lpstr>
      <vt:lpstr>' SEFA (3)'!Print_Area</vt:lpstr>
      <vt:lpstr>' SEFA (4)'!Print_Area</vt:lpstr>
      <vt:lpstr>'Itemization 33'!Print_Area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TOC!Print_Area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2019-09-17T18:10:54Z</cp:lastPrinted>
  <dcterms:created xsi:type="dcterms:W3CDTF">2003-10-29T19:06:34Z</dcterms:created>
  <dcterms:modified xsi:type="dcterms:W3CDTF">2019-09-20T18:09:48Z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