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0D0EC3F-F88E-4C83-8C05-9805B31E0EB9}" xr6:coauthVersionLast="36" xr6:coauthVersionMax="36" xr10:uidLastSave="{00000000-0000-0000-0000-000000000000}"/>
  <bookViews>
    <workbookView xWindow="0" yWindow="0" windowWidth="28800" windowHeight="117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31'!$A$1:$G$55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22" i="37"/>
  <c r="D24" i="37"/>
  <c r="B4270" i="106" s="1"/>
  <c r="D4270" i="106" s="1"/>
  <c r="L5" i="11"/>
  <c r="B2056" i="106" s="1"/>
  <c r="D2056" i="106" s="1"/>
  <c r="D9" i="7"/>
  <c r="B1767" i="106" s="1"/>
  <c r="D1767" i="106" s="1"/>
  <c r="D17" i="7"/>
  <c r="B4104" i="106" s="1"/>
  <c r="D4104" i="106" s="1"/>
  <c r="B7235" i="106" l="1"/>
  <c r="D7235" i="106" s="1"/>
  <c r="J41" i="3"/>
  <c r="B6216" i="106" s="1"/>
  <c r="D6216" i="106" s="1"/>
  <c r="K184" i="29"/>
  <c r="F13" i="4" s="1"/>
  <c r="B2596" i="106" s="1"/>
  <c r="D2596" i="106" s="1"/>
  <c r="G210" i="29"/>
  <c r="L367" i="29"/>
  <c r="K41" i="3"/>
  <c r="B3568" i="106" s="1"/>
  <c r="D3568" i="106" s="1"/>
  <c r="L15" i="11"/>
  <c r="B3459" i="106" s="1"/>
  <c r="D3459" i="106" s="1"/>
  <c r="B3254" i="106"/>
  <c r="D3254" i="106" s="1"/>
  <c r="I24" i="12"/>
  <c r="B1308" i="106"/>
  <c r="D1308" i="106" s="1"/>
  <c r="E174" i="29"/>
  <c r="B1309" i="106" s="1"/>
  <c r="D1309" i="106" s="1"/>
  <c r="L13" i="11"/>
  <c r="B2060" i="106" s="1"/>
  <c r="D2060" i="106" s="1"/>
  <c r="D68" i="36"/>
  <c r="F19" i="7"/>
  <c r="B1807" i="106" s="1"/>
  <c r="D1807" i="106" s="1"/>
  <c r="C342" i="29"/>
  <c r="B7216" i="106" s="1"/>
  <c r="D7216" i="106" s="1"/>
  <c r="L342" i="29"/>
  <c r="F72" i="34"/>
  <c r="B281" i="106"/>
  <c r="D281" i="106" s="1"/>
  <c r="D31" i="36"/>
  <c r="D11" i="37"/>
  <c r="H29" i="118"/>
  <c r="K28" i="118" s="1"/>
  <c r="O27" i="118" s="1"/>
  <c r="O29" i="118" s="1"/>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B1365" i="106"/>
  <c r="D1365" i="106" s="1"/>
  <c r="F65" i="34"/>
  <c r="D7255" i="106"/>
  <c r="D7253" i="106"/>
  <c r="D7252" i="106"/>
  <c r="D44" i="36"/>
  <c r="D52" i="36"/>
  <c r="I26" i="12"/>
  <c r="B7741" i="106" s="1"/>
  <c r="D7741" i="106" s="1"/>
  <c r="B1996" i="106"/>
  <c r="D1996" i="106" s="1"/>
  <c r="L16" i="11"/>
  <c r="B2061" i="106" s="1"/>
  <c r="D2061" i="106" s="1"/>
  <c r="K342" i="29"/>
  <c r="F13" i="34" s="1"/>
  <c r="B1317" i="106"/>
  <c r="D1317" i="106" s="1"/>
  <c r="L114" i="29"/>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19" i="4" l="1"/>
  <c r="B6229" i="106" s="1"/>
  <c r="D6229" i="106" s="1"/>
  <c r="J20" i="4"/>
  <c r="J78" i="4" s="1"/>
  <c r="D8" i="146"/>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<sst xmlns="http://schemas.openxmlformats.org/spreadsheetml/2006/main" count="5071" uniqueCount="2100">
  <si>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</si>
  <si>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</si>
  <si>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</si>
  <si>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</si>
  <si>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</si>
  <si>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</si>
  <si>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</si>
  <si>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</si>
  <si>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</si>
  <si>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</si>
  <si>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</si>
  <si>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</si>
  <si>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</si>
  <si>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</si>
  <si>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</si>
  <si>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</si>
  <si>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</si>
  <si>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</si>
  <si>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</si>
  <si>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</si>
  <si>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</si>
  <si>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</si>
  <si>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</si>
  <si>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</si>
  <si>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</si>
  <si>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</si>
  <si>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</si>
  <si>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</si>
  <si>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</si>
  <si>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</si>
  <si>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</si>
  <si>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</si>
  <si>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</si>
  <si>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</si>
  <si>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</si>
  <si>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</si>
  <si>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</si>
  <si>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</si>
  <si>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</si>
  <si>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</si>
  <si>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</si>
  <si>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</si>
  <si>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</si>
  <si>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</si>
  <si>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</si>
  <si>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</si>
  <si>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</si>
  <si>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</si>
  <si>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</si>
  <si>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</si>
  <si>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</si>
  <si>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</si>
  <si>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</si>
  <si>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</si>
  <si>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</si>
  <si>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</si>
  <si>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</si>
  <si>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</si>
  <si>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</si>
  <si>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</si>
  <si>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</si>
  <si>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</si>
  <si>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</si>
  <si>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</si>
  <si>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</si>
  <si>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</si>
  <si>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</si>
  <si>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</si>
  <si>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</si>
  <si>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</si>
  <si>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</si>
  <si>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</si>
  <si>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</si>
  <si>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</si>
  <si>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</si>
  <si>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</si>
  <si>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</si>
  <si>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</si>
  <si>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</si>
  <si>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</si>
  <si>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</si>
  <si>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</si>
  <si>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</si>
  <si>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</si>
  <si>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</si>
  <si>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</si>
  <si>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</si>
  <si>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</si>
  <si>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</si>
  <si>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</si>
  <si>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</si>
  <si>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</si>
  <si>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</si>
  <si>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</si>
  <si>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</si>
  <si>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</si>
  <si>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</si>
  <si>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</si>
  <si>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</si>
  <si>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</si>
  <si>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</si>
  <si>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</si>
  <si>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</si>
  <si>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</si>
  <si>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</si>
  <si>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</si>
  <si>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</si>
  <si>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</si>
  <si>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</si>
  <si>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</si>
  <si>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</si>
  <si>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</si>
  <si>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</si>
  <si>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</si>
  <si>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</si>
  <si>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</si>
  <si>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</si>
  <si>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</si>
  <si>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</si>
  <si>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</si>
  <si>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</si>
  <si>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</si>
  <si>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</si>
  <si>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</si>
  <si>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</si>
  <si>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</si>
  <si>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</si>
  <si>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</si>
  <si>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</si>
  <si>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</si>
  <si>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</si>
  <si>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</si>
  <si>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</si>
  <si>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</si>
  <si>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</si>
  <si>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</si>
  <si>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</si>
  <si>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</si>
  <si>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</si>
  <si>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</si>
  <si>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</si>
  <si>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</si>
  <si>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</si>
  <si>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</si>
  <si>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</si>
  <si>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</si>
  <si>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</si>
  <si>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</si>
  <si>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</si>
  <si>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</si>
  <si>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</si>
  <si>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</si>
  <si>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</si>
  <si>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</si>
  <si>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</si>
  <si>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</si>
  <si>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</si>
  <si>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</si>
  <si>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</si>
  <si>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</si>
  <si>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</si>
  <si>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</si>
  <si>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</si>
  <si>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</si>
  <si>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</si>
  <si>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</si>
  <si>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</si>
  <si>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</si>
  <si>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</si>
  <si>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</si>
  <si>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</si>
  <si>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</si>
  <si>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</si>
  <si>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</si>
  <si>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</si>
  <si>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</si>
  <si>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</si>
  <si>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</si>
  <si>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</si>
  <si>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</si>
  <si>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</si>
  <si>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</si>
  <si>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</si>
  <si>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</si>
  <si>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</si>
  <si>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</si>
  <si>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</si>
  <si>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</si>
  <si>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</si>
  <si>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</si>
  <si>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</si>
  <si>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</si>
  <si>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</si>
  <si>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</si>
  <si>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</si>
  <si>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</si>
  <si>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</si>
  <si>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</si>
  <si>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</si>
  <si>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</si>
  <si>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</si>
  <si>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</si>
  <si>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</si>
  <si>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</si>
  <si>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</si>
  <si>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</si>
  <si>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</si>
  <si>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</si>
  <si>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</si>
  <si>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</si>
  <si>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</si>
  <si>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</si>
  <si>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</si>
  <si>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</si>
  <si>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</si>
  <si>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</si>
  <si>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</si>
  <si>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</si>
  <si>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</si>
  <si>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</si>
  <si>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</si>
  <si>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</si>
  <si>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</si>
  <si>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</si>
  <si>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</si>
  <si>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</si>
  <si>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</si>
  <si>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</si>
  <si>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</si>
  <si>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</si>
  <si>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</si>
  <si>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</si>
  <si>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</si>
  <si>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</si>
  <si>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</si>
  <si>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</si>
  <si>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</si>
  <si>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</si>
  <si>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</si>
  <si>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</si>
  <si>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</si>
  <si>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</si>
  <si>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</si>
  <si>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</si>
  <si>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</si>
  <si>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</si>
  <si>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</si>
  <si>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</si>
  <si>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</si>
  <si>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</si>
  <si>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</si>
  <si>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</si>
  <si>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</si>
  <si>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</si>
  <si>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</si>
  <si>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</si>
  <si>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</si>
  <si>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</si>
  <si>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</si>
  <si>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</si>
  <si>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</si>
  <si>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</si>
  <si>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</si>
  <si>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</si>
  <si>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</si>
  <si>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</si>
  <si>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</si>
  <si>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</si>
  <si>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</si>
  <si>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</si>
  <si>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</si>
  <si>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</si>
  <si>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</si>
  <si>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</si>
  <si>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</si>
  <si>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</si>
  <si>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</si>
  <si>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</si>
  <si>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</si>
  <si>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</si>
  <si>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</si>
  <si>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</si>
  <si>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</si>
  <si>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</si>
  <si>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</si>
  <si>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</si>
  <si>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</si>
  <si>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</si>
  <si>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</si>
  <si>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</si>
  <si>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</si>
  <si>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</si>
  <si>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</si>
  <si>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</si>
  <si>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</si>
  <si>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</si>
  <si>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</si>
  <si>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</si>
  <si>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</si>
  <si>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</si>
  <si>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</si>
  <si>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</si>
  <si>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</si>
  <si>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</si>
  <si>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</si>
  <si>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</si>
  <si>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</si>
  <si>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</si>
  <si>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</si>
  <si>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</si>
  <si>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</si>
  <si>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</si>
  <si>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</si>
  <si>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</si>
  <si>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</si>
  <si>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</si>
  <si>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</si>
  <si>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</si>
  <si>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</si>
  <si>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</si>
  <si>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</si>
  <si>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</si>
  <si>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</si>
  <si>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</si>
  <si>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</si>
  <si>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</si>
  <si>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</si>
  <si>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</si>
  <si>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</si>
  <si>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</si>
  <si>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</si>
  <si>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</si>
  <si>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</si>
  <si>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</si>
  <si>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</si>
  <si>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</si>
  <si>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</si>
  <si>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</si>
  <si>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</si>
  <si>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</si>
  <si>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</si>
  <si>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</si>
  <si>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</si>
  <si>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</si>
  <si>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</si>
  <si>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</si>
  <si>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</si>
  <si>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</si>
  <si>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</si>
  <si>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</si>
  <si>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</si>
  <si>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</si>
  <si>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</si>
  <si>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</si>
  <si>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</si>
  <si>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</si>
  <si>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</si>
  <si>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</si>
  <si>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</si>
  <si>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</si>
  <si>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</si>
  <si>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</si>
  <si>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</si>
  <si>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</si>
  <si>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</si>
  <si>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</si>
  <si>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</si>
  <si>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</si>
  <si>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</si>
  <si>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</si>
  <si>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</si>
  <si>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</si>
  <si>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</si>
  <si>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</si>
  <si>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</si>
  <si>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</si>
  <si>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</si>
  <si>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</si>
  <si>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</si>
  <si>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</si>
  <si>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</si>
  <si>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</si>
  <si>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</si>
  <si>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</si>
  <si>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</si>
  <si>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</si>
  <si>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</si>
  <si>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</si>
  <si>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</si>
  <si>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</si>
  <si>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</si>
  <si>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</si>
  <si>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</si>
  <si>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</si>
  <si>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</si>
  <si>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</si>
  <si>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</si>
  <si>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</si>
  <si>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</si>
  <si>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</si>
  <si>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</si>
  <si>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</si>
  <si>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</si>
  <si>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</si>
  <si>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</si>
  <si>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</si>
  <si>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</si>
  <si>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</si>
  <si>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</si>
  <si>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</si>
  <si>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</si>
  <si>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</si>
  <si>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</si>
  <si>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</si>
  <si>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</si>
  <si>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</si>
  <si>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</si>
  <si>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</si>
  <si>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</si>
  <si>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</si>
  <si>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</si>
  <si>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</si>
  <si>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</si>
  <si>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</si>
  <si>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</si>
  <si>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</si>
  <si>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</si>
  <si>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</si>
  <si>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</si>
  <si>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</si>
  <si>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</si>
  <si>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</si>
  <si>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</si>
  <si>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</si>
  <si>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</si>
  <si>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</si>
  <si>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</si>
  <si>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</si>
  <si>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</si>
  <si>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</si>
  <si>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</si>
  <si>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</si>
  <si>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</si>
  <si>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</si>
  <si>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</si>
  <si>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</si>
  <si>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</si>
  <si>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</si>
  <si>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</si>
  <si>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</si>
  <si>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</si>
  <si>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</si>
  <si>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</si>
  <si>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</si>
  <si>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</si>
  <si>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</si>
  <si>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</si>
  <si>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</si>
  <si>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</si>
  <si>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</si>
  <si>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</si>
  <si>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</si>
  <si>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</si>
  <si>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</si>
  <si>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</si>
  <si>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</si>
  <si>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</si>
  <si>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</si>
  <si>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</si>
  <si>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</si>
  <si>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</si>
  <si>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</si>
  <si>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</si>
  <si>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</si>
  <si>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</si>
  <si>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</si>
  <si>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</si>
  <si>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</si>
  <si>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</si>
  <si>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</si>
  <si>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</si>
  <si>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</si>
  <si>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</si>
  <si>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</si>
  <si>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</si>
  <si>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</si>
  <si>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</si>
  <si>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</si>
  <si>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</si>
  <si>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</si>
  <si>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</si>
  <si>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</si>
  <si>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</si>
  <si>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</si>
  <si>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</si>
  <si>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</si>
  <si>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</si>
  <si>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</si>
  <si>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</si>
  <si>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</si>
  <si>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</si>
  <si>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</si>
  <si>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</si>
  <si>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</si>
  <si>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</si>
  <si>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</si>
  <si>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</si>
  <si>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</si>
  <si>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</si>
  <si>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</si>
  <si>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</si>
  <si>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</si>
  <si>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</si>
  <si>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</si>
  <si>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</si>
  <si>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</si>
  <si>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</si>
  <si>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</si>
  <si>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</si>
  <si>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</si>
  <si>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</si>
  <si>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</si>
  <si>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</si>
  <si>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</si>
  <si>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</si>
  <si>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</si>
  <si>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</si>
  <si>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</si>
  <si>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</si>
  <si>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</si>
  <si>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</si>
  <si>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</si>
  <si>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</si>
  <si>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</si>
  <si>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</si>
  <si>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</si>
  <si>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</si>
  <si>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</si>
  <si>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</si>
  <si>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</si>
  <si>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</si>
  <si>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</si>
  <si>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</si>
  <si>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</si>
  <si>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</si>
  <si>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</si>
  <si>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</si>
  <si>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</si>
  <si>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</si>
  <si>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</si>
  <si>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</si>
  <si>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</si>
  <si>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</si>
  <si>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</si>
  <si>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</si>
  <si>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</si>
  <si>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</si>
  <si>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</si>
  <si>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</si>
  <si>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</si>
  <si>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</si>
  <si>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</si>
  <si>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</si>
  <si>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</si>
  <si>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</si>
  <si>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</si>
  <si>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</si>
  <si>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</si>
  <si>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</si>
  <si>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</si>
  <si>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</si>
  <si>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</si>
  <si>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</si>
  <si>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</si>
  <si>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</si>
  <si>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</si>
  <si>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</si>
  <si>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</si>
  <si>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</si>
  <si>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</si>
  <si>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</si>
  <si>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</si>
  <si>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</si>
  <si>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</si>
  <si>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</si>
  <si>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</si>
  <si>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</si>
  <si>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</si>
  <si>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</si>
  <si>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</si>
  <si>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</si>
  <si>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</si>
  <si>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</si>
  <si>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</si>
  <si>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</si>
  <si>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</si>
  <si>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</si>
  <si>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</si>
  <si>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</si>
  <si>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</si>
  <si>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</si>
  <si>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</si>
  <si>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</si>
  <si>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</si>
  <si>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</si>
  <si>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</si>
  <si>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</si>
  <si>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</si>
  <si>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</si>
  <si>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</si>
  <si>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</si>
  <si>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</si>
  <si>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</si>
  <si>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</si>
  <si>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</si>
  <si>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</si>
  <si>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</si>
  <si>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</si>
  <si>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</si>
  <si>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</si>
  <si>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</si>
  <si>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</si>
  <si>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</si>
  <si>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</si>
  <si>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</si>
  <si>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</si>
  <si>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</si>
  <si>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</si>
  <si>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</si>
  <si>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</si>
  <si>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</si>
  <si>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</si>
  <si>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</si>
  <si>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</si>
  <si>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</si>
  <si>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</si>
  <si>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</si>
  <si>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</si>
  <si>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</si>
  <si>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</si>
  <si>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</si>
  <si>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</si>
  <si>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</si>
  <si>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</si>
  <si>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</si>
  <si>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</si>
  <si>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</si>
  <si>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</si>
  <si>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</si>
  <si>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</si>
  <si>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</si>
  <si>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</si>
  <si>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</si>
  <si>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</si>
  <si>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</si>
  <si>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</si>
  <si>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</si>
  <si>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</si>
  <si>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</si>
  <si>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</si>
  <si>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</si>
  <si>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</si>
  <si>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</si>
  <si>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</si>
  <si>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</si>
  <si>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</si>
  <si>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</si>
  <si>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</si>
  <si>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</si>
  <si>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</si>
  <si>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</si>
  <si>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</si>
  <si>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</si>
  <si>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</si>
  <si>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</si>
  <si>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</si>
  <si>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</si>
  <si>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</si>
  <si>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</si>
  <si>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</si>
  <si>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</si>
  <si>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</si>
  <si>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</si>
  <si>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</si>
  <si>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</si>
  <si>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</si>
  <si>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</si>
  <si>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</si>
  <si>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</si>
  <si>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</si>
  <si>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</si>
  <si>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</si>
  <si>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</si>
  <si>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</si>
  <si>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</si>
  <si>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</si>
  <si>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</si>
  <si>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</si>
  <si>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</si>
  <si>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</si>
  <si>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</si>
  <si>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</si>
  <si>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</si>
  <si>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</si>
  <si>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</si>
  <si>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</si>
  <si>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</si>
  <si>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</si>
  <si>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</si>
  <si>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</si>
  <si>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</si>
  <si>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</si>
  <si>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</si>
  <si>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</si>
  <si>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</si>
  <si>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</si>
  <si>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</si>
  <si>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</si>
  <si>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</si>
  <si>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</si>
  <si>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</si>
  <si>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</si>
  <si>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</si>
  <si>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</si>
  <si>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</si>
  <si>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</si>
  <si>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</si>
  <si>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</si>
  <si>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</si>
  <si>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</si>
  <si>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</si>
  <si>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</si>
  <si>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</si>
  <si>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</si>
  <si>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</si>
  <si>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</si>
  <si>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</si>
  <si>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</si>
  <si>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</si>
  <si>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</si>
  <si>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</si>
  <si>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</si>
  <si>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</si>
  <si>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</si>
  <si>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</si>
  <si>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</si>
  <si>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</si>
  <si>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</si>
  <si>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</si>
  <si>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</si>
  <si>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</si>
  <si>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</si>
  <si>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</si>
  <si>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</si>
  <si>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</si>
  <si>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</si>
  <si>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</si>
  <si>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</si>
  <si>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</si>
  <si>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</si>
  <si>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</si>
  <si>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</si>
  <si>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</si>
  <si>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</si>
  <si>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</si>
  <si>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</si>
  <si>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</si>
  <si>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</si>
  <si>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</si>
  <si>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</si>
  <si>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</si>
  <si>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</si>
  <si>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</si>
  <si>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</si>
  <si>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</si>
  <si>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</si>
  <si>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</si>
  <si>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</si>
  <si>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</si>
  <si>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</si>
  <si>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</si>
  <si>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</si>
  <si>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</si>
  <si>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</si>
  <si>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</si>
  <si>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</si>
  <si>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</si>
  <si>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</si>
  <si>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</si>
  <si>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</si>
  <si>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</si>
  <si>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</si>
  <si>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</si>
  <si>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</si>
  <si>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</si>
  <si>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</si>
  <si>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</si>
  <si>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</si>
  <si>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</si>
  <si>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</si>
  <si>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</si>
  <si>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</si>
  <si>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</si>
  <si>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</si>
  <si>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</si>
  <si>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</si>
  <si>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</si>
  <si>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</si>
  <si>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</si>
  <si>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</si>
  <si>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</si>
  <si>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</si>
  <si>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</si>
  <si>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</si>
  <si>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</si>
  <si>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</si>
  <si>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</si>
  <si>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</si>
  <si>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</si>
  <si>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</si>
  <si>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</si>
  <si>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</si>
  <si>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</si>
  <si>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</si>
  <si>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</si>
  <si>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</si>
  <si>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</si>
  <si>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</si>
  <si>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</si>
  <si>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</si>
  <si>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</si>
  <si>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</si>
  <si>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</si>
  <si>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</si>
  <si>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</si>
  <si>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</si>
  <si>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</si>
  <si>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</si>
  <si>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</si>
  <si>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</si>
  <si>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</si>
  <si>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</si>
  <si>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</si>
  <si>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</si>
  <si>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</si>
  <si>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</si>
  <si>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</si>
  <si>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</si>
  <si>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</si>
  <si>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</si>
  <si>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</si>
  <si>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</si>
  <si>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</si>
  <si>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</si>
  <si>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</si>
  <si>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</si>
  <si>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</si>
  <si>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</si>
  <si>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</si>
  <si>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</si>
  <si>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</si>
  <si>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</si>
  <si>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</si>
  <si>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</si>
  <si>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</si>
  <si>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</si>
  <si>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</si>
  <si>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</si>
  <si>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</si>
  <si>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</si>
  <si>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</si>
  <si>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</si>
  <si>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</si>
  <si>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</si>
  <si>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</si>
  <si>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</si>
  <si>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</si>
  <si>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</si>
  <si>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</si>
  <si>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</si>
  <si>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</si>
  <si>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</si>
  <si>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</si>
  <si>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</si>
  <si>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</si>
  <si>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</si>
  <si>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</si>
  <si>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</si>
  <si>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</si>
  <si>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</si>
  <si>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</si>
  <si>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</si>
  <si>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</si>
  <si>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</si>
  <si>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</si>
  <si>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</si>
  <si>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</si>
  <si>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</si>
  <si>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</si>
  <si>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</si>
  <si>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</si>
  <si>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</si>
  <si>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</si>
  <si>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</si>
  <si>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</si>
  <si>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</si>
  <si>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</si>
  <si>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</si>
  <si>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</si>
  <si>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</si>
  <si>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</si>
  <si>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</si>
  <si>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</si>
  <si>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</si>
  <si>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</si>
  <si>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</si>
  <si>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</si>
  <si>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</si>
  <si>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</si>
  <si>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</si>
  <si>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</si>
  <si>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</si>
  <si>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</si>
  <si>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</si>
  <si>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</si>
  <si>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</si>
  <si>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</si>
  <si>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</si>
  <si>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</si>
  <si>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</si>
  <si>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</si>
  <si>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</si>
  <si>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</si>
  <si>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</si>
  <si>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</si>
  <si>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</si>
  <si>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</si>
  <si>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</si>
  <si>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</si>
  <si>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</si>
  <si>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</si>
  <si>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</si>
  <si>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</si>
  <si>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</si>
  <si>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</si>
  <si>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</si>
  <si>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</si>
  <si>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</si>
  <si>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</si>
  <si>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</si>
  <si>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</si>
  <si>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</si>
  <si>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</si>
  <si>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</si>
  <si>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</si>
  <si>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</si>
  <si>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</si>
  <si>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</si>
  <si>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</si>
  <si>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</si>
  <si>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</si>
  <si>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</si>
  <si>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</si>
  <si>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</si>
  <si>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</si>
  <si>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</si>
  <si>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</si>
  <si>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</si>
  <si>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</si>
  <si>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</si>
  <si>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</si>
  <si>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</si>
  <si>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</si>
  <si>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</si>
  <si>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</si>
  <si>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</si>
  <si>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</si>
  <si>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</si>
  <si>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</si>
  <si>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</si>
  <si>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</si>
  <si>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</si>
  <si>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</si>
  <si>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</si>
  <si>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</si>
  <si>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</si>
  <si>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</si>
  <si>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</si>
  <si>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</si>
  <si>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</si>
  <si>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</si>
  <si>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</si>
  <si>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</si>
  <si>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</si>
  <si>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</si>
  <si>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</si>
  <si>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</si>
  <si>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</si>
  <si>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</si>
  <si>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</si>
  <si>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</si>
  <si>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</si>
  <si>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</si>
  <si>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</si>
  <si>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</si>
  <si>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</si>
  <si>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</si>
  <si>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</si>
  <si>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</si>
  <si>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</si>
  <si>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</si>
  <si>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</si>
  <si>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</si>
  <si>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</si>
  <si>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</si>
  <si>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</si>
  <si>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</si>
  <si>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</si>
  <si>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</si>
  <si>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</si>
  <si>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</si>
  <si>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</si>
  <si>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</si>
  <si>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</si>
  <si>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</si>
  <si>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</si>
  <si>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</si>
  <si>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</si>
  <si>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</si>
  <si>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</si>
  <si>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</si>
  <si>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</si>
  <si>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</si>
  <si>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</si>
  <si>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</si>
  <si>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</si>
  <si>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</si>
  <si>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</si>
  <si>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</si>
  <si>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</si>
  <si>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</si>
  <si>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</si>
  <si>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</si>
  <si>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</si>
  <si>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</si>
  <si>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</si>
  <si>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</si>
  <si>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</si>
  <si>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</si>
  <si>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</si>
  <si>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</si>
  <si>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</si>
  <si>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</si>
  <si>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</si>
  <si>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</si>
  <si>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</si>
  <si>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</si>
  <si>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</si>
  <si>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</si>
  <si>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</si>
  <si>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</si>
  <si>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</si>
  <si>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</si>
  <si>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</si>
  <si>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</si>
  <si>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</si>
  <si>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</si>
  <si>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</si>
  <si>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</si>
  <si>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</si>
  <si>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</si>
  <si>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</si>
  <si>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</si>
  <si>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</si>
  <si>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</si>
  <si>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</si>
  <si>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</si>
  <si>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</si>
  <si>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</si>
  <si>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</si>
  <si>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</si>
  <si>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</si>
  <si>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</si>
  <si>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</si>
  <si>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</si>
  <si>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</si>
  <si>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</si>
  <si>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</si>
  <si>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</si>
  <si>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</si>
  <si>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</si>
  <si>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</si>
  <si>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</si>
  <si>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</si>
  <si>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</si>
  <si>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</si>
  <si>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</si>
  <si>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</si>
  <si>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</si>
  <si>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</si>
  <si>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</si>
  <si>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</si>
  <si>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</si>
  <si>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</si>
  <si>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</si>
  <si>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</si>
  <si>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</si>
  <si>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</si>
  <si>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</si>
  <si>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</si>
  <si>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</si>
  <si>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</si>
  <si>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</si>
  <si>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</si>
  <si>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</si>
  <si>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</si>
  <si>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</si>
  <si>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</si>
  <si>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</si>
  <si>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</si>
  <si>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</si>
  <si>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</si>
  <si>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</si>
  <si>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</si>
  <si>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</si>
  <si>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</si>
  <si>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</si>
  <si>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</si>
  <si>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</si>
  <si>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</si>
  <si>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</si>
  <si>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</si>
  <si>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</si>
  <si>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</si>
  <si>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</si>
  <si>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</si>
  <si>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</si>
  <si>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</si>
  <si>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</si>
  <si>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</si>
  <si>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</si>
  <si>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</si>
  <si>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</si>
  <si>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</si>
  <si>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</si>
  <si>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</si>
  <si>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</si>
  <si>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</si>
  <si>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</si>
  <si>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</si>
  <si>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</si>
  <si>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</si>
  <si>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</si>
  <si>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</si>
  <si>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</si>
  <si>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</si>
  <si>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</si>
  <si>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</si>
  <si>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</si>
  <si>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</si>
  <si>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</si>
  <si>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</si>
  <si>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</si>
  <si>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</si>
  <si>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</si>
  <si>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</si>
  <si>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</si>
  <si>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</si>
  <si>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</si>
  <si>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</si>
  <si>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</si>
  <si>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</si>
  <si>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</si>
  <si>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</si>
  <si>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</si>
  <si>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</si>
  <si>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</si>
  <si>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</si>
  <si>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</si>
  <si>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</si>
  <si>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</si>
  <si>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</si>
  <si>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</si>
  <si>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</si>
  <si>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</si>
  <si>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</si>
  <si>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</si>
  <si>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</si>
  <si>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</si>
  <si>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</si>
  <si>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</si>
  <si>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</si>
  <si>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</si>
  <si>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</si>
  <si>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</si>
  <si>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</si>
  <si>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</si>
  <si>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</si>
  <si>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</si>
  <si>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</si>
  <si>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</si>
  <si>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</si>
  <si>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</si>
  <si>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</si>
  <si>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</si>
  <si>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</si>
  <si>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</si>
  <si>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</si>
  <si>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</si>
  <si>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</si>
  <si>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</si>
  <si>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</si>
  <si>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</si>
  <si>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</si>
  <si>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</si>
  <si>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</si>
  <si>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</si>
  <si>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</si>
  <si>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</si>
  <si>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</si>
  <si>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</si>
  <si>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</si>
  <si>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</si>
  <si>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</si>
  <si>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</si>
  <si>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</si>
  <si>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</si>
  <si>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</si>
  <si>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</si>
  <si>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</si>
  <si>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</si>
  <si>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</si>
  <si>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</si>
  <si>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</si>
  <si>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</si>
  <si>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</si>
  <si>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</si>
  <si>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</si>
  <si>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</si>
  <si>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</si>
  <si>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</si>
  <si>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</si>
  <si>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</si>
  <si>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</si>
  <si>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</si>
  <si>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</si>
  <si>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</si>
  <si>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</si>
  <si>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</si>
  <si>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</si>
  <si>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</si>
  <si>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</si>
  <si>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</si>
  <si>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</si>
  <si>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</si>
  <si>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</si>
  <si>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</si>
  <si>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</si>
  <si>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</si>
  <si>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</si>
  <si>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</si>
  <si>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</si>
  <si>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</si>
  <si>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</si>
  <si>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</si>
  <si>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</si>
  <si>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</si>
  <si>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</si>
  <si>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</si>
  <si>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</si>
  <si>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</si>
  <si>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</si>
  <si>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</si>
  <si>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</si>
  <si>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</si>
  <si>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</si>
  <si>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</si>
  <si>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</si>
  <si>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</si>
  <si>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</si>
  <si>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</si>
  <si>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</si>
  <si>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</si>
  <si>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</si>
  <si>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</si>
  <si>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</si>
  <si>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</si>
  <si>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</si>
  <si>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</si>
  <si>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</si>
  <si>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</si>
  <si>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</si>
  <si>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</si>
  <si>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</si>
  <si>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</si>
  <si>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</si>
  <si>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</si>
  <si>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</si>
  <si>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</si>
  <si>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</si>
  <si>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</si>
  <si>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</si>
  <si>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</si>
  <si>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</si>
  <si>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</si>
  <si>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</si>
  <si>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</si>
  <si>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</si>
  <si>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</si>
  <si>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</si>
  <si>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</si>
  <si>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</si>
  <si>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</si>
  <si>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</si>
  <si>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</si>
  <si>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</si>
  <si>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</si>
  <si>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</si>
  <si>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</si>
  <si>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</si>
  <si>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</si>
  <si>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</si>
  <si>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</si>
  <si>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</si>
  <si>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</si>
  <si>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</si>
  <si>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</si>
  <si>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</si>
  <si>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</si>
  <si>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</si>
  <si>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</si>
  <si>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</si>
  <si>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</si>
  <si>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</si>
  <si>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</si>
  <si>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</si>
  <si>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</si>
  <si>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</si>
  <si>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</si>
  <si>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</si>
  <si>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</si>
  <si>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</si>
  <si>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</si>
  <si>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</si>
  <si>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</si>
  <si>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</si>
  <si>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</si>
  <si>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</si>
  <si>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</si>
  <si>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</si>
  <si>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</si>
  <si>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</si>
  <si>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</si>
  <si>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</si>
  <si>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</si>
  <si>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</si>
  <si>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</si>
  <si>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</si>
  <si>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</si>
  <si>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</si>
  <si>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</si>
  <si>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</si>
  <si>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</si>
  <si>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</si>
  <si>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</si>
  <si>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</si>
  <si>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</si>
  <si>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</si>
  <si>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</si>
  <si>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</si>
  <si>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</si>
  <si>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</si>
  <si>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</si>
  <si>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</si>
  <si>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</si>
  <si>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</si>
  <si>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</si>
  <si>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</si>
  <si>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</si>
  <si>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</si>
  <si>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</si>
  <si>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</si>
  <si>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</si>
  <si>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</si>
  <si>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</si>
  <si>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</si>
  <si>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</si>
  <si>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</si>
  <si>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</si>
  <si>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</si>
  <si>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</si>
  <si>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</si>
  <si>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</si>
  <si>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</si>
  <si>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</si>
  <si>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</si>
  <si>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</si>
  <si>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</si>
  <si>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</si>
  <si>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</si>
  <si>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</si>
  <si>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</si>
  <si>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</si>
  <si>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</si>
  <si>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</si>
  <si>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</si>
  <si>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</si>
  <si>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</si>
  <si>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</si>
  <si>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</si>
  <si>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</si>
  <si>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</si>
  <si>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</si>
  <si>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</si>
  <si>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</si>
  <si>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</si>
  <si>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</si>
  <si>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</si>
  <si>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</si>
  <si>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</si>
  <si>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</si>
  <si>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</si>
  <si>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</si>
  <si>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</si>
  <si>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</si>
  <si>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</si>
  <si>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</si>
  <si>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</si>
  <si>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</si>
  <si>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</si>
  <si>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</si>
  <si>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</si>
  <si>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</si>
  <si>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</si>
  <si>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</si>
  <si>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</si>
  <si>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</si>
  <si>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</si>
  <si>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</si>
  <si>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</si>
  <si>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</si>
  <si>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</si>
  <si>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</si>
  <si>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</si>
  <si>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</si>
  <si>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</si>
  <si>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</si>
  <si>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</si>
  <si>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</si>
  <si>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</si>
  <si>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</si>
  <si>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</si>
  <si>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</si>
  <si>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</si>
  <si>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</si>
  <si>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</si>
  <si>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</si>
  <si>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</si>
  <si>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</si>
  <si>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</si>
  <si>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</si>
  <si>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</si>
  <si>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</si>
  <si>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</si>
  <si>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</si>
  <si>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</si>
  <si>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</si>
  <si>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</si>
  <si>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</si>
  <si>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</si>
  <si>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</si>
  <si>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</si>
  <si>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</si>
  <si>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</si>
  <si>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</si>
  <si>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</si>
  <si>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</si>
  <si>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</si>
  <si>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</si>
  <si>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</si>
  <si>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</si>
  <si>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</si>
  <si>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</si>
  <si>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</si>
  <si>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</si>
  <si>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</si>
  <si>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</si>
  <si>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</si>
  <si>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</si>
  <si>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</si>
  <si>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</si>
  <si>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</si>
  <si>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</si>
  <si>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</si>
  <si>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</si>
  <si>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</si>
  <si>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</si>
  <si>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</si>
  <si>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</si>
  <si>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</si>
  <si>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</si>
  <si>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</si>
  <si>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</si>
  <si>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</si>
  <si>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</si>
  <si>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</si>
  <si>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</si>
  <si>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</si>
  <si>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</si>
  <si>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</si>
  <si>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</si>
  <si>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</si>
  <si>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</si>
  <si>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</si>
  <si>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</si>
  <si>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</si>
  <si>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</si>
  <si>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</si>
  <si>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</si>
  <si>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</si>
  <si>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</si>
  <si>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</si>
  <si>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</si>
  <si>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</si>
  <si>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</si>
  <si>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</si>
  <si>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</si>
  <si>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</si>
  <si>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</si>
  <si>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</si>
  <si>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</si>
  <si>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</si>
  <si>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</si>
  <si>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</si>
  <si>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</si>
  <si>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</si>
  <si>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</si>
  <si>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</si>
  <si>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</si>
  <si>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</si>
  <si>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</si>
  <si>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</si>
  <si>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</si>
  <si>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</si>
  <si>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</si>
  <si>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</si>
  <si>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</si>
  <si>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</si>
  <si>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</si>
  <si>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</si>
  <si>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</si>
  <si>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</si>
  <si>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</si>
  <si>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</si>
  <si>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</si>
  <si>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</si>
  <si>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</si>
  <si>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</si>
  <si>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</si>
  <si>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</si>
  <si>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</si>
  <si>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</si>
  <si>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</si>
  <si>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</si>
  <si>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</si>
  <si>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</si>
  <si>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</si>
  <si>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</si>
  <si>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</si>
  <si>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</si>
  <si>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</si>
  <si>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</si>
  <si>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</si>
  <si>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</si>
  <si>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</si>
  <si>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</si>
  <si>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</si>
  <si>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</si>
  <si>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</si>
  <si>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</si>
  <si>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</si>
  <si>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</si>
  <si>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</si>
  <si>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</si>
  <si>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</si>
  <si>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</si>
  <si>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</si>
  <si>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</si>
  <si>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</si>
  <si>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</si>
  <si>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</si>
  <si>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</si>
  <si>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</si>
  <si>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</si>
  <si>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</si>
  <si>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</si>
  <si>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</si>
  <si>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</si>
  <si>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</si>
  <si>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</si>
  <si>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</si>
  <si>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</si>
  <si>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</si>
  <si>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</si>
  <si>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</si>
  <si>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</si>
  <si>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</si>
  <si>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</si>
  <si>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</si>
  <si>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</si>
  <si>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</si>
  <si>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</si>
  <si>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</si>
  <si>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</si>
  <si>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</si>
  <si>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</si>
  <si>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</si>
  <si>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</si>
  <si>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</si>
  <si>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</si>
  <si>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</si>
  <si>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</si>
  <si>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</si>
  <si>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</si>
  <si>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</si>
  <si>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</si>
  <si>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</si>
  <si>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</si>
  <si>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</si>
  <si>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</si>
  <si>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</si>
  <si>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</si>
  <si>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</si>
  <si>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</si>
  <si>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</si>
  <si>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</si>
  <si>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</si>
  <si>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</si>
  <si>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</si>
  <si>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</si>
  <si>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</si>
  <si>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</si>
  <si>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</si>
  <si>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</si>
  <si>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</si>
  <si>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</si>
  <si>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</si>
  <si>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</si>
  <si>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</si>
  <si>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</si>
  <si>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</si>
  <si>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</si>
  <si>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</si>
  <si>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</si>
  <si>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</si>
  <si>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</si>
  <si>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</si>
  <si>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</si>
  <si>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</si>
  <si>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</si>
  <si>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</si>
  <si>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</si>
  <si>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</si>
  <si>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</si>
  <si>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</si>
  <si>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</si>
  <si>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</si>
  <si>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</si>
  <si>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</si>
  <si>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</si>
  <si>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</si>
  <si>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</si>
  <si>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</si>
  <si>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</si>
  <si>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</si>
  <si>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</si>
  <si>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</si>
  <si>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</si>
  <si>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</si>
  <si>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</si>
  <si>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</si>
  <si>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</si>
  <si>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</si>
  <si>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</si>
  <si>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</si>
  <si>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</si>
  <si>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</si>
  <si>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</si>
  <si>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</si>
  <si>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</si>
  <si>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</si>
  <si>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</si>
  <si>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</si>
  <si>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</si>
  <si>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</si>
  <si>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</si>
  <si>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</si>
  <si>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</si>
  <si>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</si>
  <si>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</si>
  <si>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</si>
  <si>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</si>
  <si>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</si>
  <si>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</si>
  <si>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</si>
  <si>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</si>
  <si>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</si>
  <si>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</si>
  <si>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</si>
  <si>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</si>
  <si>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</si>
  <si>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</si>
  <si>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</si>
  <si>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</si>
  <si>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</si>
  <si>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</si>
  <si>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</si>
  <si>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</si>
  <si>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</si>
  <si>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</si>
  <si>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</si>
  <si>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</si>
  <si>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</si>
  <si>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</si>
  <si>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</si>
  <si>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</si>
  <si>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</si>
  <si>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</si>
  <si>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</si>
  <si>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</si>
  <si>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</si>
  <si>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</si>
  <si>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</si>
  <si>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</si>
  <si>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</si>
  <si>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</si>
  <si>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</si>
  <si>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</si>
  <si>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</si>
  <si>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</si>
  <si>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</si>
  <si>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</si>
  <si>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</si>
  <si>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</si>
  <si>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</si>
  <si>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</si>
  <si>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</si>
  <si>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</si>
  <si>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</si>
  <si>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</si>
  <si>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</si>
  <si>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</si>
  <si>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</si>
  <si>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</si>
  <si>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</si>
  <si>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</si>
  <si>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</si>
  <si>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</si>
  <si>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</si>
  <si>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</si>
  <si>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</si>
  <si>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</si>
  <si>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</si>
  <si>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</si>
  <si>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</si>
  <si>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</si>
  <si>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</si>
  <si>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</si>
  <si>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</si>
  <si>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</si>
  <si>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</si>
  <si>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</si>
  <si>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</si>
  <si>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</si>
  <si>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</si>
  <si>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</si>
  <si>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</si>
  <si>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</si>
  <si>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</si>
  <si>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</si>
  <si>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</si>
  <si>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</si>
  <si>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</si>
  <si>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</si>
  <si>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</si>
  <si>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</si>
  <si>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</si>
  <si>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</si>
  <si>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</si>
  <si>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</si>
  <si>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</si>
  <si>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</si>
  <si>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</si>
  <si>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</si>
  <si>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</si>
  <si>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</si>
  <si>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</si>
  <si>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</si>
  <si>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</si>
  <si>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</si>
  <si>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</si>
  <si>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</si>
  <si>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</si>
  <si>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</si>
  <si>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</si>
  <si>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</si>
  <si>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</si>
  <si>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</si>
  <si>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</si>
  <si>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</si>
  <si>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</si>
  <si>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</si>
  <si>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</si>
  <si>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</si>
  <si>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</si>
  <si>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</si>
  <si>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</si>
  <si>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</si>
  <si>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</si>
  <si>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</si>
  <si>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</si>
  <si>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</si>
  <si>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</si>
  <si>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</si>
  <si>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</si>
  <si>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</si>
  <si>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</si>
  <si>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</si>
  <si>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</si>
  <si>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</si>
  <si>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</si>
  <si>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</si>
  <si>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</si>
  <si>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</si>
  <si>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</si>
  <si>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</si>
  <si>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</si>
  <si>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</si>
  <si>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</si>
  <si>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</si>
  <si>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</si>
  <si>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</si>
  <si>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</si>
  <si>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</si>
  <si>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</si>
  <si>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</si>
  <si>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</si>
  <si>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</si>
  <si>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</si>
  <si>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</si>
  <si>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</si>
  <si>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</si>
  <si>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</si>
  <si>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</si>
  <si>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</si>
  <si>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</si>
  <si>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</si>
  <si>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</si>
  <si>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</si>
  <si>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</si>
  <si>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</si>
  <si>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</si>
  <si>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</si>
  <si>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</si>
  <si>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</si>
  <si>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</si>
  <si>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</si>
  <si>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</si>
  <si>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</si>
  <si>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</si>
  <si>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</si>
  <si>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</si>
  <si>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</si>
  <si>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</si>
  <si>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</si>
  <si>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</si>
  <si>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</si>
  <si>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</si>
  <si>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</si>
  <si>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</si>
  <si>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</si>
  <si>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</si>
  <si>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</si>
  <si>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</si>
  <si>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</si>
  <si>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</si>
  <si>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</si>
  <si>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</si>
  <si>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</si>
  <si>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</si>
  <si>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</si>
  <si>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</si>
  <si>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</si>
  <si>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</si>
  <si>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</si>
  <si>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</si>
  <si>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</si>
  <si>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</si>
  <si>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</si>
  <si>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</si>
  <si>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</si>
  <si>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</si>
  <si>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</si>
  <si>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</si>
  <si>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</si>
  <si>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</si>
  <si>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</si>
  <si>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</si>
  <si>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</si>
  <si>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</si>
  <si>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</si>
  <si>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</si>
  <si>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</si>
  <si>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</si>
  <si>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</si>
  <si>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</si>
  <si>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</si>
  <si>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</si>
  <si>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</si>
  <si>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</si>
  <si>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</si>
  <si>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</si>
  <si>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</si>
  <si>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</si>
  <si>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</si>
  <si>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</si>
  <si>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</si>
  <si>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</si>
  <si>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</si>
  <si>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</si>
  <si>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</si>
  <si>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</si>
  <si>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</si>
  <si>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</si>
  <si>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</si>
  <si>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</si>
  <si>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</si>
  <si>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</si>
  <si>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</si>
  <si>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</si>
  <si>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</si>
  <si>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</si>
  <si>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</si>
  <si>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</si>
  <si>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</si>
  <si>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</si>
  <si>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</si>
  <si>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</si>
  <si>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</si>
  <si>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</si>
  <si>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</si>
  <si>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</si>
  <si>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</si>
  <si>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</si>
  <si>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</si>
  <si>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</si>
  <si>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</si>
  <si>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</si>
  <si>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</si>
  <si>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</si>
  <si>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</si>
  <si>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</si>
  <si>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</si>
  <si>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</si>
  <si>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</si>
  <si>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</si>
  <si>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</si>
  <si>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</si>
  <si>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</si>
  <si>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</si>
  <si>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</si>
  <si>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</si>
  <si>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</si>
  <si>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</si>
  <si>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</si>
  <si>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</si>
  <si>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</si>
  <si>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</si>
  <si>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</si>
  <si>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</si>
  <si>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</si>
  <si>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</si>
  <si>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</si>
  <si>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</si>
  <si>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</si>
  <si>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</si>
  <si>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</si>
  <si>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</si>
  <si>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</si>
  <si>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</si>
  <si>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</si>
  <si>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</si>
  <si>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</si>
  <si>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</si>
  <si>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</si>
  <si>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</si>
  <si>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</si>
  <si>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</si>
  <si>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</si>
  <si>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</si>
  <si>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</si>
  <si>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</si>
  <si>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</si>
  <si>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</si>
  <si>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</si>
  <si>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</si>
  <si>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</si>
  <si>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</si>
  <si>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</si>
  <si>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</si>
  <si>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</si>
  <si>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</si>
  <si>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</si>
  <si>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</si>
  <si>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</si>
  <si>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</si>
  <si>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</si>
  <si>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</si>
  <si>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</si>
  <si>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</si>
  <si>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</si>
  <si>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</si>
  <si>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</si>
  <si>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</si>
  <si>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</si>
  <si>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</si>
  <si>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</si>
  <si>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</si>
  <si>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</si>
  <si>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</si>
  <si>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</si>
  <si>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</si>
  <si>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</si>
  <si>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</si>
  <si>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</si>
  <si>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</si>
  <si>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</si>
  <si>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</si>
  <si>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</si>
  <si>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</si>
  <si>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</si>
  <si>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</si>
  <si>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</si>
  <si>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</si>
  <si>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</si>
  <si>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</si>
  <si>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</si>
  <si>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</si>
  <si>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</si>
  <si>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</si>
  <si>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</si>
  <si>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</si>
  <si>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</si>
  <si>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</si>
  <si>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</si>
  <si>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</si>
  <si>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</si>
  <si>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</si>
  <si>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</si>
  <si>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</si>
  <si>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</si>
  <si>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</si>
  <si>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</si>
  <si>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</si>
  <si>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Robert E. Moore, CPA</t>
  </si>
  <si>
    <t>Moore &amp; Simonin, PC</t>
  </si>
  <si>
    <t>3636 North Belt West</t>
  </si>
  <si>
    <t>Belleville</t>
  </si>
  <si>
    <t>IL</t>
  </si>
  <si>
    <t>618-233-5049</t>
  </si>
  <si>
    <t>618-233-1061</t>
  </si>
  <si>
    <t>066-005248</t>
  </si>
  <si>
    <t>mooresimonin@mrsaccountants.com</t>
  </si>
  <si>
    <t>X</t>
  </si>
  <si>
    <t>St. Clair</t>
  </si>
  <si>
    <t>1721 Boul Avenue</t>
  </si>
  <si>
    <t>Swansea</t>
  </si>
  <si>
    <t>Building Bonds</t>
  </si>
  <si>
    <t>Refunding</t>
  </si>
  <si>
    <t>Fire &amp; Safety</t>
  </si>
  <si>
    <t>Capital Lease Solar Array</t>
  </si>
  <si>
    <t>Capital Lease</t>
  </si>
  <si>
    <t>ED-Food Service-Supplies</t>
  </si>
  <si>
    <t>10-2560-300</t>
  </si>
  <si>
    <t>Belleville SD 118</t>
  </si>
  <si>
    <t>TR-Pupil Transportation-Purchased Services</t>
  </si>
  <si>
    <t>40-2550-300</t>
  </si>
  <si>
    <t>BTHS Dist. 201</t>
  </si>
  <si>
    <t>BASSC</t>
  </si>
  <si>
    <t>BTHS SD 201</t>
  </si>
  <si>
    <t>Page 12, Line 168:  Other - $8,000</t>
  </si>
  <si>
    <t>Page 13, Line 197:  NSLP Equipment - $12,215</t>
  </si>
  <si>
    <t>Page 13, Line 203:  School Improvement - $30,228</t>
  </si>
  <si>
    <t>Page 11, Line 106:  Latchkey</t>
  </si>
  <si>
    <t>2018-001</t>
  </si>
  <si>
    <t>The District is unable to complete notes and</t>
  </si>
  <si>
    <t>exhibits to the financial statements.</t>
  </si>
  <si>
    <t>The District plans to allow its auditor to prepare the</t>
  </si>
  <si>
    <t>report and related notes.</t>
  </si>
  <si>
    <t>High Mount SD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</si>
</sst>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2073</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2073</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50082116002</v>
      </c>
      <c r="B13" s="2017"/>
      <c r="C13" s="2017"/>
      <c r="D13" s="2017"/>
      <c r="E13" s="2017"/>
      <c r="F13" s="2017"/>
      <c r="G13" s="2017"/>
      <c r="H13" s="2018"/>
      <c r="I13" s="31"/>
      <c r="J13" s="30"/>
      <c r="K13" s="28"/>
      <c r="L13" s="30"/>
      <c r="M13" s="30"/>
      <c r="N13" s="30"/>
      <c r="O13" s="30"/>
      <c r="P13" s="30"/>
      <c r="Q13" s="30"/>
      <c r="R13" s="30"/>
      <c r="S13" s="30"/>
      <c r="T13" s="2021" t="s">
        <v>2065</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2074</v>
      </c>
      <c r="B15" s="2019"/>
      <c r="C15" s="2019"/>
      <c r="D15" s="2019"/>
      <c r="E15" s="2019"/>
      <c r="F15" s="2019"/>
      <c r="G15" s="2019"/>
      <c r="H15" s="2020"/>
      <c r="T15" s="2025" t="s">
        <v>2064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2099</v>
      </c>
      <c r="B17" s="1976"/>
      <c r="C17" s="1976"/>
      <c r="D17" s="1976"/>
      <c r="E17" s="1976"/>
      <c r="F17" s="1976"/>
      <c r="G17" s="1976"/>
      <c r="H17" s="2001"/>
      <c r="T17" s="2032" t="s">
        <v>2066</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2075</v>
      </c>
      <c r="B19" s="1961"/>
      <c r="C19" s="1961"/>
      <c r="D19" s="1961"/>
      <c r="E19" s="1961"/>
      <c r="F19" s="1961"/>
      <c r="G19" s="1961"/>
      <c r="H19" s="1941"/>
      <c r="I19" s="30"/>
      <c r="J19" s="99"/>
      <c r="K19" s="40"/>
      <c r="L19" s="38"/>
      <c r="M19" s="112" t="s">
        <v>315</v>
      </c>
      <c r="P19" s="27"/>
      <c r="Q19" s="27"/>
      <c r="R19" s="27"/>
      <c r="S19" s="31"/>
      <c r="T19" s="2015" t="s">
        <v>2067</v>
      </c>
      <c r="U19" s="1940"/>
      <c r="V19" s="1940"/>
      <c r="W19" s="1941"/>
      <c r="X19" s="2030" t="s">
        <v>2068</v>
      </c>
      <c r="Y19" s="2031"/>
      <c r="Z19" s="2028">
        <v>62226</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2076</v>
      </c>
      <c r="B21" s="1940"/>
      <c r="C21" s="1940"/>
      <c r="D21" s="1940"/>
      <c r="E21" s="1940"/>
      <c r="F21" s="1940"/>
      <c r="G21" s="1940"/>
      <c r="H21" s="1941"/>
      <c r="I21" s="1995" t="s">
        <v>678</v>
      </c>
      <c r="J21" s="1990"/>
      <c r="K21" s="1990"/>
      <c r="L21" s="1990"/>
      <c r="M21" s="1990"/>
      <c r="N21" s="1990"/>
      <c r="O21" s="1990"/>
      <c r="P21" s="1990"/>
      <c r="Q21" s="1990"/>
      <c r="R21" s="1990"/>
      <c r="S21" s="1996"/>
      <c r="T21" s="2039" t="s">
        <v>2069</v>
      </c>
      <c r="U21" s="2040"/>
      <c r="V21" s="2040"/>
      <c r="W21" s="2040"/>
      <c r="X21" s="2045" t="s">
        <v>2070</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2071</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62226</v>
      </c>
      <c r="B25" s="1940"/>
      <c r="C25" s="1940"/>
      <c r="D25" s="1940"/>
      <c r="E25" s="1940"/>
      <c r="F25" s="1940"/>
      <c r="G25" s="1940"/>
      <c r="H25" s="1941"/>
      <c r="I25" s="113"/>
      <c r="J25" s="1964"/>
      <c r="K25" s="1964"/>
      <c r="L25" s="1964"/>
      <c r="M25" s="1964"/>
      <c r="N25" s="1964"/>
      <c r="O25" s="1964"/>
      <c r="P25" s="1964"/>
      <c r="Q25" s="1964"/>
      <c r="R25" s="1964"/>
      <c r="S25" s="1965"/>
      <c r="T25" s="2035" t="s">
        <v>2072</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5"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45823656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1.8599999999999998E-2</v>
      </c>
      <c r="E10" s="356" t="s">
        <v>1005</v>
      </c>
      <c r="F10" s="355">
        <v>4.0000000000000001E-3</v>
      </c>
      <c r="G10" s="356" t="s">
        <v>1005</v>
      </c>
      <c r="H10" s="355">
        <v>1.1999999999999999E-3</v>
      </c>
      <c r="I10" s="356" t="s">
        <v>1006</v>
      </c>
      <c r="J10" s="1732">
        <f>ROUND(D10+F10+H10,5)</f>
        <v>2.3800000000000002E-2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4545341</v>
      </c>
      <c r="E16" s="356"/>
      <c r="F16" s="1733">
        <f>SUM('Acct Summary 7-8'!C17,'Acct Summary 7-8'!D17,'Acct Summary 7-8'!F17)</f>
        <v>4397481</v>
      </c>
      <c r="G16" s="356"/>
      <c r="H16" s="1733">
        <f>SUM(D16-F16)</f>
        <v>147860</v>
      </c>
      <c r="I16" s="222"/>
      <c r="J16" s="1733">
        <f>SUM('Acct Summary 7-8'!C81,'Acct Summary 7-8'!D81,'Acct Summary 7-8'!F81,'Acct Summary 7-8'!I81)</f>
        <v>1979863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3161832.2640000004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1097980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High Mount SD 116</v>
      </c>
      <c r="E7" s="391"/>
      <c r="G7" s="252"/>
      <c r="H7" s="387"/>
      <c r="I7" s="387"/>
      <c r="J7" s="387"/>
      <c r="K7" s="387"/>
      <c r="L7" s="329"/>
      <c r="M7" s="329"/>
      <c r="N7" s="329"/>
      <c r="O7" s="329"/>
      <c r="P7" s="329"/>
    </row>
    <row r="8" spans="1:18" ht="12.75" x14ac:dyDescent="0.2">
      <c r="A8" s="329"/>
      <c r="B8" s="329"/>
      <c r="C8" s="389" t="s">
        <v>1125</v>
      </c>
      <c r="D8" s="392">
        <f>COVER!A13</f>
        <v>50082116002</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1979863</v>
      </c>
      <c r="I12" s="404"/>
      <c r="J12" s="404"/>
      <c r="K12" s="405">
        <f>TRUNC((H12/H13*100000),5)/100000</f>
        <v>0.43558074079999998</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4545341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4397481</v>
      </c>
      <c r="I17" s="404"/>
      <c r="J17" s="416"/>
      <c r="K17" s="405">
        <f>TRUNC((H17/H18*100000),5)/100000</f>
        <v>0.96746998740000001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4545341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1981461</v>
      </c>
      <c r="I24" s="422"/>
      <c r="J24" s="422"/>
      <c r="K24" s="423">
        <f>TRUNC(((H24/H25*100000)/100000),2)</f>
        <v>162.21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12215.225</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927012.56088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1097980</v>
      </c>
      <c r="I32" s="420"/>
      <c r="J32" s="420"/>
      <c r="K32" s="423">
        <f>TRUNC(100-((((H32/H33*100))*100)/100),2)</f>
        <v>65.27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3161832.2640000004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activeCell="A13" sqref="A13:H13"/>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1444650</v>
      </c>
      <c r="D4" s="466">
        <v>108086</v>
      </c>
      <c r="E4" s="466">
        <v>187200</v>
      </c>
      <c r="F4" s="466">
        <v>22058</v>
      </c>
      <c r="G4" s="466">
        <v>133773</v>
      </c>
      <c r="H4" s="466"/>
      <c r="I4" s="466">
        <v>406667</v>
      </c>
      <c r="J4" s="467">
        <v>142154</v>
      </c>
      <c r="K4" s="466">
        <v>153010</v>
      </c>
      <c r="L4" s="466">
        <v>7226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v>400</v>
      </c>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1444650</v>
      </c>
      <c r="D13" s="1737">
        <f t="shared" ref="D13:L13" si="0">SUM(D4:D12)</f>
        <v>108486</v>
      </c>
      <c r="E13" s="1737">
        <f t="shared" si="0"/>
        <v>187200</v>
      </c>
      <c r="F13" s="1737">
        <f t="shared" si="0"/>
        <v>22058</v>
      </c>
      <c r="G13" s="1737">
        <f t="shared" si="0"/>
        <v>133773</v>
      </c>
      <c r="H13" s="1737">
        <f t="shared" si="0"/>
        <v>0</v>
      </c>
      <c r="I13" s="1737">
        <f t="shared" si="0"/>
        <v>406667</v>
      </c>
      <c r="J13" s="1737">
        <f t="shared" si="0"/>
        <v>142154</v>
      </c>
      <c r="K13" s="1737">
        <f t="shared" si="0"/>
        <v>153010</v>
      </c>
      <c r="L13" s="1737">
        <f t="shared" si="0"/>
        <v>7226</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37000</v>
      </c>
      <c r="N16" s="484"/>
    </row>
    <row r="17" spans="1:14" s="485" customFormat="1" ht="12.75" customHeight="1" x14ac:dyDescent="0.2">
      <c r="A17" s="482" t="s">
        <v>1403</v>
      </c>
      <c r="B17" s="483">
        <v>230</v>
      </c>
      <c r="C17" s="477"/>
      <c r="D17" s="477"/>
      <c r="E17" s="477"/>
      <c r="F17" s="477"/>
      <c r="G17" s="477"/>
      <c r="H17" s="477"/>
      <c r="I17" s="477"/>
      <c r="J17" s="477"/>
      <c r="K17" s="477"/>
      <c r="L17" s="477"/>
      <c r="M17" s="467">
        <v>10193663</v>
      </c>
      <c r="N17" s="484"/>
    </row>
    <row r="18" spans="1:14" s="485" customFormat="1" ht="12.75" customHeight="1" x14ac:dyDescent="0.2">
      <c r="A18" s="482" t="s">
        <v>1404</v>
      </c>
      <c r="B18" s="483">
        <v>240</v>
      </c>
      <c r="C18" s="477"/>
      <c r="D18" s="477"/>
      <c r="E18" s="477"/>
      <c r="F18" s="477"/>
      <c r="G18" s="477"/>
      <c r="H18" s="477"/>
      <c r="I18" s="477"/>
      <c r="J18" s="477"/>
      <c r="K18" s="477"/>
      <c r="L18" s="477"/>
      <c r="M18" s="467">
        <v>88829</v>
      </c>
      <c r="N18" s="484"/>
    </row>
    <row r="19" spans="1:14" s="485" customFormat="1" ht="12.75" customHeight="1" x14ac:dyDescent="0.2">
      <c r="A19" s="482" t="s">
        <v>1405</v>
      </c>
      <c r="B19" s="483">
        <v>250</v>
      </c>
      <c r="C19" s="477"/>
      <c r="D19" s="477"/>
      <c r="E19" s="477"/>
      <c r="F19" s="477"/>
      <c r="G19" s="477"/>
      <c r="H19" s="477"/>
      <c r="I19" s="477"/>
      <c r="J19" s="477"/>
      <c r="K19" s="477"/>
      <c r="L19" s="477"/>
      <c r="M19" s="467">
        <v>426455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187200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910780</v>
      </c>
    </row>
    <row r="23" spans="1:14" ht="13.5" customHeight="1" thickBot="1" x14ac:dyDescent="0.25">
      <c r="A23" s="1736" t="s">
        <v>643</v>
      </c>
      <c r="B23" s="1741"/>
      <c r="C23" s="468"/>
      <c r="D23" s="468"/>
      <c r="E23" s="468"/>
      <c r="F23" s="468"/>
      <c r="G23" s="468"/>
      <c r="H23" s="468"/>
      <c r="I23" s="468"/>
      <c r="J23" s="468"/>
      <c r="K23" s="468"/>
      <c r="L23" s="468"/>
      <c r="M23" s="1688">
        <f>SUM(M15:M22)</f>
        <v>10745947</v>
      </c>
      <c r="N23" s="1688">
        <f>SUM(N21:N22)</f>
        <v>1097980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1998</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7226</v>
      </c>
      <c r="M33" s="468"/>
      <c r="N33" s="469"/>
    </row>
    <row r="34" spans="1:14" ht="13.5" customHeight="1" thickBot="1" x14ac:dyDescent="0.25">
      <c r="A34" s="1738" t="s">
        <v>654</v>
      </c>
      <c r="B34" s="1739"/>
      <c r="C34" s="1740">
        <f>SUM(C25:C33)</f>
        <v>1998</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7226</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1097980</v>
      </c>
    </row>
    <row r="37" spans="1:14" ht="13.5" thickBot="1" x14ac:dyDescent="0.25">
      <c r="A37" s="1736" t="s">
        <v>653</v>
      </c>
      <c r="B37" s="1741"/>
      <c r="C37" s="477"/>
      <c r="D37" s="477"/>
      <c r="E37" s="477"/>
      <c r="F37" s="477"/>
      <c r="G37" s="477"/>
      <c r="H37" s="477"/>
      <c r="I37" s="477"/>
      <c r="J37" s="477"/>
      <c r="K37" s="477"/>
      <c r="L37" s="480"/>
      <c r="M37" s="468"/>
      <c r="N37" s="1688">
        <f>SUM(N36:N36)</f>
        <v>1097980</v>
      </c>
    </row>
    <row r="38" spans="1:14" s="329" customFormat="1" ht="13.5" customHeight="1" thickTop="1" x14ac:dyDescent="0.2">
      <c r="A38" s="496" t="s">
        <v>420</v>
      </c>
      <c r="B38" s="483">
        <v>714</v>
      </c>
      <c r="C38" s="466"/>
      <c r="D38" s="466">
        <v>185809</v>
      </c>
      <c r="E38" s="466"/>
      <c r="F38" s="466"/>
      <c r="G38" s="466"/>
      <c r="H38" s="466"/>
      <c r="I38" s="466"/>
      <c r="J38" s="467"/>
      <c r="K38" s="466"/>
      <c r="L38" s="481"/>
      <c r="M38" s="497"/>
      <c r="N38" s="497"/>
    </row>
    <row r="39" spans="1:14" s="329" customFormat="1" ht="13.5" customHeight="1" x14ac:dyDescent="0.2">
      <c r="A39" s="496" t="s">
        <v>342</v>
      </c>
      <c r="B39" s="483">
        <v>730</v>
      </c>
      <c r="C39" s="466">
        <v>1442652</v>
      </c>
      <c r="D39" s="466">
        <v>-77323</v>
      </c>
      <c r="E39" s="466">
        <v>187200</v>
      </c>
      <c r="F39" s="466">
        <v>22058</v>
      </c>
      <c r="G39" s="466">
        <v>133773</v>
      </c>
      <c r="H39" s="466"/>
      <c r="I39" s="466">
        <v>406667</v>
      </c>
      <c r="J39" s="467">
        <v>142154</v>
      </c>
      <c r="K39" s="466">
        <v>153010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10745947</v>
      </c>
      <c r="N40" s="497"/>
    </row>
    <row r="41" spans="1:14" ht="13.5" customHeight="1" thickBot="1" x14ac:dyDescent="0.25">
      <c r="A41" s="1736" t="s">
        <v>655</v>
      </c>
      <c r="B41" s="1706"/>
      <c r="C41" s="1688">
        <f>(SUM(C34,C37,C38,C39))</f>
        <v>1444650</v>
      </c>
      <c r="D41" s="1688">
        <f t="shared" ref="D41:L41" si="2">SUM(D34,D37,D38:D39)</f>
        <v>108486</v>
      </c>
      <c r="E41" s="1688">
        <f t="shared" si="2"/>
        <v>187200</v>
      </c>
      <c r="F41" s="1688">
        <f t="shared" si="2"/>
        <v>22058</v>
      </c>
      <c r="G41" s="1688">
        <f t="shared" si="2"/>
        <v>133773</v>
      </c>
      <c r="H41" s="1688">
        <f t="shared" si="2"/>
        <v>0</v>
      </c>
      <c r="I41" s="1688">
        <f t="shared" si="2"/>
        <v>406667</v>
      </c>
      <c r="J41" s="1688">
        <f t="shared" si="2"/>
        <v>142154</v>
      </c>
      <c r="K41" s="1688">
        <f t="shared" si="2"/>
        <v>153010</v>
      </c>
      <c r="L41" s="1688">
        <f t="shared" si="2"/>
        <v>7226</v>
      </c>
      <c r="M41" s="1688">
        <f>SUM(M40)</f>
        <v>10745947</v>
      </c>
      <c r="N41" s="1688">
        <f>SUM(N37)</f>
        <v>1097980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A13" sqref="A13:H13"/>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1195916</v>
      </c>
      <c r="D4" s="1742">
        <f>'Revenues 9-14'!D109</f>
        <v>246849</v>
      </c>
      <c r="E4" s="1742">
        <f>'Revenues 9-14'!E109</f>
        <v>548024</v>
      </c>
      <c r="F4" s="1742">
        <f>'Revenues 9-14'!F109</f>
        <v>54272</v>
      </c>
      <c r="G4" s="1742">
        <f>'Revenues 9-14'!G109</f>
        <v>133227</v>
      </c>
      <c r="H4" s="1742">
        <f>'Revenues 9-14'!H109</f>
        <v>0</v>
      </c>
      <c r="I4" s="1742">
        <f>'Revenues 9-14'!I109</f>
        <v>22613</v>
      </c>
      <c r="J4" s="1742">
        <f>'Revenues 9-14'!J109</f>
        <v>234497</v>
      </c>
      <c r="K4" s="1742">
        <f>'Revenues 9-14'!K109</f>
        <v>22613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2154130</v>
      </c>
      <c r="D6" s="1743">
        <f>'Revenues 9-14'!D170</f>
        <v>190000</v>
      </c>
      <c r="E6" s="1743">
        <f>'Revenues 9-14'!E170</f>
        <v>0</v>
      </c>
      <c r="F6" s="1743">
        <f>'Revenues 9-14'!F170</f>
        <v>143887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537674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3887720</v>
      </c>
      <c r="D8" s="1688">
        <f t="shared" ref="D8:K8" si="0">SUM(D4:D7)</f>
        <v>436849</v>
      </c>
      <c r="E8" s="1688">
        <f t="shared" si="0"/>
        <v>548024</v>
      </c>
      <c r="F8" s="1688">
        <f t="shared" si="0"/>
        <v>198159</v>
      </c>
      <c r="G8" s="1688">
        <f t="shared" si="0"/>
        <v>133227</v>
      </c>
      <c r="H8" s="1688">
        <f t="shared" si="0"/>
        <v>0</v>
      </c>
      <c r="I8" s="1688">
        <f t="shared" si="0"/>
        <v>22613</v>
      </c>
      <c r="J8" s="1688">
        <f t="shared" si="0"/>
        <v>234497</v>
      </c>
      <c r="K8" s="1688">
        <f t="shared" si="0"/>
        <v>22613</v>
      </c>
      <c r="L8" s="347"/>
    </row>
    <row r="9" spans="1:13" ht="15.75" thickTop="1" x14ac:dyDescent="0.2">
      <c r="A9" s="514" t="s">
        <v>1653</v>
      </c>
      <c r="B9" s="515">
        <v>3998</v>
      </c>
      <c r="C9" s="481">
        <v>1340951</v>
      </c>
      <c r="D9" s="516"/>
      <c r="E9" s="481"/>
      <c r="F9" s="481"/>
      <c r="G9" s="517"/>
      <c r="H9" s="481"/>
      <c r="I9" s="509" t="s">
        <v>1169</v>
      </c>
      <c r="J9" s="478"/>
      <c r="K9" s="481"/>
      <c r="L9" s="347"/>
    </row>
    <row r="10" spans="1:13" s="519" customFormat="1" ht="13.5" thickBot="1" x14ac:dyDescent="0.25">
      <c r="A10" s="1736" t="s">
        <v>1173</v>
      </c>
      <c r="B10" s="1709"/>
      <c r="C10" s="1688">
        <f>SUM(C8:C9)</f>
        <v>5228671</v>
      </c>
      <c r="D10" s="1688">
        <f t="shared" ref="D10:K10" si="1">SUM(D8:D9)</f>
        <v>436849</v>
      </c>
      <c r="E10" s="1688">
        <f t="shared" si="1"/>
        <v>548024</v>
      </c>
      <c r="F10" s="1688">
        <f t="shared" si="1"/>
        <v>198159</v>
      </c>
      <c r="G10" s="1688">
        <f t="shared" si="1"/>
        <v>133227</v>
      </c>
      <c r="H10" s="1688">
        <f t="shared" si="1"/>
        <v>0</v>
      </c>
      <c r="I10" s="1688">
        <f t="shared" si="1"/>
        <v>22613</v>
      </c>
      <c r="J10" s="1688">
        <f t="shared" si="1"/>
        <v>234497</v>
      </c>
      <c r="K10" s="1688">
        <f t="shared" si="1"/>
        <v>22613</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2432655</v>
      </c>
      <c r="D12" s="520" t="s">
        <v>1169</v>
      </c>
      <c r="E12" s="468" t="s">
        <v>1169</v>
      </c>
      <c r="F12" s="468" t="s">
        <v>1169</v>
      </c>
      <c r="G12" s="1742">
        <f>'Expenditures 15-22'!K229</f>
        <v>60376</v>
      </c>
      <c r="H12" s="521"/>
      <c r="I12" s="468" t="s">
        <v>1169</v>
      </c>
      <c r="J12" s="468" t="s">
        <v>1169</v>
      </c>
      <c r="K12" s="521" t="s">
        <v>1169</v>
      </c>
      <c r="L12" s="347"/>
    </row>
    <row r="13" spans="1:13" ht="15.75" customHeight="1" x14ac:dyDescent="0.2">
      <c r="A13" s="1576" t="s">
        <v>457</v>
      </c>
      <c r="B13" s="1578">
        <v>2000</v>
      </c>
      <c r="C13" s="1743">
        <f>'Expenditures 15-22'!K74</f>
        <v>812600</v>
      </c>
      <c r="D13" s="1743">
        <f>'Expenditures 15-22'!K129</f>
        <v>589922</v>
      </c>
      <c r="E13" s="469" t="s">
        <v>1169</v>
      </c>
      <c r="F13" s="1743">
        <f>'Expenditures 15-22'!K184</f>
        <v>236137</v>
      </c>
      <c r="G13" s="1743">
        <f>'Expenditures 15-22'!K279</f>
        <v>73026</v>
      </c>
      <c r="H13" s="1743">
        <f>'Expenditures 15-22'!K303</f>
        <v>0</v>
      </c>
      <c r="I13" s="468" t="s">
        <v>1169</v>
      </c>
      <c r="J13" s="1743">
        <f>'Expenditures 15-22'!K330</f>
        <v>254972</v>
      </c>
      <c r="K13" s="1747">
        <f>'Expenditures 15-22'!K352</f>
        <v>186814</v>
      </c>
      <c r="L13" s="347"/>
    </row>
    <row r="14" spans="1:13" ht="15.75" customHeight="1" x14ac:dyDescent="0.2">
      <c r="A14" s="1576" t="s">
        <v>449</v>
      </c>
      <c r="B14" s="1578">
        <v>3000</v>
      </c>
      <c r="C14" s="1743">
        <f>'Expenditures 15-22'!K75</f>
        <v>95034</v>
      </c>
      <c r="D14" s="1743">
        <f>'Expenditures 15-22'!K130</f>
        <v>0</v>
      </c>
      <c r="E14" s="520" t="s">
        <v>1169</v>
      </c>
      <c r="F14" s="1743">
        <f>'Expenditures 15-22'!K185</f>
        <v>0</v>
      </c>
      <c r="G14" s="1743">
        <f>'Expenditures 15-22'!K280</f>
        <v>11469</v>
      </c>
      <c r="H14" s="512"/>
      <c r="I14" s="468" t="s">
        <v>1169</v>
      </c>
      <c r="J14" s="468" t="s">
        <v>1169</v>
      </c>
      <c r="K14" s="512" t="s">
        <v>1169</v>
      </c>
      <c r="L14" s="347"/>
    </row>
    <row r="15" spans="1:13" ht="15.75" customHeight="1" x14ac:dyDescent="0.2">
      <c r="A15" s="1576" t="s">
        <v>107</v>
      </c>
      <c r="B15" s="1578">
        <v>4000</v>
      </c>
      <c r="C15" s="1743">
        <f>'Expenditures 15-22'!K102</f>
        <v>226724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4409</v>
      </c>
      <c r="E16" s="1743">
        <f>'Expenditures 15-22'!K172</f>
        <v>555016</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3567013</v>
      </c>
      <c r="D17" s="1688">
        <f t="shared" si="2"/>
        <v>594331</v>
      </c>
      <c r="E17" s="1688">
        <f t="shared" si="2"/>
        <v>555016</v>
      </c>
      <c r="F17" s="1688">
        <f t="shared" si="2"/>
        <v>236137</v>
      </c>
      <c r="G17" s="1688">
        <f t="shared" si="2"/>
        <v>144871</v>
      </c>
      <c r="H17" s="1688">
        <f t="shared" si="2"/>
        <v>0</v>
      </c>
      <c r="I17" s="468"/>
      <c r="J17" s="1688">
        <f>SUM(J12:J16)</f>
        <v>254972</v>
      </c>
      <c r="K17" s="1688">
        <f>SUM(K12:K16)</f>
        <v>186814</v>
      </c>
      <c r="L17" s="347"/>
    </row>
    <row r="18" spans="1:12" ht="15" customHeight="1" thickTop="1" x14ac:dyDescent="0.2">
      <c r="A18" s="1744" t="s">
        <v>1654</v>
      </c>
      <c r="B18" s="1745">
        <v>4180</v>
      </c>
      <c r="C18" s="1742">
        <f t="shared" ref="C18:H18" si="3">C9</f>
        <v>1340951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4907964</v>
      </c>
      <c r="D19" s="1688">
        <f t="shared" si="4"/>
        <v>594331</v>
      </c>
      <c r="E19" s="1688">
        <f t="shared" si="4"/>
        <v>555016</v>
      </c>
      <c r="F19" s="1688">
        <f t="shared" si="4"/>
        <v>236137</v>
      </c>
      <c r="G19" s="1688">
        <f t="shared" si="4"/>
        <v>144871</v>
      </c>
      <c r="H19" s="1688">
        <f t="shared" si="4"/>
        <v>0</v>
      </c>
      <c r="I19" s="468"/>
      <c r="J19" s="1688">
        <f>SUM(J17:J18)</f>
        <v>254972</v>
      </c>
      <c r="K19" s="1688">
        <f>SUM(K17:K18)</f>
        <v>186814</v>
      </c>
      <c r="L19" s="347"/>
    </row>
    <row r="20" spans="1:12" ht="16.5" thickTop="1" thickBot="1" x14ac:dyDescent="0.25">
      <c r="A20" s="2124" t="s">
        <v>1655</v>
      </c>
      <c r="B20" s="2125"/>
      <c r="C20" s="1746">
        <f>C8-C17</f>
        <v>320707</v>
      </c>
      <c r="D20" s="1746">
        <f t="shared" ref="D20:K20" si="5">D8-D17</f>
        <v>-157482</v>
      </c>
      <c r="E20" s="1746">
        <f t="shared" si="5"/>
        <v>-6992</v>
      </c>
      <c r="F20" s="1746">
        <f t="shared" si="5"/>
        <v>-37978</v>
      </c>
      <c r="G20" s="1746">
        <f t="shared" si="5"/>
        <v>-11644</v>
      </c>
      <c r="H20" s="1746">
        <f t="shared" si="5"/>
        <v>0</v>
      </c>
      <c r="I20" s="1746">
        <f t="shared" si="5"/>
        <v>22613</v>
      </c>
      <c r="J20" s="1746">
        <f t="shared" si="5"/>
        <v>-20475</v>
      </c>
      <c r="K20" s="1746">
        <f t="shared" si="5"/>
        <v>-164201</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v>250000</v>
      </c>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250000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250000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320707</v>
      </c>
      <c r="D78" s="1702">
        <f t="shared" si="9"/>
        <v>92518</v>
      </c>
      <c r="E78" s="1702">
        <f t="shared" si="9"/>
        <v>-6992</v>
      </c>
      <c r="F78" s="1702">
        <f t="shared" si="9"/>
        <v>-37978</v>
      </c>
      <c r="G78" s="1702">
        <f t="shared" si="9"/>
        <v>-11644</v>
      </c>
      <c r="H78" s="1702">
        <f t="shared" si="9"/>
        <v>0</v>
      </c>
      <c r="I78" s="1702">
        <f t="shared" si="9"/>
        <v>22613</v>
      </c>
      <c r="J78" s="1702">
        <f t="shared" si="9"/>
        <v>-20475</v>
      </c>
      <c r="K78" s="1702">
        <f t="shared" si="9"/>
        <v>-164201</v>
      </c>
      <c r="L78" s="533"/>
    </row>
    <row r="79" spans="1:12" ht="13.5" thickTop="1" x14ac:dyDescent="0.2">
      <c r="A79" s="1494" t="s">
        <v>1949</v>
      </c>
      <c r="B79" s="534"/>
      <c r="C79" s="478">
        <v>1121945</v>
      </c>
      <c r="D79" s="535">
        <v>15968</v>
      </c>
      <c r="E79" s="535">
        <v>194192</v>
      </c>
      <c r="F79" s="535">
        <v>60036</v>
      </c>
      <c r="G79" s="535">
        <v>145417</v>
      </c>
      <c r="H79" s="535"/>
      <c r="I79" s="535">
        <v>384054</v>
      </c>
      <c r="J79" s="535">
        <v>162629</v>
      </c>
      <c r="K79" s="535">
        <v>317211</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1442652</v>
      </c>
      <c r="D81" s="1688">
        <f>SUM(D78:D80)</f>
        <v>108486</v>
      </c>
      <c r="E81" s="1688">
        <f t="shared" ref="E81:K81" si="10">SUM(E78:E80)</f>
        <v>187200</v>
      </c>
      <c r="F81" s="1688">
        <f t="shared" si="10"/>
        <v>22058</v>
      </c>
      <c r="G81" s="1688">
        <f t="shared" si="10"/>
        <v>133773</v>
      </c>
      <c r="H81" s="1688">
        <f t="shared" si="10"/>
        <v>0</v>
      </c>
      <c r="I81" s="1688">
        <f t="shared" si="10"/>
        <v>406667</v>
      </c>
      <c r="J81" s="1688">
        <f t="shared" si="10"/>
        <v>142154</v>
      </c>
      <c r="K81" s="1688">
        <f t="shared" si="10"/>
        <v>153010</v>
      </c>
      <c r="L81" s="347"/>
    </row>
    <row r="82" spans="1:12" ht="0.75" customHeight="1" thickTop="1" thickBot="1" x14ac:dyDescent="0.25">
      <c r="A82" s="536" t="s">
        <v>343</v>
      </c>
      <c r="B82" s="537"/>
      <c r="C82" s="538">
        <f>(C81-C79)</f>
        <v>320707</v>
      </c>
      <c r="D82" s="538">
        <f t="shared" ref="D82:K82" si="11">(D81-D79)</f>
        <v>92518</v>
      </c>
      <c r="E82" s="538">
        <f t="shared" si="11"/>
        <v>-6992</v>
      </c>
      <c r="F82" s="538">
        <f t="shared" si="11"/>
        <v>-37978</v>
      </c>
      <c r="G82" s="538">
        <f t="shared" si="11"/>
        <v>-11644</v>
      </c>
      <c r="H82" s="538">
        <f t="shared" si="11"/>
        <v>0</v>
      </c>
      <c r="I82" s="538">
        <f t="shared" si="11"/>
        <v>22613</v>
      </c>
      <c r="J82" s="538">
        <f t="shared" si="11"/>
        <v>-20475</v>
      </c>
      <c r="K82" s="538">
        <f t="shared" si="11"/>
        <v>-164201</v>
      </c>
    </row>
    <row r="83" spans="1:12" ht="14.25" hidden="1" thickTop="1" thickBot="1" x14ac:dyDescent="0.25">
      <c r="A83" s="539" t="s">
        <v>344</v>
      </c>
      <c r="B83" s="464"/>
      <c r="C83" s="540">
        <f>C82/C81</f>
        <v>0.22230378497378439</v>
      </c>
      <c r="D83" s="540">
        <f t="shared" ref="D83:K83" si="12">D82/D81</f>
        <v>0.85281050089412458</v>
      </c>
      <c r="E83" s="540">
        <f t="shared" si="12"/>
        <v>-3.7350427350427352E-2</v>
      </c>
      <c r="F83" s="540">
        <f t="shared" si="12"/>
        <v>-1.7217336113881585</v>
      </c>
      <c r="G83" s="540">
        <f t="shared" si="12"/>
        <v>-8.7042975787341242E-2</v>
      </c>
      <c r="H83" s="540" t="e">
        <f t="shared" si="12"/>
        <v>#DIV/0!</v>
      </c>
      <c r="I83" s="540">
        <f t="shared" si="12"/>
        <v>5.5605692126481865E-2</v>
      </c>
      <c r="J83" s="540">
        <f t="shared" si="12"/>
        <v>-0.14403393502820885</v>
      </c>
      <c r="K83" s="540">
        <f t="shared" si="12"/>
        <v>-1.0731390105221881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0" activePane="bottomLeft" state="frozen"/>
      <selection activeCell="A13" sqref="A13:H13"/>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834377</v>
      </c>
      <c r="D5" s="481">
        <v>179452</v>
      </c>
      <c r="E5" s="466">
        <v>540240</v>
      </c>
      <c r="F5" s="548">
        <v>53836</v>
      </c>
      <c r="G5" s="466">
        <v>65140</v>
      </c>
      <c r="H5" s="466"/>
      <c r="I5" s="466">
        <v>22431</v>
      </c>
      <c r="J5" s="467">
        <v>232613</v>
      </c>
      <c r="K5" s="466">
        <v>22431</v>
      </c>
    </row>
    <row r="6" spans="1:12" ht="15" x14ac:dyDescent="0.2">
      <c r="A6" s="463" t="s">
        <v>1662</v>
      </c>
      <c r="B6" s="470">
        <v>1130</v>
      </c>
      <c r="C6" s="466"/>
      <c r="D6" s="466">
        <v>22431</v>
      </c>
      <c r="E6" s="475"/>
      <c r="F6" s="475"/>
      <c r="G6" s="468"/>
      <c r="H6" s="468"/>
      <c r="I6" s="468"/>
      <c r="J6" s="468"/>
      <c r="K6" s="468"/>
    </row>
    <row r="7" spans="1:12" x14ac:dyDescent="0.2">
      <c r="A7" s="463" t="s">
        <v>110</v>
      </c>
      <c r="B7" s="549">
        <v>1140</v>
      </c>
      <c r="C7" s="466">
        <v>9046</v>
      </c>
      <c r="D7" s="466"/>
      <c r="E7" s="468"/>
      <c r="F7" s="467"/>
      <c r="G7" s="467"/>
      <c r="H7" s="467"/>
      <c r="I7" s="468"/>
      <c r="J7" s="468"/>
      <c r="K7" s="468"/>
    </row>
    <row r="8" spans="1:12" x14ac:dyDescent="0.2">
      <c r="A8" s="463" t="s">
        <v>413</v>
      </c>
      <c r="B8" s="470">
        <v>1150</v>
      </c>
      <c r="C8" s="475"/>
      <c r="D8" s="475"/>
      <c r="E8" s="477"/>
      <c r="F8" s="477"/>
      <c r="G8" s="481">
        <v>50022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843423</v>
      </c>
      <c r="D12" s="1707">
        <f t="shared" si="0"/>
        <v>201883</v>
      </c>
      <c r="E12" s="1707">
        <f t="shared" si="0"/>
        <v>540240</v>
      </c>
      <c r="F12" s="1707">
        <f t="shared" si="0"/>
        <v>53836</v>
      </c>
      <c r="G12" s="1707">
        <f t="shared" si="0"/>
        <v>115162</v>
      </c>
      <c r="H12" s="1707">
        <f t="shared" si="0"/>
        <v>0</v>
      </c>
      <c r="I12" s="1707">
        <f t="shared" si="0"/>
        <v>22431</v>
      </c>
      <c r="J12" s="1707">
        <f t="shared" si="0"/>
        <v>232613</v>
      </c>
      <c r="K12" s="1688">
        <f t="shared" si="0"/>
        <v>22431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6830</v>
      </c>
      <c r="D14" s="466">
        <v>1635</v>
      </c>
      <c r="E14" s="466">
        <v>4375</v>
      </c>
      <c r="F14" s="466">
        <v>436</v>
      </c>
      <c r="G14" s="466">
        <v>933</v>
      </c>
      <c r="H14" s="466"/>
      <c r="I14" s="466">
        <v>182</v>
      </c>
      <c r="J14" s="467">
        <v>1884</v>
      </c>
      <c r="K14" s="466">
        <v>182</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40891</v>
      </c>
      <c r="D16" s="466"/>
      <c r="E16" s="466"/>
      <c r="F16" s="466"/>
      <c r="G16" s="466">
        <v>5662</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47721</v>
      </c>
      <c r="D18" s="1710">
        <f t="shared" ref="D18:K18" si="1">SUM(D14:D17)</f>
        <v>1635</v>
      </c>
      <c r="E18" s="1710">
        <f t="shared" si="1"/>
        <v>4375</v>
      </c>
      <c r="F18" s="1710">
        <f t="shared" si="1"/>
        <v>436</v>
      </c>
      <c r="G18" s="1710">
        <f t="shared" si="1"/>
        <v>6595</v>
      </c>
      <c r="H18" s="1710">
        <f t="shared" si="1"/>
        <v>0</v>
      </c>
      <c r="I18" s="1710">
        <f t="shared" si="1"/>
        <v>182</v>
      </c>
      <c r="J18" s="1710">
        <f t="shared" si="1"/>
        <v>1884</v>
      </c>
      <c r="K18" s="1711">
        <f t="shared" si="1"/>
        <v>182</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24630</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24630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15410</v>
      </c>
      <c r="D65" s="466"/>
      <c r="E65" s="466">
        <v>3409</v>
      </c>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15410</v>
      </c>
      <c r="D67" s="1688">
        <f t="shared" ref="D67:K67" si="2">SUM(D65:D66)</f>
        <v>0</v>
      </c>
      <c r="E67" s="1688">
        <f t="shared" si="2"/>
        <v>3409</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28119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287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406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28812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1242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1242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7248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7248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137452</v>
      </c>
      <c r="D95" s="551">
        <v>500</v>
      </c>
      <c r="E95" s="521"/>
      <c r="F95" s="521"/>
      <c r="G95" s="521"/>
      <c r="H95" s="521"/>
      <c r="I95" s="521"/>
      <c r="J95" s="521"/>
      <c r="K95" s="521"/>
    </row>
    <row r="96" spans="1:11" ht="12.75" customHeight="1" x14ac:dyDescent="0.2">
      <c r="A96" s="463" t="s">
        <v>391</v>
      </c>
      <c r="B96" s="470">
        <v>1920</v>
      </c>
      <c r="C96" s="551"/>
      <c r="D96" s="551">
        <v>1412</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v>41419</v>
      </c>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88281</v>
      </c>
      <c r="D106" s="489"/>
      <c r="E106" s="467"/>
      <c r="F106" s="467"/>
      <c r="G106" s="467">
        <v>11470</v>
      </c>
      <c r="H106" s="467"/>
      <c r="I106" s="521"/>
      <c r="J106" s="467"/>
      <c r="K106" s="467"/>
    </row>
    <row r="107" spans="1:12" ht="12.75" customHeight="1" x14ac:dyDescent="0.2">
      <c r="A107" s="463" t="s">
        <v>78</v>
      </c>
      <c r="B107" s="470">
        <v>1999</v>
      </c>
      <c r="C107" s="551">
        <v>1697</v>
      </c>
      <c r="D107" s="466"/>
      <c r="E107" s="466"/>
      <c r="F107" s="466"/>
      <c r="G107" s="466"/>
      <c r="H107" s="466"/>
      <c r="I107" s="466"/>
      <c r="J107" s="467"/>
      <c r="K107" s="466"/>
    </row>
    <row r="108" spans="1:12" ht="12.75" customHeight="1" thickBot="1" x14ac:dyDescent="0.25">
      <c r="A108" s="1708" t="s">
        <v>487</v>
      </c>
      <c r="B108" s="1712"/>
      <c r="C108" s="1707">
        <f>SUM(C95:C107)</f>
        <v>227430</v>
      </c>
      <c r="D108" s="1707">
        <f t="shared" ref="D108:K108" si="3">SUM(D95:D107)</f>
        <v>43331</v>
      </c>
      <c r="E108" s="1707">
        <f t="shared" si="3"/>
        <v>0</v>
      </c>
      <c r="F108" s="1707">
        <f t="shared" si="3"/>
        <v>0</v>
      </c>
      <c r="G108" s="1707">
        <f t="shared" si="3"/>
        <v>11470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1195916</v>
      </c>
      <c r="D109" s="1715">
        <f t="shared" si="4"/>
        <v>246849</v>
      </c>
      <c r="E109" s="1715">
        <f t="shared" si="4"/>
        <v>548024</v>
      </c>
      <c r="F109" s="1715">
        <f t="shared" si="4"/>
        <v>54272</v>
      </c>
      <c r="G109" s="1715">
        <f t="shared" si="4"/>
        <v>133227</v>
      </c>
      <c r="H109" s="1715">
        <f t="shared" si="4"/>
        <v>0</v>
      </c>
      <c r="I109" s="1715">
        <f t="shared" si="4"/>
        <v>22613</v>
      </c>
      <c r="J109" s="1715">
        <f t="shared" si="4"/>
        <v>234497</v>
      </c>
      <c r="K109" s="1702">
        <f t="shared" si="4"/>
        <v>22613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1979000</v>
      </c>
      <c r="D117" s="481">
        <v>190000</v>
      </c>
      <c r="E117" s="466"/>
      <c r="F117" s="481">
        <v>31732</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1979000</v>
      </c>
      <c r="D122" s="1707">
        <f t="shared" si="5"/>
        <v>190000</v>
      </c>
      <c r="E122" s="1707">
        <f t="shared" si="5"/>
        <v>0</v>
      </c>
      <c r="F122" s="1707">
        <f t="shared" si="5"/>
        <v>31732</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47554</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47554</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3488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35779</v>
      </c>
      <c r="G152" s="467"/>
      <c r="H152" s="468"/>
      <c r="I152" s="468"/>
      <c r="J152" s="468"/>
      <c r="K152" s="468"/>
    </row>
    <row r="153" spans="1:11" ht="12.75" customHeight="1" x14ac:dyDescent="0.2">
      <c r="A153" s="463" t="s">
        <v>1057</v>
      </c>
      <c r="B153" s="562">
        <v>3510</v>
      </c>
      <c r="C153" s="551"/>
      <c r="D153" s="466"/>
      <c r="E153" s="561"/>
      <c r="F153" s="466">
        <v>76376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112155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116088</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8000</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175130</v>
      </c>
      <c r="D169" s="1722">
        <f t="shared" si="6"/>
        <v>0</v>
      </c>
      <c r="E169" s="1722">
        <f t="shared" si="6"/>
        <v>0</v>
      </c>
      <c r="F169" s="1722">
        <f t="shared" si="6"/>
        <v>112155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2154130</v>
      </c>
      <c r="D170" s="1715">
        <f t="shared" si="7"/>
        <v>190000</v>
      </c>
      <c r="E170" s="1715">
        <f t="shared" si="7"/>
        <v>0</v>
      </c>
      <c r="F170" s="1715">
        <f t="shared" si="7"/>
        <v>143887</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119452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46283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12215</v>
      </c>
      <c r="D197" s="468"/>
      <c r="E197" s="561"/>
      <c r="F197" s="468"/>
      <c r="G197" s="585"/>
      <c r="H197" s="468"/>
      <c r="I197" s="468"/>
      <c r="J197" s="468"/>
      <c r="K197" s="468"/>
    </row>
    <row r="198" spans="1:11" ht="12.75" customHeight="1" thickBot="1" x14ac:dyDescent="0.25">
      <c r="A198" s="1708" t="s">
        <v>548</v>
      </c>
      <c r="B198" s="1709"/>
      <c r="C198" s="1688">
        <f>SUM(C190:C197)</f>
        <v>177950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182139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30228</v>
      </c>
      <c r="D203" s="466"/>
      <c r="E203" s="468"/>
      <c r="F203" s="466"/>
      <c r="G203" s="466"/>
      <c r="H203" s="468"/>
      <c r="I203" s="468"/>
      <c r="J203" s="468"/>
      <c r="K203" s="468"/>
    </row>
    <row r="204" spans="1:11" ht="12.75" customHeight="1" thickBot="1" x14ac:dyDescent="0.25">
      <c r="A204" s="1708" t="s">
        <v>400</v>
      </c>
      <c r="B204" s="1709"/>
      <c r="C204" s="1707">
        <f>SUM(C200:C203)</f>
        <v>212367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16225</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16225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82615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82615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21076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8624</v>
      </c>
      <c r="D263" s="576"/>
      <c r="E263" s="468"/>
      <c r="F263" s="576"/>
      <c r="G263" s="576"/>
      <c r="H263" s="468"/>
      <c r="I263" s="468"/>
      <c r="J263" s="468"/>
      <c r="K263" s="468"/>
    </row>
    <row r="264" spans="1:11" ht="12.75" customHeight="1" thickTop="1" thickBot="1" x14ac:dyDescent="0.25">
      <c r="A264" s="463" t="s">
        <v>377</v>
      </c>
      <c r="B264" s="470">
        <v>4992</v>
      </c>
      <c r="C264" s="575">
        <v>18817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537674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537674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3887720</v>
      </c>
      <c r="D268" s="1715">
        <f t="shared" si="12"/>
        <v>436849</v>
      </c>
      <c r="E268" s="1715">
        <f t="shared" si="12"/>
        <v>548024</v>
      </c>
      <c r="F268" s="1715">
        <f t="shared" si="12"/>
        <v>198159</v>
      </c>
      <c r="G268" s="1715">
        <f t="shared" si="12"/>
        <v>133227</v>
      </c>
      <c r="H268" s="1715">
        <f t="shared" si="12"/>
        <v>0</v>
      </c>
      <c r="I268" s="1715">
        <f t="shared" si="12"/>
        <v>22613</v>
      </c>
      <c r="J268" s="1715">
        <f t="shared" si="12"/>
        <v>234497</v>
      </c>
      <c r="K268" s="1702">
        <f t="shared" si="12"/>
        <v>22613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&amp;L&amp;8See notes.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activeCell="A13" sqref="A13:H13"/>
      <selection pane="bottomLeft" activeCell="C5" sqref="C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1245653</v>
      </c>
      <c r="D5" s="466">
        <v>152208</v>
      </c>
      <c r="E5" s="466">
        <v>34476</v>
      </c>
      <c r="F5" s="466">
        <v>157594</v>
      </c>
      <c r="G5" s="466">
        <v>45230</v>
      </c>
      <c r="H5" s="466"/>
      <c r="I5" s="467"/>
      <c r="J5" s="467"/>
      <c r="K5" s="1671">
        <f>SUM(C5:J5)</f>
        <v>1635161</v>
      </c>
      <c r="L5" s="466">
        <v>1497607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407521</v>
      </c>
      <c r="D8" s="466">
        <v>24629</v>
      </c>
      <c r="E8" s="466">
        <v>23592</v>
      </c>
      <c r="F8" s="466">
        <v>592</v>
      </c>
      <c r="G8" s="466"/>
      <c r="H8" s="466"/>
      <c r="I8" s="467"/>
      <c r="J8" s="467"/>
      <c r="K8" s="1671">
        <f t="shared" si="0"/>
        <v>456334</v>
      </c>
      <c r="L8" s="466">
        <v>400251</v>
      </c>
    </row>
    <row r="9" spans="1:14" x14ac:dyDescent="0.2">
      <c r="A9" s="1504" t="s">
        <v>721</v>
      </c>
      <c r="B9" s="614" t="s">
        <v>968</v>
      </c>
      <c r="C9" s="467">
        <v>91735</v>
      </c>
      <c r="D9" s="467">
        <v>7427</v>
      </c>
      <c r="E9" s="467"/>
      <c r="F9" s="467">
        <v>9838</v>
      </c>
      <c r="G9" s="467"/>
      <c r="H9" s="467"/>
      <c r="I9" s="467"/>
      <c r="J9" s="467"/>
      <c r="K9" s="1671">
        <f t="shared" si="0"/>
        <v>109000</v>
      </c>
      <c r="L9" s="466">
        <v>107930</v>
      </c>
    </row>
    <row r="10" spans="1:14" x14ac:dyDescent="0.2">
      <c r="A10" s="1504" t="s">
        <v>722</v>
      </c>
      <c r="B10" s="614">
        <v>1250</v>
      </c>
      <c r="C10" s="466">
        <v>125789</v>
      </c>
      <c r="D10" s="466">
        <v>17406</v>
      </c>
      <c r="E10" s="466"/>
      <c r="F10" s="466">
        <v>78697</v>
      </c>
      <c r="G10" s="466"/>
      <c r="H10" s="466"/>
      <c r="I10" s="467">
        <v>5988</v>
      </c>
      <c r="J10" s="467"/>
      <c r="K10" s="1671">
        <f t="shared" si="0"/>
        <v>227880</v>
      </c>
      <c r="L10" s="466">
        <v>246700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v>3230</v>
      </c>
      <c r="F14" s="466"/>
      <c r="G14" s="466"/>
      <c r="H14" s="466">
        <v>1050</v>
      </c>
      <c r="I14" s="467"/>
      <c r="J14" s="467"/>
      <c r="K14" s="1671">
        <f t="shared" si="0"/>
        <v>4280</v>
      </c>
      <c r="L14" s="466">
        <v>4800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1870698</v>
      </c>
      <c r="D33" s="1670">
        <f t="shared" ref="D33:L33" si="1">SUM(D5:D32)</f>
        <v>201670</v>
      </c>
      <c r="E33" s="1670">
        <f t="shared" si="1"/>
        <v>61298</v>
      </c>
      <c r="F33" s="1670">
        <f t="shared" si="1"/>
        <v>246721</v>
      </c>
      <c r="G33" s="1670">
        <f t="shared" si="1"/>
        <v>45230</v>
      </c>
      <c r="H33" s="1670">
        <f t="shared" si="1"/>
        <v>1050</v>
      </c>
      <c r="I33" s="1670">
        <f t="shared" si="1"/>
        <v>5988</v>
      </c>
      <c r="J33" s="1670">
        <f t="shared" si="1"/>
        <v>0</v>
      </c>
      <c r="K33" s="1670">
        <f t="shared" si="1"/>
        <v>2432655</v>
      </c>
      <c r="L33" s="1670">
        <f t="shared" si="1"/>
        <v>2257288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39842</v>
      </c>
      <c r="D36" s="481">
        <v>6273</v>
      </c>
      <c r="E36" s="481"/>
      <c r="F36" s="481"/>
      <c r="G36" s="481"/>
      <c r="H36" s="481"/>
      <c r="I36" s="467"/>
      <c r="J36" s="467"/>
      <c r="K36" s="1671">
        <f t="shared" ref="K36:K41" si="2">SUM(C36:J36)</f>
        <v>46115</v>
      </c>
      <c r="L36" s="466">
        <v>42521</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34843</v>
      </c>
      <c r="D38" s="466">
        <v>6340</v>
      </c>
      <c r="E38" s="466">
        <v>61</v>
      </c>
      <c r="F38" s="466">
        <v>764</v>
      </c>
      <c r="G38" s="466"/>
      <c r="H38" s="466"/>
      <c r="I38" s="467"/>
      <c r="J38" s="467"/>
      <c r="K38" s="1671">
        <f t="shared" si="2"/>
        <v>42008</v>
      </c>
      <c r="L38" s="466">
        <v>38711</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57345</v>
      </c>
      <c r="D40" s="466">
        <v>7204</v>
      </c>
      <c r="E40" s="466"/>
      <c r="F40" s="466"/>
      <c r="G40" s="466"/>
      <c r="H40" s="466"/>
      <c r="I40" s="467"/>
      <c r="J40" s="467"/>
      <c r="K40" s="1671">
        <f t="shared" si="2"/>
        <v>64549</v>
      </c>
      <c r="L40" s="466">
        <v>64731</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132030</v>
      </c>
      <c r="D42" s="1670">
        <f t="shared" ref="D42:L42" si="3">SUM(D36:D41)</f>
        <v>19817</v>
      </c>
      <c r="E42" s="1670">
        <f t="shared" si="3"/>
        <v>61</v>
      </c>
      <c r="F42" s="1670">
        <f t="shared" si="3"/>
        <v>764</v>
      </c>
      <c r="G42" s="1670">
        <f t="shared" si="3"/>
        <v>0</v>
      </c>
      <c r="H42" s="1670">
        <f t="shared" si="3"/>
        <v>0</v>
      </c>
      <c r="I42" s="1670">
        <f t="shared" si="3"/>
        <v>0</v>
      </c>
      <c r="J42" s="1670">
        <f t="shared" si="3"/>
        <v>0</v>
      </c>
      <c r="K42" s="1670">
        <f t="shared" si="3"/>
        <v>152672</v>
      </c>
      <c r="L42" s="1670">
        <f t="shared" si="3"/>
        <v>145963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645</v>
      </c>
      <c r="D44" s="481">
        <v>3871</v>
      </c>
      <c r="E44" s="481">
        <v>13022</v>
      </c>
      <c r="F44" s="481"/>
      <c r="G44" s="481"/>
      <c r="H44" s="481"/>
      <c r="I44" s="467"/>
      <c r="J44" s="467"/>
      <c r="K44" s="1672">
        <f>SUM(C44:J44)</f>
        <v>17538</v>
      </c>
      <c r="L44" s="481">
        <v>24179</v>
      </c>
    </row>
    <row r="45" spans="1:14" x14ac:dyDescent="0.2">
      <c r="A45" s="1504" t="s">
        <v>815</v>
      </c>
      <c r="B45" s="614">
        <v>2220</v>
      </c>
      <c r="C45" s="466">
        <v>81873</v>
      </c>
      <c r="D45" s="466"/>
      <c r="E45" s="466">
        <v>22889</v>
      </c>
      <c r="F45" s="466">
        <v>659</v>
      </c>
      <c r="G45" s="466"/>
      <c r="H45" s="466"/>
      <c r="I45" s="467"/>
      <c r="J45" s="467"/>
      <c r="K45" s="1672">
        <f>SUM(C45:J45)</f>
        <v>105421</v>
      </c>
      <c r="L45" s="466">
        <v>126100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82518</v>
      </c>
      <c r="D47" s="1670">
        <f t="shared" ref="D47:K47" si="4">SUM(D44:D46)</f>
        <v>3871</v>
      </c>
      <c r="E47" s="1670">
        <f t="shared" si="4"/>
        <v>35911</v>
      </c>
      <c r="F47" s="1670">
        <f t="shared" si="4"/>
        <v>659</v>
      </c>
      <c r="G47" s="1670">
        <f t="shared" si="4"/>
        <v>0</v>
      </c>
      <c r="H47" s="1670">
        <f t="shared" si="4"/>
        <v>0</v>
      </c>
      <c r="I47" s="1670">
        <f t="shared" si="4"/>
        <v>0</v>
      </c>
      <c r="J47" s="1670">
        <f t="shared" si="4"/>
        <v>0</v>
      </c>
      <c r="K47" s="1670">
        <f t="shared" si="4"/>
        <v>122959</v>
      </c>
      <c r="L47" s="1670">
        <f>SUM(L44:L46)</f>
        <v>150279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31931</v>
      </c>
      <c r="D49" s="481">
        <v>9509</v>
      </c>
      <c r="E49" s="481">
        <v>8897</v>
      </c>
      <c r="F49" s="481">
        <v>40</v>
      </c>
      <c r="G49" s="481"/>
      <c r="H49" s="481">
        <v>3179</v>
      </c>
      <c r="I49" s="467"/>
      <c r="J49" s="467"/>
      <c r="K49" s="1672">
        <f>SUM(C49:J49)</f>
        <v>53556</v>
      </c>
      <c r="L49" s="481">
        <v>59378</v>
      </c>
    </row>
    <row r="50" spans="1:14" x14ac:dyDescent="0.2">
      <c r="A50" s="1504" t="s">
        <v>818</v>
      </c>
      <c r="B50" s="614">
        <v>2320</v>
      </c>
      <c r="C50" s="466">
        <v>98844</v>
      </c>
      <c r="D50" s="466">
        <v>22133</v>
      </c>
      <c r="E50" s="466">
        <v>153</v>
      </c>
      <c r="F50" s="466"/>
      <c r="G50" s="466"/>
      <c r="H50" s="466">
        <v>1470</v>
      </c>
      <c r="I50" s="467"/>
      <c r="J50" s="467"/>
      <c r="K50" s="1672">
        <f>SUM(C50:J50)</f>
        <v>122600</v>
      </c>
      <c r="L50" s="466">
        <v>122670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130775</v>
      </c>
      <c r="D53" s="1670">
        <f t="shared" ref="D53:L53" si="5">SUM(D49:D52)</f>
        <v>31642</v>
      </c>
      <c r="E53" s="1670">
        <f t="shared" si="5"/>
        <v>9050</v>
      </c>
      <c r="F53" s="1670">
        <f t="shared" si="5"/>
        <v>40</v>
      </c>
      <c r="G53" s="1670">
        <f t="shared" si="5"/>
        <v>0</v>
      </c>
      <c r="H53" s="1670">
        <f t="shared" si="5"/>
        <v>4649</v>
      </c>
      <c r="I53" s="1670">
        <f t="shared" si="5"/>
        <v>0</v>
      </c>
      <c r="J53" s="1670">
        <f t="shared" si="5"/>
        <v>0</v>
      </c>
      <c r="K53" s="1670">
        <f t="shared" si="5"/>
        <v>176156</v>
      </c>
      <c r="L53" s="1670">
        <f t="shared" si="5"/>
        <v>182048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95088</v>
      </c>
      <c r="D55" s="481">
        <v>26748</v>
      </c>
      <c r="E55" s="481">
        <v>1328</v>
      </c>
      <c r="F55" s="481">
        <v>184</v>
      </c>
      <c r="G55" s="481"/>
      <c r="H55" s="481">
        <v>518</v>
      </c>
      <c r="I55" s="467"/>
      <c r="J55" s="467"/>
      <c r="K55" s="1672">
        <f>SUM(C55:J55)</f>
        <v>123866</v>
      </c>
      <c r="L55" s="481">
        <v>125622</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95088</v>
      </c>
      <c r="D57" s="1674">
        <f t="shared" ref="D57:K57" si="6">SUM(D55:D56)</f>
        <v>26748</v>
      </c>
      <c r="E57" s="1674">
        <f t="shared" si="6"/>
        <v>1328</v>
      </c>
      <c r="F57" s="1674">
        <f t="shared" si="6"/>
        <v>184</v>
      </c>
      <c r="G57" s="1674">
        <f t="shared" si="6"/>
        <v>0</v>
      </c>
      <c r="H57" s="1674">
        <f t="shared" si="6"/>
        <v>518</v>
      </c>
      <c r="I57" s="1674">
        <f t="shared" si="6"/>
        <v>0</v>
      </c>
      <c r="J57" s="1674">
        <f t="shared" si="6"/>
        <v>0</v>
      </c>
      <c r="K57" s="1674">
        <f t="shared" si="6"/>
        <v>123866</v>
      </c>
      <c r="L57" s="1670">
        <f>SUM(L55:L56)</f>
        <v>125622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25722</v>
      </c>
      <c r="D60" s="466">
        <v>9510</v>
      </c>
      <c r="E60" s="466">
        <v>850</v>
      </c>
      <c r="F60" s="466">
        <v>9555</v>
      </c>
      <c r="G60" s="466"/>
      <c r="H60" s="466"/>
      <c r="I60" s="467"/>
      <c r="J60" s="467"/>
      <c r="K60" s="1672">
        <f t="shared" si="7"/>
        <v>45637</v>
      </c>
      <c r="L60" s="466">
        <v>48446</v>
      </c>
      <c r="M60" s="609"/>
      <c r="N60" s="609"/>
    </row>
    <row r="61" spans="1:14" s="343" customFormat="1" x14ac:dyDescent="0.2">
      <c r="A61" s="1504" t="s">
        <v>197</v>
      </c>
      <c r="B61" s="614">
        <v>2540</v>
      </c>
      <c r="C61" s="466"/>
      <c r="D61" s="466"/>
      <c r="E61" s="466">
        <v>32665</v>
      </c>
      <c r="F61" s="466"/>
      <c r="G61" s="466"/>
      <c r="H61" s="466"/>
      <c r="I61" s="467"/>
      <c r="J61" s="467"/>
      <c r="K61" s="1672">
        <f t="shared" si="7"/>
        <v>32665</v>
      </c>
      <c r="L61" s="466">
        <v>36000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50170</v>
      </c>
      <c r="D63" s="466"/>
      <c r="E63" s="466">
        <v>101598</v>
      </c>
      <c r="F63" s="466">
        <v>775</v>
      </c>
      <c r="G63" s="466"/>
      <c r="H63" s="466"/>
      <c r="I63" s="467"/>
      <c r="J63" s="467"/>
      <c r="K63" s="1672">
        <f t="shared" si="7"/>
        <v>152543</v>
      </c>
      <c r="L63" s="466">
        <v>188000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75892</v>
      </c>
      <c r="D65" s="1670">
        <f t="shared" ref="D65:L65" si="8">SUM(D59:D64)</f>
        <v>9510</v>
      </c>
      <c r="E65" s="1670">
        <f t="shared" si="8"/>
        <v>135113</v>
      </c>
      <c r="F65" s="1670">
        <f t="shared" si="8"/>
        <v>10330</v>
      </c>
      <c r="G65" s="1670">
        <f t="shared" si="8"/>
        <v>0</v>
      </c>
      <c r="H65" s="1670">
        <f t="shared" si="8"/>
        <v>0</v>
      </c>
      <c r="I65" s="1670">
        <f t="shared" si="8"/>
        <v>0</v>
      </c>
      <c r="J65" s="1670">
        <f t="shared" si="8"/>
        <v>0</v>
      </c>
      <c r="K65" s="1670">
        <f t="shared" si="8"/>
        <v>230845</v>
      </c>
      <c r="L65" s="1670">
        <f t="shared" si="8"/>
        <v>272446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v>1496</v>
      </c>
      <c r="F73" s="573">
        <v>4606</v>
      </c>
      <c r="G73" s="573"/>
      <c r="H73" s="573"/>
      <c r="I73" s="531"/>
      <c r="J73" s="531"/>
      <c r="K73" s="1670">
        <f>SUM(C73:J73)</f>
        <v>6102</v>
      </c>
      <c r="L73" s="576"/>
      <c r="M73" s="609"/>
      <c r="N73" s="609"/>
    </row>
    <row r="74" spans="1:14" ht="12.75" customHeight="1" thickTop="1" thickBot="1" x14ac:dyDescent="0.25">
      <c r="A74" s="1668" t="s">
        <v>811</v>
      </c>
      <c r="B74" s="1676">
        <v>2000</v>
      </c>
      <c r="C74" s="1677">
        <f>SUM(C42,C47,C53,C57,C65,C72,C73)</f>
        <v>516303</v>
      </c>
      <c r="D74" s="1677">
        <f t="shared" ref="D74:K74" si="10">SUM(D42,D47,D53,D57,D65,D72,D73)</f>
        <v>91588</v>
      </c>
      <c r="E74" s="1677">
        <f t="shared" si="10"/>
        <v>182959</v>
      </c>
      <c r="F74" s="1677">
        <f t="shared" si="10"/>
        <v>16583</v>
      </c>
      <c r="G74" s="1677">
        <f t="shared" si="10"/>
        <v>0</v>
      </c>
      <c r="H74" s="1677">
        <f t="shared" si="10"/>
        <v>5167</v>
      </c>
      <c r="I74" s="1677">
        <f t="shared" si="10"/>
        <v>0</v>
      </c>
      <c r="J74" s="1677">
        <f t="shared" si="10"/>
        <v>0</v>
      </c>
      <c r="K74" s="1677">
        <f t="shared" si="10"/>
        <v>812600</v>
      </c>
      <c r="L74" s="1677">
        <f>SUM(L42,L47,L53,L57,L65,L72,L73)</f>
        <v>876358</v>
      </c>
    </row>
    <row r="75" spans="1:14" s="259" customFormat="1" ht="15.75" customHeight="1" thickTop="1" thickBot="1" x14ac:dyDescent="0.25">
      <c r="A75" s="1610" t="s">
        <v>47</v>
      </c>
      <c r="B75" s="1611" t="s">
        <v>575</v>
      </c>
      <c r="C75" s="573">
        <v>76179</v>
      </c>
      <c r="D75" s="573">
        <v>6340</v>
      </c>
      <c r="E75" s="573">
        <v>5082</v>
      </c>
      <c r="F75" s="573">
        <v>7433</v>
      </c>
      <c r="G75" s="573"/>
      <c r="H75" s="573"/>
      <c r="I75" s="531"/>
      <c r="J75" s="531"/>
      <c r="K75" s="1670">
        <f>SUM(C75:J75)</f>
        <v>95034</v>
      </c>
      <c r="L75" s="576">
        <v>86773</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3390</v>
      </c>
      <c r="F78" s="616"/>
      <c r="G78" s="616"/>
      <c r="H78" s="634"/>
      <c r="I78" s="477"/>
      <c r="J78" s="477"/>
      <c r="K78" s="1671">
        <f t="shared" ref="K78:K83" si="11">SUM(C78:J78)</f>
        <v>3390</v>
      </c>
      <c r="L78" s="481">
        <v>8000</v>
      </c>
    </row>
    <row r="79" spans="1:14" x14ac:dyDescent="0.2">
      <c r="A79" s="1504" t="s">
        <v>304</v>
      </c>
      <c r="B79" s="614">
        <v>4120</v>
      </c>
      <c r="C79" s="616"/>
      <c r="D79" s="616"/>
      <c r="E79" s="466">
        <v>223334</v>
      </c>
      <c r="F79" s="616"/>
      <c r="G79" s="616"/>
      <c r="H79" s="466"/>
      <c r="I79" s="477"/>
      <c r="J79" s="477"/>
      <c r="K79" s="1671">
        <f t="shared" si="11"/>
        <v>223334</v>
      </c>
      <c r="L79" s="466">
        <v>200000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226724</v>
      </c>
      <c r="F84" s="616"/>
      <c r="G84" s="616"/>
      <c r="H84" s="1670">
        <f>SUM(H78:H83)</f>
        <v>0</v>
      </c>
      <c r="I84" s="477"/>
      <c r="J84" s="477"/>
      <c r="K84" s="1670">
        <f>SUM(K78:K83)</f>
        <v>226724</v>
      </c>
      <c r="L84" s="1670">
        <f>SUM(L78:L83)</f>
        <v>208000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226724</v>
      </c>
      <c r="F102" s="616"/>
      <c r="G102" s="616"/>
      <c r="H102" s="1677">
        <f>SUM(H84,H92,H100,H101)</f>
        <v>0</v>
      </c>
      <c r="I102" s="477"/>
      <c r="J102" s="477"/>
      <c r="K102" s="1677">
        <f>SUM(K84,K92,K100,K101)</f>
        <v>226724</v>
      </c>
      <c r="L102" s="1677">
        <f>SUM(L84,L92,L100,L101)</f>
        <v>208000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2463180</v>
      </c>
      <c r="D114" s="1670">
        <f t="shared" ref="D114:K114" si="13">SUM(D33,D74,D75,D102,D112,D113)</f>
        <v>299598</v>
      </c>
      <c r="E114" s="1670">
        <f t="shared" si="13"/>
        <v>476063</v>
      </c>
      <c r="F114" s="1670">
        <f t="shared" si="13"/>
        <v>270737</v>
      </c>
      <c r="G114" s="1670">
        <f t="shared" si="13"/>
        <v>45230</v>
      </c>
      <c r="H114" s="1670">
        <f>SUM(H33,H74,H75,H102,H112,H113)</f>
        <v>6217</v>
      </c>
      <c r="I114" s="1670">
        <f t="shared" si="13"/>
        <v>5988</v>
      </c>
      <c r="J114" s="1670">
        <f t="shared" si="13"/>
        <v>0</v>
      </c>
      <c r="K114" s="1670">
        <f t="shared" si="13"/>
        <v>3567013</v>
      </c>
      <c r="L114" s="1670">
        <f>SUM(L33,L74,L75,L102,L112,L113)</f>
        <v>3428419</v>
      </c>
    </row>
    <row r="115" spans="1:14" ht="13.5" thickTop="1" x14ac:dyDescent="0.2">
      <c r="A115" s="2154" t="s">
        <v>996</v>
      </c>
      <c r="B115" s="2155"/>
      <c r="C115" s="618"/>
      <c r="D115" s="618"/>
      <c r="E115" s="618"/>
      <c r="F115" s="618"/>
      <c r="G115" s="618"/>
      <c r="H115" s="618"/>
      <c r="I115" s="618"/>
      <c r="J115" s="618"/>
      <c r="K115" s="1684">
        <f>'Revenues 9-14'!C268-'Expenditures 15-22'!K114</f>
        <v>320707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v>249104</v>
      </c>
      <c r="H123" s="466"/>
      <c r="I123" s="467"/>
      <c r="J123" s="467"/>
      <c r="K123" s="1670">
        <f>SUM(C123:J123)</f>
        <v>249104</v>
      </c>
      <c r="L123" s="466">
        <v>249000</v>
      </c>
    </row>
    <row r="124" spans="1:14" ht="14.25" thickTop="1" thickBot="1" x14ac:dyDescent="0.25">
      <c r="A124" s="1504" t="s">
        <v>197</v>
      </c>
      <c r="B124" s="614">
        <v>2540</v>
      </c>
      <c r="C124" s="466">
        <v>119797</v>
      </c>
      <c r="D124" s="466">
        <v>19025</v>
      </c>
      <c r="E124" s="466">
        <v>62502</v>
      </c>
      <c r="F124" s="466">
        <v>123626</v>
      </c>
      <c r="G124" s="466">
        <v>12215</v>
      </c>
      <c r="H124" s="466">
        <v>3653</v>
      </c>
      <c r="I124" s="467"/>
      <c r="J124" s="467"/>
      <c r="K124" s="1670">
        <f>SUM(C124:J124)</f>
        <v>340818</v>
      </c>
      <c r="L124" s="466">
        <v>369768</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119797</v>
      </c>
      <c r="D127" s="1670">
        <f t="shared" ref="D127:L127" si="14">SUM(D122:D126)</f>
        <v>19025</v>
      </c>
      <c r="E127" s="1670">
        <f t="shared" si="14"/>
        <v>62502</v>
      </c>
      <c r="F127" s="1670">
        <f t="shared" si="14"/>
        <v>123626</v>
      </c>
      <c r="G127" s="1670">
        <f t="shared" si="14"/>
        <v>261319</v>
      </c>
      <c r="H127" s="1670">
        <f t="shared" si="14"/>
        <v>3653</v>
      </c>
      <c r="I127" s="1670">
        <f t="shared" si="14"/>
        <v>0</v>
      </c>
      <c r="J127" s="1670">
        <f t="shared" si="14"/>
        <v>0</v>
      </c>
      <c r="K127" s="1670">
        <f t="shared" si="14"/>
        <v>589922</v>
      </c>
      <c r="L127" s="1670">
        <f t="shared" si="14"/>
        <v>618768</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119797</v>
      </c>
      <c r="D129" s="1677">
        <f t="shared" ref="D129:L129" si="15">SUM(D120,D127,D128)</f>
        <v>19025</v>
      </c>
      <c r="E129" s="1677">
        <f t="shared" si="15"/>
        <v>62502</v>
      </c>
      <c r="F129" s="1677">
        <f t="shared" si="15"/>
        <v>123626</v>
      </c>
      <c r="G129" s="1677">
        <f t="shared" si="15"/>
        <v>261319</v>
      </c>
      <c r="H129" s="1677">
        <f t="shared" si="15"/>
        <v>3653</v>
      </c>
      <c r="I129" s="1677">
        <f t="shared" si="15"/>
        <v>0</v>
      </c>
      <c r="J129" s="1677">
        <f t="shared" si="15"/>
        <v>0</v>
      </c>
      <c r="K129" s="1677">
        <f t="shared" si="15"/>
        <v>589922</v>
      </c>
      <c r="L129" s="1677">
        <f t="shared" si="15"/>
        <v>618768</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4409</v>
      </c>
      <c r="I148" s="468"/>
      <c r="J148" s="616"/>
      <c r="K148" s="1672">
        <f>SUM(H148)</f>
        <v>4409</v>
      </c>
      <c r="L148" s="492"/>
    </row>
    <row r="149" spans="1:14" ht="12.75" customHeight="1" thickBot="1" x14ac:dyDescent="0.25">
      <c r="A149" s="1507" t="s">
        <v>638</v>
      </c>
      <c r="B149" s="617" t="s">
        <v>492</v>
      </c>
      <c r="C149" s="616"/>
      <c r="D149" s="616"/>
      <c r="E149" s="616"/>
      <c r="F149" s="616"/>
      <c r="G149" s="616"/>
      <c r="H149" s="1670">
        <f>SUM(H147,H148)</f>
        <v>4409</v>
      </c>
      <c r="I149" s="468"/>
      <c r="J149" s="616"/>
      <c r="K149" s="1670">
        <f>SUM(K147:K148)</f>
        <v>4409</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119797</v>
      </c>
      <c r="D151" s="1670">
        <f t="shared" ref="D151:K151" si="16">SUM(D129,D130,D139,D149,D150)</f>
        <v>19025</v>
      </c>
      <c r="E151" s="1670">
        <f t="shared" si="16"/>
        <v>62502</v>
      </c>
      <c r="F151" s="1670">
        <f t="shared" si="16"/>
        <v>123626</v>
      </c>
      <c r="G151" s="1670">
        <f t="shared" si="16"/>
        <v>261319</v>
      </c>
      <c r="H151" s="1670">
        <f t="shared" si="16"/>
        <v>8062</v>
      </c>
      <c r="I151" s="1670">
        <f t="shared" si="16"/>
        <v>0</v>
      </c>
      <c r="J151" s="1670">
        <f t="shared" si="16"/>
        <v>0</v>
      </c>
      <c r="K151" s="1670">
        <f t="shared" si="16"/>
        <v>594331</v>
      </c>
      <c r="L151" s="1670">
        <f>SUM(L129,L130,L139,L149,L150)</f>
        <v>618768</v>
      </c>
    </row>
    <row r="152" spans="1:14" ht="12.75" customHeight="1" thickTop="1" x14ac:dyDescent="0.2">
      <c r="A152" s="2174" t="s">
        <v>1178</v>
      </c>
      <c r="B152" s="2175"/>
      <c r="C152" s="618"/>
      <c r="D152" s="618"/>
      <c r="E152" s="618"/>
      <c r="F152" s="618"/>
      <c r="G152" s="618"/>
      <c r="H152" s="618"/>
      <c r="I152" s="618"/>
      <c r="J152" s="616"/>
      <c r="K152" s="1684">
        <f>'Revenues 9-14'!D268-'Expenditures 15-22'!K151</f>
        <v>-157482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308915</v>
      </c>
      <c r="I169" s="616"/>
      <c r="J169" s="616"/>
      <c r="K169" s="1671">
        <f>SUM(C169:H169)</f>
        <v>308915</v>
      </c>
      <c r="L169" s="656">
        <v>312089</v>
      </c>
    </row>
    <row r="170" spans="1:14" ht="33.75" customHeight="1" x14ac:dyDescent="0.2">
      <c r="A170" s="669" t="s">
        <v>1670</v>
      </c>
      <c r="B170" s="671" t="s">
        <v>31</v>
      </c>
      <c r="C170" s="616"/>
      <c r="D170" s="616"/>
      <c r="E170" s="616"/>
      <c r="F170" s="616"/>
      <c r="G170" s="616"/>
      <c r="H170" s="569">
        <v>239856</v>
      </c>
      <c r="I170" s="616"/>
      <c r="J170" s="616"/>
      <c r="K170" s="1671">
        <f>SUM(C170:J170)</f>
        <v>239856</v>
      </c>
      <c r="L170" s="569">
        <v>240183</v>
      </c>
    </row>
    <row r="171" spans="1:14" ht="15.75" customHeight="1" x14ac:dyDescent="0.2">
      <c r="A171" s="621" t="s">
        <v>766</v>
      </c>
      <c r="B171" s="672" t="s">
        <v>84</v>
      </c>
      <c r="C171" s="616"/>
      <c r="D171" s="616"/>
      <c r="E171" s="466"/>
      <c r="F171" s="616"/>
      <c r="G171" s="616"/>
      <c r="H171" s="569">
        <v>6245</v>
      </c>
      <c r="I171" s="477"/>
      <c r="J171" s="616"/>
      <c r="K171" s="1671">
        <f>SUM(C171:J171)</f>
        <v>6245</v>
      </c>
      <c r="L171" s="569"/>
    </row>
    <row r="172" spans="1:14" ht="12.75" customHeight="1" thickBot="1" x14ac:dyDescent="0.25">
      <c r="A172" s="1668" t="s">
        <v>638</v>
      </c>
      <c r="B172" s="1669" t="s">
        <v>492</v>
      </c>
      <c r="C172" s="616"/>
      <c r="D172" s="616"/>
      <c r="E172" s="1677">
        <f>SUM(E168,E169,E170,E171)</f>
        <v>0</v>
      </c>
      <c r="F172" s="616"/>
      <c r="G172" s="616"/>
      <c r="H172" s="1677">
        <f>SUM(H168,H169,H170,H171)</f>
        <v>555016</v>
      </c>
      <c r="I172" s="638"/>
      <c r="J172" s="616"/>
      <c r="K172" s="1677">
        <f>SUM(K168,K169,K170,K171)</f>
        <v>555016</v>
      </c>
      <c r="L172" s="1677">
        <f>SUM(L168,L169,L170,L171)</f>
        <v>552272</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555016</v>
      </c>
      <c r="I174" s="638"/>
      <c r="J174" s="616"/>
      <c r="K174" s="1677">
        <f>SUM(K160,K172,K173)</f>
        <v>555016</v>
      </c>
      <c r="L174" s="1677">
        <f>SUM(L160,L172,L173)</f>
        <v>552272</v>
      </c>
    </row>
    <row r="175" spans="1:14" ht="13.5" thickTop="1" x14ac:dyDescent="0.2">
      <c r="A175" s="2154" t="s">
        <v>996</v>
      </c>
      <c r="B175" s="2155"/>
      <c r="C175" s="616"/>
      <c r="D175" s="616"/>
      <c r="E175" s="616"/>
      <c r="F175" s="616"/>
      <c r="G175" s="616"/>
      <c r="H175" s="618"/>
      <c r="I175" s="616"/>
      <c r="J175" s="616"/>
      <c r="K175" s="1684">
        <f>'Revenues 9-14'!E268-'Expenditures 15-22'!K174</f>
        <v>-6992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236137</v>
      </c>
      <c r="F182" s="466"/>
      <c r="G182" s="466"/>
      <c r="H182" s="466"/>
      <c r="I182" s="467"/>
      <c r="J182" s="467"/>
      <c r="K182" s="1671">
        <f>SUM(C182:J182)</f>
        <v>236137</v>
      </c>
      <c r="L182" s="466">
        <v>225500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236137</v>
      </c>
      <c r="F184" s="1677">
        <f t="shared" si="17"/>
        <v>0</v>
      </c>
      <c r="G184" s="1677">
        <f t="shared" si="17"/>
        <v>0</v>
      </c>
      <c r="H184" s="1677">
        <f t="shared" si="17"/>
        <v>0</v>
      </c>
      <c r="I184" s="1677">
        <f t="shared" si="17"/>
        <v>0</v>
      </c>
      <c r="J184" s="1677">
        <f t="shared" si="17"/>
        <v>0</v>
      </c>
      <c r="K184" s="1677">
        <f>SUM(K180,K182,K183)</f>
        <v>236137</v>
      </c>
      <c r="L184" s="1677">
        <f>SUM(L180, L182:L183)</f>
        <v>225500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236137</v>
      </c>
      <c r="F210" s="1670">
        <f>SUM(F184,F185)</f>
        <v>0</v>
      </c>
      <c r="G210" s="1670">
        <f>SUM(G184,G185)</f>
        <v>0</v>
      </c>
      <c r="H210" s="1670">
        <f>SUM(H184,H185,H196,H208,H209)</f>
        <v>0</v>
      </c>
      <c r="I210" s="1670">
        <f>SUM(I184,I185)</f>
        <v>0</v>
      </c>
      <c r="J210" s="1670">
        <f>SUM(J184,J185)</f>
        <v>0</v>
      </c>
      <c r="K210" s="1671">
        <f>SUM(K184,K185,K196,K208,K209)</f>
        <v>236137</v>
      </c>
      <c r="L210" s="1670">
        <f>SUM(L184,L185,L196,L208,L209)</f>
        <v>225500</v>
      </c>
    </row>
    <row r="211" spans="1:14" ht="13.5" thickTop="1" x14ac:dyDescent="0.2">
      <c r="A211" s="2154" t="s">
        <v>996</v>
      </c>
      <c r="B211" s="2155"/>
      <c r="C211" s="618"/>
      <c r="D211" s="618"/>
      <c r="E211" s="618"/>
      <c r="F211" s="618"/>
      <c r="G211" s="618"/>
      <c r="H211" s="618"/>
      <c r="I211" s="616"/>
      <c r="J211" s="616"/>
      <c r="K211" s="1684">
        <f>'Revenues 9-14'!F268-'Expenditures 15-22'!K210</f>
        <v>-37978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19774</v>
      </c>
      <c r="E215" s="616"/>
      <c r="F215" s="616"/>
      <c r="G215" s="616"/>
      <c r="H215" s="616"/>
      <c r="I215" s="616"/>
      <c r="J215" s="616"/>
      <c r="K215" s="1671">
        <f>D215</f>
        <v>19774</v>
      </c>
      <c r="L215" s="466">
        <v>19000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30366</v>
      </c>
      <c r="E217" s="616"/>
      <c r="F217" s="616"/>
      <c r="G217" s="616"/>
      <c r="H217" s="616"/>
      <c r="I217" s="616"/>
      <c r="J217" s="616"/>
      <c r="K217" s="1671">
        <f t="shared" si="19"/>
        <v>30366</v>
      </c>
      <c r="L217" s="466">
        <v>23294</v>
      </c>
    </row>
    <row r="218" spans="1:14" x14ac:dyDescent="0.2">
      <c r="A218" s="1504" t="s">
        <v>278</v>
      </c>
      <c r="B218" s="614" t="s">
        <v>968</v>
      </c>
      <c r="C218" s="616"/>
      <c r="D218" s="467">
        <v>4108</v>
      </c>
      <c r="E218" s="616"/>
      <c r="F218" s="616"/>
      <c r="G218" s="616"/>
      <c r="H218" s="616"/>
      <c r="I218" s="616"/>
      <c r="J218" s="616"/>
      <c r="K218" s="1671">
        <f t="shared" si="19"/>
        <v>4108</v>
      </c>
      <c r="L218" s="466">
        <v>4106</v>
      </c>
    </row>
    <row r="219" spans="1:14" x14ac:dyDescent="0.2">
      <c r="A219" s="1504" t="s">
        <v>279</v>
      </c>
      <c r="B219" s="614">
        <v>1250</v>
      </c>
      <c r="C219" s="616"/>
      <c r="D219" s="466">
        <v>6128</v>
      </c>
      <c r="E219" s="616"/>
      <c r="F219" s="616"/>
      <c r="G219" s="616"/>
      <c r="H219" s="616"/>
      <c r="I219" s="616"/>
      <c r="J219" s="616"/>
      <c r="K219" s="1671">
        <f t="shared" si="19"/>
        <v>6128</v>
      </c>
      <c r="L219" s="466">
        <v>10881</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60376</v>
      </c>
      <c r="E229" s="616"/>
      <c r="F229" s="616"/>
      <c r="G229" s="616"/>
      <c r="H229" s="616"/>
      <c r="I229" s="616"/>
      <c r="J229" s="616"/>
      <c r="K229" s="1670">
        <f>SUM(K215:K228)</f>
        <v>60376</v>
      </c>
      <c r="L229" s="1670">
        <f>SUM(L215:L228)</f>
        <v>57281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574</v>
      </c>
      <c r="E232" s="616"/>
      <c r="F232" s="616"/>
      <c r="G232" s="616"/>
      <c r="H232" s="616"/>
      <c r="I232" s="616"/>
      <c r="J232" s="616"/>
      <c r="K232" s="1671">
        <f t="shared" ref="K232:K237" si="20">D232</f>
        <v>574</v>
      </c>
      <c r="L232" s="466">
        <v>1034</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7087</v>
      </c>
      <c r="E234" s="616"/>
      <c r="F234" s="616"/>
      <c r="G234" s="616"/>
      <c r="H234" s="616"/>
      <c r="I234" s="616"/>
      <c r="J234" s="616"/>
      <c r="K234" s="1671">
        <f t="shared" si="20"/>
        <v>7087</v>
      </c>
      <c r="L234" s="466">
        <v>7552</v>
      </c>
    </row>
    <row r="235" spans="1:12" x14ac:dyDescent="0.2">
      <c r="A235" s="1504" t="s">
        <v>199</v>
      </c>
      <c r="B235" s="614">
        <v>2140</v>
      </c>
      <c r="C235" s="616"/>
      <c r="D235" s="466">
        <v>828</v>
      </c>
      <c r="E235" s="616"/>
      <c r="F235" s="616"/>
      <c r="G235" s="616"/>
      <c r="H235" s="616"/>
      <c r="I235" s="616"/>
      <c r="J235" s="616"/>
      <c r="K235" s="1671">
        <f t="shared" si="20"/>
        <v>828</v>
      </c>
      <c r="L235" s="466"/>
    </row>
    <row r="236" spans="1:12" x14ac:dyDescent="0.2">
      <c r="A236" s="1504" t="s">
        <v>200</v>
      </c>
      <c r="B236" s="614">
        <v>2150</v>
      </c>
      <c r="C236" s="616"/>
      <c r="D236" s="466"/>
      <c r="E236" s="616"/>
      <c r="F236" s="616"/>
      <c r="G236" s="616"/>
      <c r="H236" s="616"/>
      <c r="I236" s="616"/>
      <c r="J236" s="616"/>
      <c r="K236" s="1671">
        <f t="shared" si="20"/>
        <v>0</v>
      </c>
      <c r="L236" s="466">
        <v>850</v>
      </c>
    </row>
    <row r="237" spans="1:12" x14ac:dyDescent="0.2">
      <c r="A237" s="1504" t="s">
        <v>165</v>
      </c>
      <c r="B237" s="614">
        <v>2190</v>
      </c>
      <c r="C237" s="616"/>
      <c r="D237" s="466"/>
      <c r="E237" s="616"/>
      <c r="F237" s="616"/>
      <c r="G237" s="616"/>
      <c r="H237" s="616"/>
      <c r="I237" s="616"/>
      <c r="J237" s="616"/>
      <c r="K237" s="1671">
        <f t="shared" si="20"/>
        <v>0</v>
      </c>
      <c r="L237" s="466">
        <v>757</v>
      </c>
    </row>
    <row r="238" spans="1:12" ht="12.75" customHeight="1" thickBot="1" x14ac:dyDescent="0.25">
      <c r="A238" s="1668" t="s">
        <v>560</v>
      </c>
      <c r="B238" s="1675" t="s">
        <v>716</v>
      </c>
      <c r="C238" s="616"/>
      <c r="D238" s="1670">
        <f>SUM(D232:D237)</f>
        <v>8489</v>
      </c>
      <c r="E238" s="616"/>
      <c r="F238" s="616"/>
      <c r="G238" s="616"/>
      <c r="H238" s="616"/>
      <c r="I238" s="616"/>
      <c r="J238" s="616"/>
      <c r="K238" s="1670">
        <f>SUM(K232:K237)</f>
        <v>8489</v>
      </c>
      <c r="L238" s="1670">
        <f>SUM(L232:L237)</f>
        <v>10193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9</v>
      </c>
      <c r="E240" s="616"/>
      <c r="F240" s="616"/>
      <c r="G240" s="616"/>
      <c r="H240" s="616"/>
      <c r="I240" s="616"/>
      <c r="J240" s="616"/>
      <c r="K240" s="1672">
        <f>D240</f>
        <v>9</v>
      </c>
      <c r="L240" s="481"/>
    </row>
    <row r="241" spans="1:12" x14ac:dyDescent="0.2">
      <c r="A241" s="1504" t="s">
        <v>815</v>
      </c>
      <c r="B241" s="614">
        <v>2220</v>
      </c>
      <c r="C241" s="616"/>
      <c r="D241" s="466">
        <v>13254</v>
      </c>
      <c r="E241" s="616"/>
      <c r="F241" s="616"/>
      <c r="G241" s="616"/>
      <c r="H241" s="616"/>
      <c r="I241" s="616"/>
      <c r="J241" s="616"/>
      <c r="K241" s="1672">
        <f>D241</f>
        <v>13254</v>
      </c>
      <c r="L241" s="466">
        <v>13776</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13263</v>
      </c>
      <c r="E243" s="616"/>
      <c r="F243" s="616"/>
      <c r="G243" s="616"/>
      <c r="H243" s="616"/>
      <c r="I243" s="616"/>
      <c r="J243" s="616"/>
      <c r="K243" s="1670">
        <f>SUM(K240:K242)</f>
        <v>13263</v>
      </c>
      <c r="L243" s="1670">
        <f>SUM(L240:L242)</f>
        <v>13776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4883</v>
      </c>
      <c r="E245" s="616"/>
      <c r="F245" s="616"/>
      <c r="G245" s="616"/>
      <c r="H245" s="616"/>
      <c r="I245" s="616"/>
      <c r="J245" s="616"/>
      <c r="K245" s="1672">
        <f>D245</f>
        <v>4883</v>
      </c>
      <c r="L245" s="481">
        <v>5052</v>
      </c>
    </row>
    <row r="246" spans="1:12" x14ac:dyDescent="0.2">
      <c r="A246" s="1504" t="s">
        <v>818</v>
      </c>
      <c r="B246" s="614">
        <v>2320</v>
      </c>
      <c r="C246" s="616"/>
      <c r="D246" s="466">
        <v>1748</v>
      </c>
      <c r="E246" s="616"/>
      <c r="F246" s="616"/>
      <c r="G246" s="616"/>
      <c r="H246" s="616"/>
      <c r="I246" s="616"/>
      <c r="J246" s="616"/>
      <c r="K246" s="1672">
        <f t="shared" ref="K246:K256" si="21">D246</f>
        <v>1748</v>
      </c>
      <c r="L246" s="466">
        <v>1755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6631</v>
      </c>
      <c r="E257" s="616"/>
      <c r="F257" s="616"/>
      <c r="G257" s="616"/>
      <c r="H257" s="616"/>
      <c r="I257" s="616"/>
      <c r="J257" s="616"/>
      <c r="K257" s="1670">
        <f>SUM(K245:K256)</f>
        <v>6631</v>
      </c>
      <c r="L257" s="1670">
        <f>SUM(L245:L256)</f>
        <v>6807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7370</v>
      </c>
      <c r="E259" s="616"/>
      <c r="F259" s="616"/>
      <c r="G259" s="616"/>
      <c r="H259" s="616"/>
      <c r="I259" s="616"/>
      <c r="J259" s="616"/>
      <c r="K259" s="1672">
        <f>D259</f>
        <v>7370</v>
      </c>
      <c r="L259" s="481">
        <v>7159</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7370</v>
      </c>
      <c r="E261" s="616"/>
      <c r="F261" s="616"/>
      <c r="G261" s="616"/>
      <c r="H261" s="616"/>
      <c r="I261" s="616"/>
      <c r="J261" s="616"/>
      <c r="K261" s="1670">
        <f>SUM(K259:K260)</f>
        <v>7370</v>
      </c>
      <c r="L261" s="1670">
        <f>SUM(L259:L260)</f>
        <v>7159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4627</v>
      </c>
      <c r="E264" s="616"/>
      <c r="F264" s="616"/>
      <c r="G264" s="616"/>
      <c r="H264" s="616"/>
      <c r="I264" s="616"/>
      <c r="J264" s="616"/>
      <c r="K264" s="1672">
        <f t="shared" ref="K264:K269" si="22">D264</f>
        <v>4627</v>
      </c>
      <c r="L264" s="466">
        <v>4796</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22604</v>
      </c>
      <c r="E266" s="616"/>
      <c r="F266" s="616"/>
      <c r="G266" s="616"/>
      <c r="H266" s="616"/>
      <c r="I266" s="616"/>
      <c r="J266" s="616"/>
      <c r="K266" s="1672">
        <f t="shared" si="22"/>
        <v>22604</v>
      </c>
      <c r="L266" s="466">
        <v>23200</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10042</v>
      </c>
      <c r="E268" s="616"/>
      <c r="F268" s="616"/>
      <c r="G268" s="616"/>
      <c r="H268" s="616"/>
      <c r="I268" s="616"/>
      <c r="J268" s="616"/>
      <c r="K268" s="1672">
        <f t="shared" si="22"/>
        <v>10042</v>
      </c>
      <c r="L268" s="466">
        <v>10210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37273</v>
      </c>
      <c r="E270" s="616"/>
      <c r="F270" s="616"/>
      <c r="G270" s="616"/>
      <c r="H270" s="616"/>
      <c r="I270" s="616"/>
      <c r="J270" s="616"/>
      <c r="K270" s="1670">
        <f>SUM(K263:K269)</f>
        <v>37273</v>
      </c>
      <c r="L270" s="1670">
        <f>SUM(L263:L269)</f>
        <v>38206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73026</v>
      </c>
      <c r="E279" s="616"/>
      <c r="F279" s="616"/>
      <c r="G279" s="616"/>
      <c r="H279" s="616"/>
      <c r="I279" s="616"/>
      <c r="J279" s="616"/>
      <c r="K279" s="1677">
        <f>SUM(K238,K243,K257,K261,K270,K277,K278)</f>
        <v>73026</v>
      </c>
      <c r="L279" s="1677">
        <f>SUM(L238,L243,L257,L261,L270,L277,L278)</f>
        <v>76141</v>
      </c>
    </row>
    <row r="280" spans="1:12" ht="15.75" customHeight="1" thickTop="1" thickBot="1" x14ac:dyDescent="0.25">
      <c r="A280" s="1624" t="s">
        <v>875</v>
      </c>
      <c r="B280" s="1613">
        <v>3000</v>
      </c>
      <c r="C280" s="616"/>
      <c r="D280" s="576">
        <v>11469</v>
      </c>
      <c r="E280" s="616"/>
      <c r="F280" s="616"/>
      <c r="G280" s="616"/>
      <c r="H280" s="616"/>
      <c r="I280" s="616"/>
      <c r="J280" s="616"/>
      <c r="K280" s="1679">
        <f>D280</f>
        <v>11469</v>
      </c>
      <c r="L280" s="576">
        <v>11800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144871</v>
      </c>
      <c r="E295" s="616"/>
      <c r="F295" s="616"/>
      <c r="G295" s="616"/>
      <c r="H295" s="1670">
        <f>H293</f>
        <v>0</v>
      </c>
      <c r="I295" s="616"/>
      <c r="J295" s="616"/>
      <c r="K295" s="1670">
        <f>SUM(K229,K279,K280,K285,K293,K294)</f>
        <v>144871</v>
      </c>
      <c r="L295" s="1670">
        <f>SUM(L229,L279,L280,L285,L293,L294)</f>
        <v>145222</v>
      </c>
    </row>
    <row r="296" spans="1:14" ht="13.5" thickTop="1" x14ac:dyDescent="0.2">
      <c r="A296" s="2154" t="s">
        <v>996</v>
      </c>
      <c r="B296" s="2155"/>
      <c r="C296" s="616"/>
      <c r="D296" s="618"/>
      <c r="E296" s="616"/>
      <c r="F296" s="616"/>
      <c r="G296" s="616"/>
      <c r="H296" s="687"/>
      <c r="I296" s="616"/>
      <c r="J296" s="616"/>
      <c r="K296" s="1684">
        <f>'Revenues 9-14'!G268-'Expenditures 15-22'!K295</f>
        <v>-11644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17024</v>
      </c>
      <c r="F320" s="467"/>
      <c r="G320" s="467"/>
      <c r="H320" s="467"/>
      <c r="I320" s="467"/>
      <c r="J320" s="467"/>
      <c r="K320" s="1671">
        <f t="shared" ref="K320:K327" si="24">SUM(C320:J320)</f>
        <v>17024</v>
      </c>
      <c r="L320" s="467">
        <v>25000</v>
      </c>
      <c r="M320" s="665"/>
      <c r="N320" s="665"/>
    </row>
    <row r="321" spans="1:14" s="674" customFormat="1" x14ac:dyDescent="0.2">
      <c r="A321" s="1519" t="s">
        <v>300</v>
      </c>
      <c r="B321" s="697" t="s">
        <v>283</v>
      </c>
      <c r="C321" s="467"/>
      <c r="D321" s="467"/>
      <c r="E321" s="467">
        <v>862</v>
      </c>
      <c r="F321" s="467"/>
      <c r="G321" s="467"/>
      <c r="H321" s="467"/>
      <c r="I321" s="467"/>
      <c r="J321" s="467"/>
      <c r="K321" s="1671">
        <f t="shared" si="24"/>
        <v>862</v>
      </c>
      <c r="L321" s="467">
        <v>1500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159262</v>
      </c>
      <c r="D325" s="467"/>
      <c r="E325" s="467">
        <v>9418</v>
      </c>
      <c r="F325" s="467"/>
      <c r="G325" s="467"/>
      <c r="H325" s="467"/>
      <c r="I325" s="467"/>
      <c r="J325" s="467"/>
      <c r="K325" s="1671">
        <f t="shared" si="24"/>
        <v>168680</v>
      </c>
      <c r="L325" s="467">
        <v>207000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19760</v>
      </c>
      <c r="F327" s="467"/>
      <c r="G327" s="467"/>
      <c r="H327" s="467"/>
      <c r="I327" s="467"/>
      <c r="J327" s="467"/>
      <c r="K327" s="1671">
        <f t="shared" si="24"/>
        <v>19760</v>
      </c>
      <c r="L327" s="467">
        <v>9000</v>
      </c>
      <c r="M327" s="665"/>
      <c r="N327" s="665"/>
    </row>
    <row r="328" spans="1:14" s="674" customFormat="1" x14ac:dyDescent="0.2">
      <c r="A328" s="1520" t="s">
        <v>472</v>
      </c>
      <c r="B328" s="690" t="s">
        <v>1132</v>
      </c>
      <c r="C328" s="474"/>
      <c r="D328" s="474"/>
      <c r="E328" s="474">
        <v>48646</v>
      </c>
      <c r="F328" s="474"/>
      <c r="G328" s="474"/>
      <c r="H328" s="474"/>
      <c r="I328" s="474"/>
      <c r="J328" s="474"/>
      <c r="K328" s="1699">
        <f>SUM(C328:J328)</f>
        <v>48646</v>
      </c>
      <c r="L328" s="474">
        <v>27000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159262</v>
      </c>
      <c r="D330" s="1670">
        <f t="shared" ref="D330:J330" si="25">SUM(D319:D329)</f>
        <v>0</v>
      </c>
      <c r="E330" s="1670">
        <f t="shared" si="25"/>
        <v>95710</v>
      </c>
      <c r="F330" s="1670">
        <f t="shared" si="25"/>
        <v>0</v>
      </c>
      <c r="G330" s="1670">
        <f t="shared" si="25"/>
        <v>0</v>
      </c>
      <c r="H330" s="1670">
        <f t="shared" si="25"/>
        <v>0</v>
      </c>
      <c r="I330" s="1670">
        <f t="shared" si="25"/>
        <v>0</v>
      </c>
      <c r="J330" s="1670">
        <f t="shared" si="25"/>
        <v>0</v>
      </c>
      <c r="K330" s="1670">
        <f>SUM(K319:K329)</f>
        <v>254972</v>
      </c>
      <c r="L330" s="1670">
        <f>SUM(L319:L329)</f>
        <v>269500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159262</v>
      </c>
      <c r="D342" s="1670">
        <f>SUM(D330)</f>
        <v>0</v>
      </c>
      <c r="E342" s="1670">
        <f>SUM(E330)</f>
        <v>95710</v>
      </c>
      <c r="F342" s="1670">
        <f>SUM(F330)</f>
        <v>0</v>
      </c>
      <c r="G342" s="1670">
        <f>SUM(G330)</f>
        <v>0</v>
      </c>
      <c r="H342" s="1670">
        <f>SUM(H330,H334,H340)</f>
        <v>0</v>
      </c>
      <c r="I342" s="1670">
        <f>SUM(I330)</f>
        <v>0</v>
      </c>
      <c r="J342" s="1670">
        <f>SUM(J330)</f>
        <v>0</v>
      </c>
      <c r="K342" s="1670">
        <f>SUM(K330,K334,K340)</f>
        <v>254972</v>
      </c>
      <c r="L342" s="1677">
        <f>SUM(L330,L340,L341)</f>
        <v>269500</v>
      </c>
    </row>
    <row r="343" spans="1:14" ht="12.75" customHeight="1" thickTop="1" x14ac:dyDescent="0.2">
      <c r="A343" s="2167" t="s">
        <v>996</v>
      </c>
      <c r="B343" s="2168"/>
      <c r="C343" s="616"/>
      <c r="D343" s="616"/>
      <c r="E343" s="616"/>
      <c r="F343" s="616"/>
      <c r="G343" s="616"/>
      <c r="H343" s="616"/>
      <c r="I343" s="616"/>
      <c r="J343" s="616"/>
      <c r="K343" s="1684">
        <f>'Revenues 9-14'!J268-'Expenditures 15-22'!K342</f>
        <v>-20475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28791</v>
      </c>
      <c r="F349" s="466"/>
      <c r="G349" s="466">
        <v>158023</v>
      </c>
      <c r="H349" s="466"/>
      <c r="I349" s="467"/>
      <c r="J349" s="467"/>
      <c r="K349" s="1671">
        <f>SUM(C349:J349)</f>
        <v>186814</v>
      </c>
      <c r="L349" s="466">
        <v>190000</v>
      </c>
    </row>
    <row r="350" spans="1:14" ht="12.75" customHeight="1" thickBot="1" x14ac:dyDescent="0.25">
      <c r="A350" s="1668" t="s">
        <v>719</v>
      </c>
      <c r="B350" s="1669" t="s">
        <v>35</v>
      </c>
      <c r="C350" s="1670">
        <f>SUM(C348:C349)</f>
        <v>0</v>
      </c>
      <c r="D350" s="1670">
        <f t="shared" ref="D350:L350" si="26">SUM(D348:D349)</f>
        <v>0</v>
      </c>
      <c r="E350" s="1670">
        <f t="shared" si="26"/>
        <v>28791</v>
      </c>
      <c r="F350" s="1670">
        <f t="shared" si="26"/>
        <v>0</v>
      </c>
      <c r="G350" s="1670">
        <f t="shared" si="26"/>
        <v>158023</v>
      </c>
      <c r="H350" s="1670">
        <f t="shared" si="26"/>
        <v>0</v>
      </c>
      <c r="I350" s="1670">
        <f t="shared" si="26"/>
        <v>0</v>
      </c>
      <c r="J350" s="1670">
        <f t="shared" si="26"/>
        <v>0</v>
      </c>
      <c r="K350" s="1670">
        <f t="shared" si="26"/>
        <v>186814</v>
      </c>
      <c r="L350" s="1670">
        <f t="shared" si="26"/>
        <v>190000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28791</v>
      </c>
      <c r="F352" s="1670">
        <f t="shared" si="27"/>
        <v>0</v>
      </c>
      <c r="G352" s="1670">
        <f t="shared" si="27"/>
        <v>158023</v>
      </c>
      <c r="H352" s="1670">
        <f t="shared" si="27"/>
        <v>0</v>
      </c>
      <c r="I352" s="1670">
        <f t="shared" si="27"/>
        <v>0</v>
      </c>
      <c r="J352" s="1670">
        <f t="shared" si="27"/>
        <v>0</v>
      </c>
      <c r="K352" s="1670">
        <f t="shared" si="27"/>
        <v>186814</v>
      </c>
      <c r="L352" s="1670">
        <f t="shared" si="27"/>
        <v>190000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28791</v>
      </c>
      <c r="F367" s="1670">
        <f t="shared" si="28"/>
        <v>0</v>
      </c>
      <c r="G367" s="1670">
        <f t="shared" si="28"/>
        <v>158023</v>
      </c>
      <c r="H367" s="1670">
        <f t="shared" si="28"/>
        <v>0</v>
      </c>
      <c r="I367" s="1670">
        <f t="shared" si="28"/>
        <v>0</v>
      </c>
      <c r="J367" s="1670">
        <f t="shared" si="28"/>
        <v>0</v>
      </c>
      <c r="K367" s="1670">
        <f t="shared" si="28"/>
        <v>186814</v>
      </c>
      <c r="L367" s="1670">
        <f t="shared" si="28"/>
        <v>190000</v>
      </c>
    </row>
    <row r="368" spans="1:14" ht="13.5" thickTop="1" x14ac:dyDescent="0.2">
      <c r="A368" s="2154" t="s">
        <v>996</v>
      </c>
      <c r="B368" s="2155"/>
      <c r="C368" s="654"/>
      <c r="D368" s="654"/>
      <c r="E368" s="626"/>
      <c r="F368" s="626"/>
      <c r="G368" s="626"/>
      <c r="H368" s="626"/>
      <c r="I368" s="626"/>
      <c r="J368" s="623"/>
      <c r="K368" s="1671">
        <f>'Revenues 9-14'!K268-'Expenditures 15-22'!K367</f>
        <v>-164201</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
See notes.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834377</v>
      </c>
      <c r="C4" s="1524"/>
      <c r="D4" s="1752">
        <f>B4-C4</f>
        <v>834377</v>
      </c>
      <c r="E4" s="1524">
        <v>852320</v>
      </c>
      <c r="F4" s="1752">
        <f>E4-C4</f>
        <v>852320</v>
      </c>
    </row>
    <row r="5" spans="1:6" ht="13.7" customHeight="1" x14ac:dyDescent="0.2">
      <c r="A5" s="715" t="s">
        <v>870</v>
      </c>
      <c r="B5" s="1750">
        <f>'Revenues 9-14'!D5</f>
        <v>179452</v>
      </c>
      <c r="C5" s="585"/>
      <c r="D5" s="1753">
        <f t="shared" ref="D5:D18" si="0">B5-C5</f>
        <v>179452</v>
      </c>
      <c r="E5" s="585">
        <v>183295</v>
      </c>
      <c r="F5" s="1753">
        <f>E5-C5</f>
        <v>183295</v>
      </c>
    </row>
    <row r="6" spans="1:6" ht="13.7" customHeight="1" x14ac:dyDescent="0.2">
      <c r="A6" s="715" t="s">
        <v>411</v>
      </c>
      <c r="B6" s="1750">
        <f>'Revenues 9-14'!E5</f>
        <v>540240</v>
      </c>
      <c r="C6" s="585"/>
      <c r="D6" s="1753">
        <f t="shared" si="0"/>
        <v>540240</v>
      </c>
      <c r="E6" s="585">
        <v>549059</v>
      </c>
      <c r="F6" s="1753">
        <f t="shared" ref="F6:F18" si="1">E6-C6</f>
        <v>549059</v>
      </c>
    </row>
    <row r="7" spans="1:6" ht="13.7" customHeight="1" x14ac:dyDescent="0.2">
      <c r="A7" s="715" t="s">
        <v>155</v>
      </c>
      <c r="B7" s="1750">
        <f>'Revenues 9-14'!F5</f>
        <v>53836</v>
      </c>
      <c r="C7" s="585"/>
      <c r="D7" s="1753">
        <f t="shared" si="0"/>
        <v>53836</v>
      </c>
      <c r="E7" s="585">
        <v>54988</v>
      </c>
      <c r="F7" s="1753">
        <f t="shared" si="1"/>
        <v>54988</v>
      </c>
    </row>
    <row r="8" spans="1:6" ht="13.7" customHeight="1" x14ac:dyDescent="0.2">
      <c r="A8" s="715" t="s">
        <v>1179</v>
      </c>
      <c r="B8" s="1750">
        <f>'Revenues 9-14'!G5</f>
        <v>65140</v>
      </c>
      <c r="C8" s="585"/>
      <c r="D8" s="1753">
        <f t="shared" si="0"/>
        <v>65140</v>
      </c>
      <c r="E8" s="585">
        <v>65161</v>
      </c>
      <c r="F8" s="1753">
        <f t="shared" si="1"/>
        <v>65161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22431</v>
      </c>
      <c r="C10" s="585"/>
      <c r="D10" s="1753">
        <f t="shared" si="0"/>
        <v>22431</v>
      </c>
      <c r="E10" s="585">
        <v>22912</v>
      </c>
      <c r="F10" s="1753">
        <f t="shared" si="1"/>
        <v>22912</v>
      </c>
    </row>
    <row r="11" spans="1:6" x14ac:dyDescent="0.2">
      <c r="A11" s="715" t="s">
        <v>409</v>
      </c>
      <c r="B11" s="1750">
        <f>'Revenues 9-14'!J5</f>
        <v>232613</v>
      </c>
      <c r="C11" s="585"/>
      <c r="D11" s="1753">
        <f t="shared" si="0"/>
        <v>232613</v>
      </c>
      <c r="E11" s="585">
        <v>246027</v>
      </c>
      <c r="F11" s="1753">
        <f t="shared" si="1"/>
        <v>246027</v>
      </c>
    </row>
    <row r="12" spans="1:6" ht="13.7" customHeight="1" x14ac:dyDescent="0.2">
      <c r="A12" s="715" t="s">
        <v>157</v>
      </c>
      <c r="B12" s="1750">
        <f>'Revenues 9-14'!K5</f>
        <v>22431</v>
      </c>
      <c r="C12" s="585"/>
      <c r="D12" s="1753">
        <f t="shared" si="0"/>
        <v>22431</v>
      </c>
      <c r="E12" s="585">
        <v>22912</v>
      </c>
      <c r="F12" s="1753">
        <f t="shared" si="1"/>
        <v>22912</v>
      </c>
    </row>
    <row r="13" spans="1:6" ht="13.7" customHeight="1" x14ac:dyDescent="0.2">
      <c r="A13" s="715" t="s">
        <v>936</v>
      </c>
      <c r="B13" s="1750">
        <f>SUM('Revenues 9-14'!C6:D6)</f>
        <v>22431</v>
      </c>
      <c r="C13" s="585"/>
      <c r="D13" s="1753">
        <f t="shared" si="0"/>
        <v>22431</v>
      </c>
      <c r="E13" s="585">
        <v>22912</v>
      </c>
      <c r="F13" s="1753">
        <f t="shared" si="1"/>
        <v>22912</v>
      </c>
    </row>
    <row r="14" spans="1:6" ht="13.7" customHeight="1" x14ac:dyDescent="0.2">
      <c r="A14" s="715" t="s">
        <v>410</v>
      </c>
      <c r="B14" s="1750">
        <f>SUM('Revenues 9-14'!C7:D7,'Revenues 9-14'!F7:H7)</f>
        <v>9046</v>
      </c>
      <c r="C14" s="585"/>
      <c r="D14" s="1753">
        <f t="shared" si="0"/>
        <v>9046</v>
      </c>
      <c r="E14" s="585">
        <v>9165</v>
      </c>
      <c r="F14" s="1753">
        <f t="shared" si="1"/>
        <v>9165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50022</v>
      </c>
      <c r="C16" s="585"/>
      <c r="D16" s="1753">
        <f t="shared" si="0"/>
        <v>50022</v>
      </c>
      <c r="E16" s="585">
        <v>56180</v>
      </c>
      <c r="F16" s="1753">
        <f t="shared" si="1"/>
        <v>56180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2032019</v>
      </c>
      <c r="C19" s="1751">
        <f>SUM(C4:C18)</f>
        <v>0</v>
      </c>
      <c r="D19" s="1751">
        <f>SUM(D4:D18)</f>
        <v>2032019</v>
      </c>
      <c r="E19" s="1751">
        <f>SUM(E4:E18)</f>
        <v>2084931</v>
      </c>
      <c r="F19" s="1751">
        <f>SUM(F4:F18)</f>
        <v>2084931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F53" sqref="F53:G5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2077</v>
      </c>
      <c r="B31" s="733">
        <v>38292</v>
      </c>
      <c r="C31" s="734">
        <v>899983</v>
      </c>
      <c r="D31" s="735">
        <v>6</v>
      </c>
      <c r="E31" s="734">
        <v>683936</v>
      </c>
      <c r="F31" s="734"/>
      <c r="G31" s="734"/>
      <c r="H31" s="734">
        <v>132956</v>
      </c>
      <c r="I31" s="1756">
        <f>((E31+F31)-H31)+G31</f>
        <v>550980</v>
      </c>
      <c r="J31" s="734">
        <v>468780</v>
      </c>
      <c r="K31" s="736"/>
    </row>
    <row r="32" spans="1:11" ht="12" customHeight="1" x14ac:dyDescent="0.2">
      <c r="A32" s="732" t="s">
        <v>2078</v>
      </c>
      <c r="B32" s="733">
        <v>42219</v>
      </c>
      <c r="C32" s="734">
        <v>314600</v>
      </c>
      <c r="D32" s="735">
        <v>3</v>
      </c>
      <c r="E32" s="734">
        <v>211900</v>
      </c>
      <c r="F32" s="734"/>
      <c r="G32" s="734"/>
      <c r="H32" s="734">
        <v>106900</v>
      </c>
      <c r="I32" s="1756">
        <f>((E32+F32)-H32)+G32</f>
        <v>105000</v>
      </c>
      <c r="J32" s="734">
        <v>0</v>
      </c>
      <c r="K32" s="736"/>
    </row>
    <row r="33" spans="1:11" ht="12" customHeight="1" x14ac:dyDescent="0.2">
      <c r="A33" s="732" t="s">
        <v>2079</v>
      </c>
      <c r="B33" s="733">
        <v>43279</v>
      </c>
      <c r="C33" s="734">
        <v>192000</v>
      </c>
      <c r="D33" s="735">
        <v>4</v>
      </c>
      <c r="E33" s="734">
        <v>192000</v>
      </c>
      <c r="F33" s="734"/>
      <c r="G33" s="734"/>
      <c r="H33" s="734"/>
      <c r="I33" s="1756">
        <f t="shared" ref="I33:I48" si="1">((E33+F33)-H33)+G33</f>
        <v>192000</v>
      </c>
      <c r="J33" s="734">
        <v>192000</v>
      </c>
      <c r="K33" s="736"/>
    </row>
    <row r="34" spans="1:11" ht="12" customHeight="1" x14ac:dyDescent="0.2">
      <c r="A34" s="732" t="s">
        <v>2080</v>
      </c>
      <c r="B34" s="733">
        <v>43320</v>
      </c>
      <c r="C34" s="734">
        <v>250000</v>
      </c>
      <c r="D34" s="735">
        <v>7</v>
      </c>
      <c r="E34" s="734"/>
      <c r="F34" s="734">
        <v>250000</v>
      </c>
      <c r="G34" s="734"/>
      <c r="H34" s="734"/>
      <c r="I34" s="1756">
        <f t="shared" si="1"/>
        <v>250000</v>
      </c>
      <c r="J34" s="734">
        <v>250000</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1656583</v>
      </c>
      <c r="D49" s="745"/>
      <c r="E49" s="1756">
        <f t="shared" ref="E49:J49" si="2">SUM(E31:E48)</f>
        <v>1087836</v>
      </c>
      <c r="F49" s="1756">
        <f t="shared" si="2"/>
        <v>250000</v>
      </c>
      <c r="G49" s="1756">
        <f t="shared" si="2"/>
        <v>0</v>
      </c>
      <c r="H49" s="1756">
        <f t="shared" si="2"/>
        <v>239856</v>
      </c>
      <c r="I49" s="1756">
        <f t="shared" si="2"/>
        <v>1097980</v>
      </c>
      <c r="J49" s="1756">
        <f t="shared" si="2"/>
        <v>910780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2081</v>
      </c>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9046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9046</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9046</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9046</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37000</v>
      </c>
      <c r="D5" s="841"/>
      <c r="E5" s="841"/>
      <c r="F5" s="1760">
        <f>(C5+D5)-E5</f>
        <v>37000</v>
      </c>
      <c r="G5" s="837"/>
      <c r="H5" s="842"/>
      <c r="I5" s="842"/>
      <c r="J5" s="842"/>
      <c r="K5" s="793"/>
      <c r="L5" s="1769">
        <f>F5-K5</f>
        <v>37000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9821471</v>
      </c>
      <c r="D8" s="844">
        <v>407127</v>
      </c>
      <c r="E8" s="844">
        <v>34935</v>
      </c>
      <c r="F8" s="1760">
        <f>(C8+D8)-E8</f>
        <v>10193663</v>
      </c>
      <c r="G8" s="843">
        <v>50</v>
      </c>
      <c r="H8" s="765">
        <v>3727812</v>
      </c>
      <c r="I8" s="765">
        <v>178593</v>
      </c>
      <c r="J8" s="765">
        <v>34935</v>
      </c>
      <c r="K8" s="1769">
        <f>(H8+I8)-J8</f>
        <v>3871470</v>
      </c>
      <c r="L8" s="1769">
        <f>F8-K8</f>
        <v>6322193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88829</v>
      </c>
      <c r="D10" s="846"/>
      <c r="E10" s="846"/>
      <c r="F10" s="1764">
        <f>(C10+D10)-E10</f>
        <v>88829</v>
      </c>
      <c r="G10" s="843">
        <v>20</v>
      </c>
      <c r="H10" s="847">
        <v>88829</v>
      </c>
      <c r="I10" s="847"/>
      <c r="J10" s="847"/>
      <c r="K10" s="1769">
        <f>(H10+I10)-J10</f>
        <v>88829</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144658</v>
      </c>
      <c r="D12" s="844">
        <v>12215</v>
      </c>
      <c r="E12" s="844">
        <v>51711</v>
      </c>
      <c r="F12" s="1760">
        <f>(C12+D12)-E12</f>
        <v>105162</v>
      </c>
      <c r="G12" s="843">
        <v>10</v>
      </c>
      <c r="H12" s="765">
        <v>137350</v>
      </c>
      <c r="I12" s="765">
        <v>2291</v>
      </c>
      <c r="J12" s="765">
        <v>51711</v>
      </c>
      <c r="K12" s="1769">
        <f>(H12+I12)-J12</f>
        <v>87930</v>
      </c>
      <c r="L12" s="1769">
        <f>F12-K12</f>
        <v>17232</v>
      </c>
    </row>
    <row r="13" spans="1:14" ht="14.25" thickTop="1" thickBot="1" x14ac:dyDescent="0.25">
      <c r="A13" s="848" t="s">
        <v>1122</v>
      </c>
      <c r="B13" s="840">
        <v>252</v>
      </c>
      <c r="C13" s="844">
        <v>306863</v>
      </c>
      <c r="D13" s="844">
        <v>45230</v>
      </c>
      <c r="E13" s="844">
        <v>30800</v>
      </c>
      <c r="F13" s="1760">
        <f>(C13+D13)-E13</f>
        <v>321293</v>
      </c>
      <c r="G13" s="843">
        <v>5</v>
      </c>
      <c r="H13" s="765">
        <v>235829</v>
      </c>
      <c r="I13" s="765">
        <v>42143</v>
      </c>
      <c r="J13" s="765">
        <v>30800</v>
      </c>
      <c r="K13" s="1769">
        <f>(H13+I13)-J13</f>
        <v>247172</v>
      </c>
      <c r="L13" s="1769">
        <f>F13-K13</f>
        <v>74121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10398821</v>
      </c>
      <c r="D16" s="1760">
        <f>SUM(D3,D5:D6,D8:D10,D12:D15)</f>
        <v>464572</v>
      </c>
      <c r="E16" s="1760">
        <f>SUM(E3,E5:E6,E8:E10,E12:E15)</f>
        <v>117446</v>
      </c>
      <c r="F16" s="1760">
        <f>SUM(F3,F5:F6,F8:F10,F12:F15)</f>
        <v>10745947</v>
      </c>
      <c r="G16" s="843"/>
      <c r="H16" s="1760">
        <f>SUM(H3,H6,H8:H10,H12:H14,)</f>
        <v>4189820</v>
      </c>
      <c r="I16" s="1760">
        <f>SUM(I3,I6,I8:I10,I12:I14,)</f>
        <v>223027</v>
      </c>
      <c r="J16" s="1760">
        <f>SUM(J3,J6,J8:J10,J12:J14,)</f>
        <v>117446</v>
      </c>
      <c r="K16" s="1760">
        <f>(H16+I16)-J16</f>
        <v>4295401</v>
      </c>
      <c r="L16" s="1760">
        <f>F16-K16</f>
        <v>6450546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5988</v>
      </c>
      <c r="G17" s="837">
        <v>10</v>
      </c>
      <c r="H17" s="769"/>
      <c r="I17" s="1769">
        <f>F17/G17</f>
        <v>598.79999999999995</v>
      </c>
      <c r="J17" s="769"/>
      <c r="K17" s="795"/>
      <c r="L17" s="795"/>
    </row>
    <row r="18" spans="1:12" ht="14.25" thickTop="1" thickBot="1" x14ac:dyDescent="0.25">
      <c r="A18" s="1767" t="s">
        <v>685</v>
      </c>
      <c r="B18" s="1768"/>
      <c r="C18" s="771"/>
      <c r="D18" s="771"/>
      <c r="E18" s="771"/>
      <c r="F18" s="850"/>
      <c r="G18" s="851"/>
      <c r="H18" s="773"/>
      <c r="I18" s="1760">
        <f>SUM(I16,I17)</f>
        <v>223625.8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8" activePane="bottomLeft" state="frozen"/>
      <selection activeCell="A13" sqref="A13:H13"/>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3567013</v>
      </c>
      <c r="G8" s="865"/>
    </row>
    <row r="9" spans="1:7" x14ac:dyDescent="0.2">
      <c r="A9" s="869" t="s">
        <v>460</v>
      </c>
      <c r="B9" s="870" t="s">
        <v>1877</v>
      </c>
      <c r="C9" s="871"/>
      <c r="D9" s="869" t="s">
        <v>501</v>
      </c>
      <c r="E9" s="868"/>
      <c r="F9" s="1909">
        <f>'Expenditures 15-22'!K151</f>
        <v>594331</v>
      </c>
      <c r="G9" s="872"/>
    </row>
    <row r="10" spans="1:7" x14ac:dyDescent="0.2">
      <c r="A10" s="869" t="s">
        <v>499</v>
      </c>
      <c r="B10" s="870" t="s">
        <v>1878</v>
      </c>
      <c r="C10" s="871"/>
      <c r="D10" s="869" t="s">
        <v>501</v>
      </c>
      <c r="E10" s="868"/>
      <c r="F10" s="1909">
        <f>'Expenditures 15-22'!K174</f>
        <v>555016</v>
      </c>
      <c r="G10" s="872"/>
    </row>
    <row r="11" spans="1:7" x14ac:dyDescent="0.2">
      <c r="A11" s="869" t="s">
        <v>461</v>
      </c>
      <c r="B11" s="870" t="s">
        <v>1879</v>
      </c>
      <c r="C11" s="871"/>
      <c r="D11" s="869" t="s">
        <v>501</v>
      </c>
      <c r="E11" s="868"/>
      <c r="F11" s="1909">
        <f>'Expenditures 15-22'!K210</f>
        <v>236137</v>
      </c>
      <c r="G11" s="872"/>
    </row>
    <row r="12" spans="1:7" x14ac:dyDescent="0.2">
      <c r="A12" s="869" t="s">
        <v>462</v>
      </c>
      <c r="B12" s="870" t="s">
        <v>1880</v>
      </c>
      <c r="C12" s="871"/>
      <c r="D12" s="869" t="s">
        <v>501</v>
      </c>
      <c r="E12" s="868"/>
      <c r="F12" s="1909">
        <f>'Expenditures 15-22'!K295</f>
        <v>144871</v>
      </c>
      <c r="G12" s="872"/>
    </row>
    <row r="13" spans="1:7" x14ac:dyDescent="0.2">
      <c r="A13" s="869" t="s">
        <v>106</v>
      </c>
      <c r="B13" s="870" t="s">
        <v>1881</v>
      </c>
      <c r="C13" s="871"/>
      <c r="D13" s="869" t="s">
        <v>501</v>
      </c>
      <c r="E13" s="868"/>
      <c r="F13" s="1909">
        <f>'Expenditures 15-22'!K342</f>
        <v>254972</v>
      </c>
      <c r="G13" s="873"/>
    </row>
    <row r="14" spans="1:7" ht="12" customHeight="1" thickBot="1" x14ac:dyDescent="0.25">
      <c r="A14" s="1770"/>
      <c r="B14" s="1771"/>
      <c r="C14" s="1772"/>
      <c r="D14" s="1773" t="s">
        <v>501</v>
      </c>
      <c r="E14" s="1774" t="s">
        <v>958</v>
      </c>
      <c r="F14" s="1775">
        <f>SUM(F8:F13)</f>
        <v>5352340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109000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95034</v>
      </c>
      <c r="G52" s="865"/>
    </row>
    <row r="53" spans="1:7" x14ac:dyDescent="0.2">
      <c r="A53" s="869" t="s">
        <v>459</v>
      </c>
      <c r="B53" s="869" t="s">
        <v>1475</v>
      </c>
      <c r="C53" s="889">
        <f>'Expenditures 15-22'!B102</f>
        <v>4000</v>
      </c>
      <c r="D53" s="888" t="str">
        <f>'Expenditures 15-22'!A102</f>
        <v>Total Payments to Other Govt Units</v>
      </c>
      <c r="E53" s="868"/>
      <c r="F53" s="1913">
        <f>'Expenditures 15-22'!K102</f>
        <v>226724</v>
      </c>
      <c r="G53" s="865"/>
    </row>
    <row r="54" spans="1:7" x14ac:dyDescent="0.2">
      <c r="A54" s="869" t="s">
        <v>459</v>
      </c>
      <c r="B54" s="869" t="s">
        <v>1476</v>
      </c>
      <c r="C54" s="889" t="s">
        <v>982</v>
      </c>
      <c r="D54" s="885" t="s">
        <v>1095</v>
      </c>
      <c r="E54" s="868"/>
      <c r="F54" s="1913">
        <f>'Expenditures 15-22'!G114</f>
        <v>45230</v>
      </c>
      <c r="G54" s="865"/>
    </row>
    <row r="55" spans="1:7" x14ac:dyDescent="0.2">
      <c r="A55" s="869" t="s">
        <v>459</v>
      </c>
      <c r="B55" s="869" t="s">
        <v>1477</v>
      </c>
      <c r="C55" s="889" t="s">
        <v>982</v>
      </c>
      <c r="D55" s="885" t="s">
        <v>291</v>
      </c>
      <c r="E55" s="868"/>
      <c r="F55" s="1913">
        <f>'Expenditures 15-22'!I114</f>
        <v>5988</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261319</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239856</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4108</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11469</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998728</v>
      </c>
      <c r="G76" s="865"/>
    </row>
    <row r="77" spans="1:8" s="893" customFormat="1" ht="12" customHeight="1" thickTop="1" thickBot="1" x14ac:dyDescent="0.25">
      <c r="A77" s="1779"/>
      <c r="B77" s="1776"/>
      <c r="C77" s="1772"/>
      <c r="D77" s="1777" t="s">
        <v>1900</v>
      </c>
      <c r="E77" s="1774"/>
      <c r="F77" s="1780">
        <f>(F14-F76)</f>
        <v>4353612</v>
      </c>
      <c r="G77" s="869"/>
    </row>
    <row r="78" spans="1:8" s="893" customFormat="1" ht="12" customHeight="1" thickTop="1" x14ac:dyDescent="0.2">
      <c r="A78" s="1781"/>
      <c r="B78" s="1776"/>
      <c r="C78" s="1772"/>
      <c r="D78" s="1777" t="s">
        <v>2062</v>
      </c>
      <c r="E78" s="1774"/>
      <c r="F78" s="898">
        <v>416.04</v>
      </c>
      <c r="G78" s="899"/>
      <c r="H78" s="869"/>
    </row>
    <row r="79" spans="1:8" s="893" customFormat="1" ht="12" customHeight="1" thickBot="1" x14ac:dyDescent="0.25">
      <c r="A79" s="1782"/>
      <c r="B79" s="1776"/>
      <c r="C79" s="1772"/>
      <c r="D79" s="1777" t="s">
        <v>1901</v>
      </c>
      <c r="E79" s="1774" t="s">
        <v>958</v>
      </c>
      <c r="F79" s="1783">
        <f>IF(F78&gt;0,F77/F78," Complete Line 78")</f>
        <v>10464.407268531872</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28812</v>
      </c>
      <c r="G94" s="912"/>
    </row>
    <row r="95" spans="1:7" x14ac:dyDescent="0.2">
      <c r="A95" s="908" t="s">
        <v>140</v>
      </c>
      <c r="B95" s="908" t="s">
        <v>175</v>
      </c>
      <c r="C95" s="910">
        <v>1700</v>
      </c>
      <c r="D95" s="918" t="str">
        <f>'Revenues 9-14'!A82</f>
        <v>Total District/School Activity Income</v>
      </c>
      <c r="E95" s="906"/>
      <c r="F95" s="1789">
        <f>SUM('Revenues 9-14'!C82,'Revenues 9-14'!D82)</f>
        <v>1242</v>
      </c>
      <c r="G95" s="912"/>
    </row>
    <row r="96" spans="1:7" x14ac:dyDescent="0.2">
      <c r="A96" s="908" t="s">
        <v>459</v>
      </c>
      <c r="B96" s="908" t="s">
        <v>176</v>
      </c>
      <c r="C96" s="910">
        <f>'Revenues 9-14'!B84</f>
        <v>1811</v>
      </c>
      <c r="D96" s="911" t="str">
        <f>'Revenues 9-14'!A84</f>
        <v>Rentals - Regular Textbooks</v>
      </c>
      <c r="E96" s="906"/>
      <c r="F96" s="1789">
        <f>'Revenues 9-14'!C84</f>
        <v>7248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137952</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88281</v>
      </c>
      <c r="G104" s="912"/>
    </row>
    <row r="105" spans="1:7" x14ac:dyDescent="0.2">
      <c r="A105" s="908" t="s">
        <v>503</v>
      </c>
      <c r="B105" s="908" t="s">
        <v>2003</v>
      </c>
      <c r="C105" s="913">
        <v>3100</v>
      </c>
      <c r="D105" s="919" t="str">
        <f>'Revenues 9-14'!A132</f>
        <v>Total Special Education</v>
      </c>
      <c r="E105" s="906"/>
      <c r="F105" s="1789">
        <f>SUM('Revenues 9-14'!C132:D132,'Revenues 9-14'!F132)</f>
        <v>47554</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3488</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112155</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8000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177950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212367</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16225</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82615</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21076</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8624</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18817</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163736</v>
      </c>
      <c r="G171" s="927"/>
    </row>
    <row r="172" spans="1:7" x14ac:dyDescent="0.2">
      <c r="A172" s="1918" t="s">
        <v>664</v>
      </c>
      <c r="B172" s="1919" t="s">
        <v>1920</v>
      </c>
      <c r="C172" s="1920">
        <v>3300</v>
      </c>
      <c r="D172" s="1921" t="s">
        <v>1923</v>
      </c>
      <c r="E172" s="906"/>
      <c r="F172" s="1906">
        <v>89</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1136231</v>
      </c>
    </row>
    <row r="175" spans="1:7" ht="12" customHeight="1" x14ac:dyDescent="0.2">
      <c r="A175" s="1770"/>
      <c r="B175" s="1784"/>
      <c r="C175" s="1785"/>
      <c r="D175" s="1786" t="s">
        <v>2057</v>
      </c>
      <c r="E175" s="1787"/>
      <c r="F175" s="1789">
        <f>'PCTC-OEPP 27-28'!F77-F174</f>
        <v>3217381</v>
      </c>
    </row>
    <row r="176" spans="1:7" ht="12" customHeight="1" x14ac:dyDescent="0.2">
      <c r="A176" s="1770"/>
      <c r="B176" s="1784"/>
      <c r="C176" s="1785"/>
      <c r="D176" s="1786" t="s">
        <v>1817</v>
      </c>
      <c r="E176" s="1787"/>
      <c r="F176" s="1789">
        <f>'Cap Outlay Deprec 26'!I18</f>
        <v>223625.8</v>
      </c>
    </row>
    <row r="177" spans="1:7" ht="12" customHeight="1" x14ac:dyDescent="0.2">
      <c r="A177" s="1770"/>
      <c r="B177" s="1784"/>
      <c r="C177" s="1785"/>
      <c r="D177" s="1786" t="s">
        <v>2058</v>
      </c>
      <c r="E177" s="1787"/>
      <c r="F177" s="1789">
        <f>F175+F176</f>
        <v>3441006.8</v>
      </c>
    </row>
    <row r="178" spans="1:7" ht="12" customHeight="1" x14ac:dyDescent="0.2">
      <c r="A178" s="1770"/>
      <c r="B178" s="1790"/>
      <c r="C178" s="1785"/>
      <c r="D178" s="1786" t="str">
        <f>D78</f>
        <v>9 Month ADA from District Average Daily Attendance/Prior General State Aid Inquiry 2018-2019</v>
      </c>
      <c r="E178" s="1787"/>
      <c r="F178" s="1791">
        <f>'PCTC-OEPP 27-28'!F78</f>
        <v>416.04</v>
      </c>
      <c r="G178" s="930"/>
    </row>
    <row r="179" spans="1:7" ht="12" customHeight="1" thickBot="1" x14ac:dyDescent="0.25">
      <c r="A179" s="1770"/>
      <c r="B179" s="1790"/>
      <c r="C179" s="1785"/>
      <c r="D179" s="1786" t="s">
        <v>2059</v>
      </c>
      <c r="E179" s="1787" t="s">
        <v>1545</v>
      </c>
      <c r="F179" s="1792">
        <f>F177/F178</f>
        <v>8270.8556869531767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9" sqref="A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2082</v>
      </c>
      <c r="B17" s="1934" t="s">
        <v>2083</v>
      </c>
      <c r="C17" s="1938" t="s">
        <v>2084</v>
      </c>
      <c r="D17" s="1844">
        <v>113143</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88143</v>
      </c>
      <c r="H17" s="1647"/>
    </row>
    <row r="18" spans="1:8" x14ac:dyDescent="0.25">
      <c r="A18" s="1937" t="s">
        <v>2085</v>
      </c>
      <c r="B18" s="1934" t="s">
        <v>2086</v>
      </c>
      <c r="C18" s="1938" t="s">
        <v>2087</v>
      </c>
      <c r="D18" s="1844">
        <v>232777</v>
      </c>
      <c r="E18" s="1540">
        <f t="shared" ref="E18:E140" si="2">IF(D18&lt;=25000,D18,IF(D18&gt;25000,25000,0))</f>
        <v>25000</v>
      </c>
      <c r="F18" s="1932">
        <f t="shared" si="1"/>
        <v>25000</v>
      </c>
      <c r="G18" s="1793">
        <f t="shared" ref="G18:G140" si="3">IF(F18=0,0,D18-F18)</f>
        <v>207777</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345920</v>
      </c>
      <c r="E141" s="1541">
        <f t="shared" si="0"/>
        <v>25000</v>
      </c>
      <c r="F141" s="1933">
        <f>SUM(F17:F140)</f>
        <v>50000</v>
      </c>
      <c r="G141" s="1795">
        <f>SUM(G17:G140)</f>
        <v>295920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102373</v>
      </c>
      <c r="F10" s="974"/>
      <c r="G10" s="975"/>
      <c r="H10" s="162"/>
      <c r="I10" s="162"/>
    </row>
    <row r="11" spans="1:9" s="668" customFormat="1" ht="22.5" customHeight="1" x14ac:dyDescent="0.2">
      <c r="A11" s="2285" t="s">
        <v>1977</v>
      </c>
      <c r="B11" s="2286"/>
      <c r="C11" s="2286"/>
      <c r="D11" s="2287"/>
      <c r="E11" s="977">
        <v>18311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2441813</v>
      </c>
      <c r="F19" s="1799"/>
      <c r="G19" s="1801">
        <f>'Expenditures 15-22'!K33-SUM('Expenditures 15-22'!G33,'Expenditures 15-22'!I33)+'Expenditures 15-22'!D229</f>
        <v>2441813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161161</v>
      </c>
      <c r="F21" s="1802"/>
      <c r="G21" s="1805">
        <f>'Expenditures 15-22'!K42-SUM('Expenditures 15-22'!G42,'Expenditures 15-22'!I42)+'Expenditures 15-22'!K120-SUM('Expenditures 15-22'!G120,'Expenditures 15-22'!I120)+'Expenditures 15-22'!K180-SUM('Expenditures 15-22'!G180,'Expenditures 15-22'!I180)+'Expenditures 15-22'!D238</f>
        <v>161161</v>
      </c>
      <c r="H21" s="987"/>
      <c r="I21" s="162"/>
    </row>
    <row r="22" spans="1:9" s="668" customFormat="1" ht="12" customHeight="1" x14ac:dyDescent="0.2">
      <c r="A22" s="994" t="s">
        <v>564</v>
      </c>
      <c r="B22" s="995"/>
      <c r="C22" s="993">
        <v>2200</v>
      </c>
      <c r="D22" s="1802"/>
      <c r="E22" s="1804">
        <f>'Expenditures 15-22'!K47-SUM('Expenditures 15-22'!G47,'Expenditures 15-22'!I47)+'Expenditures 15-22'!D243</f>
        <v>136222</v>
      </c>
      <c r="F22" s="1802"/>
      <c r="G22" s="1805">
        <f>'Expenditures 15-22'!K47-SUM('Expenditures 15-22'!G47,'Expenditures 15-22'!I47)+'Expenditures 15-22'!D243</f>
        <v>136222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437759</v>
      </c>
      <c r="F23" s="1802"/>
      <c r="G23" s="1804">
        <f>'Expenditures 15-22'!K53-SUM('Expenditures 15-22'!G53,'Expenditures 15-22'!I53)+'Expenditures 15-22'!D257+'Expenditures 15-22'!K330-SUM('Expenditures 15-22'!G330,'Expenditures 15-22'!I330)</f>
        <v>437759</v>
      </c>
      <c r="H23" s="987"/>
      <c r="I23" s="162"/>
    </row>
    <row r="24" spans="1:9" s="668" customFormat="1" ht="12" customHeight="1" x14ac:dyDescent="0.2">
      <c r="A24" s="994" t="s">
        <v>566</v>
      </c>
      <c r="B24" s="995"/>
      <c r="C24" s="993">
        <v>2400</v>
      </c>
      <c r="D24" s="1802"/>
      <c r="E24" s="1804">
        <f>'Expenditures 15-22'!K57-SUM('Expenditures 15-22'!G57,'Expenditures 15-22'!I57)+'Expenditures 15-22'!D261</f>
        <v>131236</v>
      </c>
      <c r="F24" s="1802"/>
      <c r="G24" s="1805">
        <f>'Expenditures 15-22'!K57-SUM('Expenditures 15-22'!G57,'Expenditures 15-22'!I57)+'Expenditures 15-22'!D261</f>
        <v>131236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50264</v>
      </c>
      <c r="E27" s="1804">
        <f>E8</f>
        <v>0</v>
      </c>
      <c r="F27" s="1804">
        <f>'Expenditures 15-22'!K60-SUM('Expenditures 15-22'!G60,'Expenditures 15-22'!I60)+'Expenditures 15-22'!D264-E8</f>
        <v>50264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383872</v>
      </c>
      <c r="F28" s="1806">
        <f>'Expenditures 15-22'!K61-SUM('Expenditures 15-22'!G61,'Expenditures 15-22'!I61)+'Expenditures 15-22'!K124-SUM('Expenditures 15-22'!G124,'Expenditures 15-22'!I124)+'Expenditures 15-22'!D266-E9</f>
        <v>383872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236137</v>
      </c>
      <c r="F29" s="1802"/>
      <c r="G29" s="1805">
        <f>'Expenditures 15-22'!K62-SUM('Expenditures 15-22'!G62,'Expenditures 15-22'!I62)+'Expenditures 15-22'!K125-SUM('Expenditures 15-22'!G125,'Expenditures 15-22'!I125)+'Expenditures 15-22'!K182-SUM('Expenditures 15-22'!G182,'Expenditures 15-22'!I182)+'Expenditures 15-22'!D267</f>
        <v>236137</v>
      </c>
      <c r="H29" s="985"/>
    </row>
    <row r="30" spans="1:9" ht="12" customHeight="1" x14ac:dyDescent="0.2">
      <c r="A30" s="994" t="s">
        <v>100</v>
      </c>
      <c r="B30" s="997"/>
      <c r="C30" s="993">
        <v>2560</v>
      </c>
      <c r="D30" s="1802"/>
      <c r="E30" s="1804">
        <f>'Expenditures 15-22'!K63-SUM('Expenditures 15-22'!G63,'Expenditures 15-22'!I63)+'Expenditures 15-22'!D268-E10</f>
        <v>60212</v>
      </c>
      <c r="F30" s="1802"/>
      <c r="G30" s="1804">
        <f>'Expenditures 15-22'!K63-SUM('Expenditures 15-22'!G63,'Expenditures 15-22'!I63)+'Expenditures 15-22'!D268-E10</f>
        <v>60212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6102</v>
      </c>
      <c r="F38" s="1802"/>
      <c r="G38" s="1804">
        <f>'Expenditures 15-22'!K73-SUM('Expenditures 15-22'!G73,'Expenditures 15-22'!I73)+'Expenditures 15-22'!K128-SUM('Expenditures 15-22'!G128,'Expenditures 15-22'!I128)+'Expenditures 15-22'!K183-SUM('Expenditures 15-22'!G183,'Expenditures 15-22'!I183)+'Expenditures 15-22'!D278</f>
        <v>6102</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106503</v>
      </c>
      <c r="F39" s="1802"/>
      <c r="G39" s="1804">
        <f>'Expenditures 15-22'!K75-SUM('Expenditures 15-22'!G75,'Expenditures 15-22'!I75)+'Expenditures 15-22'!K130-SUM('Expenditures 15-22'!G130,'Expenditures 15-22'!I130)+'Expenditures 15-22'!K185-SUM('Expenditures 15-22'!G185,'Expenditures 15-22'!I185)+'Expenditures 15-22'!D280</f>
        <v>106503</v>
      </c>
    </row>
    <row r="40" spans="1:7" ht="12" customHeight="1" x14ac:dyDescent="0.2">
      <c r="A40" s="990" t="s">
        <v>1823</v>
      </c>
      <c r="B40" s="991"/>
      <c r="C40" s="993"/>
      <c r="D40" s="1802"/>
      <c r="E40" s="1806">
        <f>-'Contracts Paid in CY 29'!G141</f>
        <v>-295920</v>
      </c>
      <c r="F40" s="1802"/>
      <c r="G40" s="1806">
        <f>-'Contracts Paid in CY 29'!G141</f>
        <v>-295920</v>
      </c>
    </row>
    <row r="41" spans="1:7" ht="12" customHeight="1" x14ac:dyDescent="0.2">
      <c r="A41" s="998" t="s">
        <v>156</v>
      </c>
      <c r="B41" s="999"/>
      <c r="C41" s="1000"/>
      <c r="D41" s="1806">
        <f>SUM(D19:D39)</f>
        <v>50264</v>
      </c>
      <c r="E41" s="1806">
        <f>SUM(E19:E40)</f>
        <v>3805097</v>
      </c>
      <c r="F41" s="1806">
        <f>SUM(F19:F39)</f>
        <v>434136</v>
      </c>
      <c r="G41" s="1806">
        <f>SUM(G19:G40)</f>
        <v>3421225</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50264</v>
      </c>
      <c r="F43" s="1807" t="s">
        <v>473</v>
      </c>
      <c r="G43" s="1808">
        <f>F41</f>
        <v>434136</v>
      </c>
    </row>
    <row r="44" spans="1:7" ht="12" customHeight="1" x14ac:dyDescent="0.2">
      <c r="A44" s="987"/>
      <c r="B44" s="162"/>
      <c r="C44" s="1001"/>
      <c r="D44" s="1807" t="s">
        <v>474</v>
      </c>
      <c r="E44" s="1808">
        <f>E41</f>
        <v>3805097</v>
      </c>
      <c r="F44" s="1807" t="s">
        <v>474</v>
      </c>
      <c r="G44" s="1808">
        <f>G41</f>
        <v>3421225</v>
      </c>
    </row>
    <row r="45" spans="1:7" ht="12" customHeight="1" x14ac:dyDescent="0.2">
      <c r="A45" s="987"/>
      <c r="B45" s="162"/>
      <c r="C45" s="162"/>
      <c r="D45" s="1809" t="s">
        <v>1006</v>
      </c>
      <c r="E45" s="1810">
        <f>(E43/E44)</f>
        <v>1.3209650108788291E-2</v>
      </c>
      <c r="F45" s="1809" t="s">
        <v>1006</v>
      </c>
      <c r="G45" s="1810">
        <f>(G43/G44)</f>
        <v>0.12689489875702417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C31" sqref="C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High Mount SD 116</v>
      </c>
      <c r="D6" s="2306"/>
      <c r="E6" s="2306"/>
      <c r="F6" s="1852"/>
    </row>
    <row r="7" spans="1:10" ht="11.25" customHeight="1" thickBot="1" x14ac:dyDescent="0.3">
      <c r="A7" s="1850"/>
      <c r="B7" s="1851"/>
      <c r="C7" s="2307">
        <f>COVER!A13</f>
        <v>50082116002</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2073</v>
      </c>
      <c r="D16" s="1865" t="s">
        <v>2073</v>
      </c>
      <c r="E16" s="1868"/>
      <c r="F16" s="1867" t="s">
        <v>2084</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c r="F26" s="1867" t="s">
        <v>2088</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2073</v>
      </c>
      <c r="D30" s="1865" t="s">
        <v>2073</v>
      </c>
      <c r="E30" s="1868"/>
      <c r="F30" s="1867" t="s">
        <v>2089</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3" sqref="A13: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High Mount SD 116</v>
      </c>
      <c r="J6" s="2316"/>
      <c r="Q6" s="1664"/>
    </row>
    <row r="7" spans="1:17" x14ac:dyDescent="0.2">
      <c r="A7" s="2317" t="s">
        <v>869</v>
      </c>
      <c r="B7" s="2318"/>
      <c r="C7" s="2318"/>
      <c r="D7" s="2318"/>
      <c r="E7" s="2319"/>
      <c r="F7" s="1017"/>
      <c r="G7" s="1009"/>
      <c r="H7" s="1016" t="s">
        <v>372</v>
      </c>
      <c r="I7" s="2320">
        <f>COVER!A13</f>
        <v>50082116002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122600</v>
      </c>
      <c r="F12" s="1039"/>
      <c r="G12" s="1811">
        <f t="shared" ref="G12:G18" si="0">SUM(E12:F12)</f>
        <v>122600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122600</v>
      </c>
      <c r="F19" s="1813">
        <f t="shared" si="2"/>
        <v>0</v>
      </c>
      <c r="G19" s="1813">
        <f t="shared" si="2"/>
        <v>122600</v>
      </c>
      <c r="H19" s="1813">
        <f t="shared" si="2"/>
        <v>0</v>
      </c>
      <c r="I19" s="1813">
        <f t="shared" si="2"/>
        <v>0</v>
      </c>
      <c r="J19" s="1813">
        <f t="shared" si="2"/>
        <v>0</v>
      </c>
    </row>
    <row r="20" spans="1:10" ht="13.5" thickTop="1" x14ac:dyDescent="0.2">
      <c r="A20" s="1035">
        <v>9</v>
      </c>
      <c r="B20" s="2327" t="s">
        <v>1981</v>
      </c>
      <c r="C20" s="2327"/>
      <c r="D20" s="2328"/>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2090</v>
      </c>
    </row>
    <row r="6" spans="1:2" x14ac:dyDescent="0.2">
      <c r="A6" s="1068">
        <v>2</v>
      </c>
      <c r="B6" s="329" t="s">
        <v>2091</v>
      </c>
    </row>
    <row r="7" spans="1:2" x14ac:dyDescent="0.2">
      <c r="A7" s="1068">
        <v>3</v>
      </c>
      <c r="B7" s="329" t="s">
        <v>2092</v>
      </c>
    </row>
    <row r="8" spans="1:2" x14ac:dyDescent="0.2">
      <c r="A8" s="1068">
        <v>4</v>
      </c>
      <c r="B8" s="329" t="s">
        <v>2093</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High Mount SD 116</v>
      </c>
    </row>
    <row r="65" spans="2:2" x14ac:dyDescent="0.2">
      <c r="B65" s="1070">
        <f>COVER!A13</f>
        <v>50082116002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3" sqref="A12: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3887720</v>
      </c>
      <c r="C8" s="1815">
        <f>'Acct Summary 7-8'!D8</f>
        <v>436849</v>
      </c>
      <c r="D8" s="1815">
        <f>'Acct Summary 7-8'!F8</f>
        <v>198159</v>
      </c>
      <c r="E8" s="1815">
        <f>'Acct Summary 7-8'!I8</f>
        <v>22613</v>
      </c>
      <c r="F8" s="1815">
        <f>SUM(B8:E8)</f>
        <v>4545341</v>
      </c>
    </row>
    <row r="9" spans="1:8" s="1079" customFormat="1" ht="14.25" customHeight="1" thickBot="1" x14ac:dyDescent="0.25">
      <c r="A9" s="1078" t="s">
        <v>1369</v>
      </c>
      <c r="B9" s="1816">
        <f>'Acct Summary 7-8'!C17</f>
        <v>3567013</v>
      </c>
      <c r="C9" s="1816">
        <f>'Acct Summary 7-8'!D17</f>
        <v>594331</v>
      </c>
      <c r="D9" s="1816">
        <f>'Acct Summary 7-8'!F17</f>
        <v>236137</v>
      </c>
      <c r="E9" s="1815"/>
      <c r="F9" s="1815">
        <f>SUM(B9:E9)</f>
        <v>4397481</v>
      </c>
    </row>
    <row r="10" spans="1:8" s="1079" customFormat="1" ht="14.25" thickTop="1" thickBot="1" x14ac:dyDescent="0.25">
      <c r="A10" s="1080" t="s">
        <v>1370</v>
      </c>
      <c r="B10" s="1817">
        <f>(B8-B9)</f>
        <v>320707</v>
      </c>
      <c r="C10" s="1817">
        <f>(C8-C9)</f>
        <v>-157482</v>
      </c>
      <c r="D10" s="1817">
        <f>(D8-D9)</f>
        <v>-37978</v>
      </c>
      <c r="E10" s="1816">
        <f>(E8-E9)</f>
        <v>22613</v>
      </c>
      <c r="F10" s="1818">
        <f>SUM(F8-F9)</f>
        <v>147860</v>
      </c>
    </row>
    <row r="11" spans="1:8" s="1079" customFormat="1" ht="14.25" thickTop="1" thickBot="1" x14ac:dyDescent="0.25">
      <c r="A11" s="1081" t="s">
        <v>1985</v>
      </c>
      <c r="B11" s="1819">
        <f>'Acct Summary 7-8'!C81</f>
        <v>1442652</v>
      </c>
      <c r="C11" s="1819">
        <f>'Acct Summary 7-8'!D81</f>
        <v>108486</v>
      </c>
      <c r="D11" s="1819">
        <f>'Acct Summary 7-8'!F81</f>
        <v>22058</v>
      </c>
      <c r="E11" s="1819">
        <f>'Acct Summary 7-8'!I81</f>
        <v>406667</v>
      </c>
      <c r="F11" s="1820">
        <f>SUM(B11:E11)</f>
        <v>1979863</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A13" sqref="A13:H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50082116002</v>
      </c>
    </row>
    <row r="3" spans="1:2" x14ac:dyDescent="0.2">
      <c r="A3" t="s">
        <v>956</v>
      </c>
      <c r="B3" s="138" t="str">
        <f>COVER!A15</f>
        <v>St. Clair</v>
      </c>
    </row>
    <row r="4" spans="1:2" x14ac:dyDescent="0.2">
      <c r="A4" t="s">
        <v>1007</v>
      </c>
      <c r="B4" s="138" t="str">
        <f>COVER!A17</f>
        <v>High Mount SD 116</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066-005248</v>
      </c>
    </row>
    <row r="16" spans="1:2" x14ac:dyDescent="0.2">
      <c r="A16" t="s">
        <v>422</v>
      </c>
      <c r="B16" s="138" t="str">
        <f>COVER!T13</f>
        <v>Moore &amp; Simonin, PC</v>
      </c>
    </row>
    <row r="17" spans="1:2" x14ac:dyDescent="0.2">
      <c r="A17" t="s">
        <v>884</v>
      </c>
      <c r="B17" s="138" t="str">
        <f>COVER!T15</f>
        <v>Robert E. Moore, CPA</v>
      </c>
    </row>
    <row r="18" spans="1:2" x14ac:dyDescent="0.2">
      <c r="A18" t="s">
        <v>1150</v>
      </c>
      <c r="B18" s="138" t="str">
        <f>COVER!T17</f>
        <v>3636 North Belt West</v>
      </c>
    </row>
    <row r="19" spans="1:2" x14ac:dyDescent="0.2">
      <c r="A19" t="s">
        <v>886</v>
      </c>
      <c r="B19" s="138" t="str">
        <f>COVER!T25</f>
        <v>mooresimonin@mrsaccountants.com</v>
      </c>
    </row>
    <row r="20" spans="1:2" x14ac:dyDescent="0.2">
      <c r="A20" t="s">
        <v>887</v>
      </c>
      <c r="B20" s="138" t="str">
        <f>COVER!T19</f>
        <v>Belleville</v>
      </c>
    </row>
    <row r="21" spans="1:2" x14ac:dyDescent="0.2">
      <c r="A21" t="s">
        <v>479</v>
      </c>
      <c r="B21" s="138" t="str">
        <f>COVER!X19</f>
        <v>IL</v>
      </c>
    </row>
    <row r="22" spans="1:2" x14ac:dyDescent="0.2">
      <c r="A22" t="s">
        <v>888</v>
      </c>
      <c r="B22" s="138">
        <f>COVER!Z19</f>
        <v>62226</v>
      </c>
    </row>
    <row r="23" spans="1:2" x14ac:dyDescent="0.2">
      <c r="A23" t="s">
        <v>1152</v>
      </c>
      <c r="B23" s="138" t="str">
        <f>COVER!T21</f>
        <v>618-233-5049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1444650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1998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1998</v>
      </c>
      <c r="C91" s="2" t="s">
        <v>573</v>
      </c>
      <c r="D91" s="2" t="str">
        <f t="shared" si="0"/>
        <v>Error?</v>
      </c>
    </row>
    <row r="92" spans="1:4" x14ac:dyDescent="0.2">
      <c r="A92" s="5">
        <v>31</v>
      </c>
      <c r="B92" s="138">
        <f>'Assets-Liab 5-6'!C39</f>
        <v>1442652</v>
      </c>
      <c r="D92" s="2" t="str">
        <f t="shared" si="0"/>
        <v>Error?</v>
      </c>
    </row>
    <row r="93" spans="1:4" x14ac:dyDescent="0.2">
      <c r="A93" s="5">
        <v>32</v>
      </c>
      <c r="B93" s="138">
        <f>'Assets-Liab 5-6'!C41</f>
        <v>1444650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108486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-77323</v>
      </c>
      <c r="D123" s="2" t="str">
        <f t="shared" si="0"/>
        <v>Error?</v>
      </c>
    </row>
    <row r="124" spans="1:4" x14ac:dyDescent="0.2">
      <c r="A124" s="5">
        <v>63</v>
      </c>
      <c r="B124" s="138">
        <f>'Assets-Liab 5-6'!D41</f>
        <v>108486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187200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187200</v>
      </c>
      <c r="D140" s="2" t="str">
        <f t="shared" si="1"/>
        <v>Error?</v>
      </c>
    </row>
    <row r="141" spans="1:4" x14ac:dyDescent="0.2">
      <c r="A141" s="5">
        <v>80</v>
      </c>
      <c r="B141" s="138">
        <f>'Assets-Liab 5-6'!E41</f>
        <v>187200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22058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22058</v>
      </c>
      <c r="D170" s="2" t="str">
        <f t="shared" si="1"/>
        <v>Error?</v>
      </c>
    </row>
    <row r="171" spans="1:4" x14ac:dyDescent="0.2">
      <c r="A171" s="5">
        <v>110</v>
      </c>
      <c r="B171" s="138">
        <f>'Assets-Liab 5-6'!F41</f>
        <v>22058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133773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133773</v>
      </c>
      <c r="D189" s="2" t="str">
        <f t="shared" si="1"/>
        <v>Error?</v>
      </c>
    </row>
    <row r="190" spans="1:4" x14ac:dyDescent="0.2">
      <c r="A190" s="5">
        <v>129</v>
      </c>
      <c r="B190" s="138">
        <f>'Assets-Liab 5-6'!G41</f>
        <v>133773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37000</v>
      </c>
      <c r="D273" s="2" t="str">
        <f t="shared" si="3"/>
        <v>Error?</v>
      </c>
    </row>
    <row r="274" spans="1:4" x14ac:dyDescent="0.2">
      <c r="A274" s="5">
        <v>213</v>
      </c>
      <c r="B274" s="138">
        <f>'Assets-Liab 5-6'!M17</f>
        <v>10193663</v>
      </c>
      <c r="D274" s="2" t="str">
        <f t="shared" si="3"/>
        <v>Error?</v>
      </c>
    </row>
    <row r="275" spans="1:4" x14ac:dyDescent="0.2">
      <c r="A275" s="5">
        <v>214</v>
      </c>
      <c r="B275" s="138">
        <f>'Assets-Liab 5-6'!M18</f>
        <v>88829</v>
      </c>
      <c r="D275" s="2" t="str">
        <f t="shared" si="3"/>
        <v>Error?</v>
      </c>
    </row>
    <row r="276" spans="1:4" x14ac:dyDescent="0.2">
      <c r="A276" s="5">
        <v>215</v>
      </c>
      <c r="B276" s="138">
        <f>'Assets-Liab 5-6'!M19</f>
        <v>426455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10745947</v>
      </c>
      <c r="C279" s="2" t="s">
        <v>573</v>
      </c>
      <c r="D279" s="2" t="str">
        <f t="shared" si="3"/>
        <v>Error?</v>
      </c>
    </row>
    <row r="280" spans="1:4" x14ac:dyDescent="0.2">
      <c r="A280" s="5">
        <v>219</v>
      </c>
      <c r="B280" s="138">
        <f>'Assets-Liab 5-6'!M40</f>
        <v>10745947</v>
      </c>
      <c r="D280" s="2" t="str">
        <f t="shared" si="3"/>
        <v>Error?</v>
      </c>
    </row>
    <row r="281" spans="1:4" x14ac:dyDescent="0.2">
      <c r="A281" s="5">
        <v>220</v>
      </c>
      <c r="B281" s="138">
        <f>'Assets-Liab 5-6'!M41</f>
        <v>10745947</v>
      </c>
      <c r="C281" s="2" t="s">
        <v>573</v>
      </c>
      <c r="D281" s="2" t="str">
        <f t="shared" si="3"/>
        <v>Error?</v>
      </c>
    </row>
    <row r="282" spans="1:4" x14ac:dyDescent="0.2">
      <c r="A282" s="5">
        <v>221</v>
      </c>
      <c r="B282" s="138">
        <f>'Assets-Liab 5-6'!N21</f>
        <v>187200</v>
      </c>
      <c r="D282" s="2" t="str">
        <f t="shared" si="3"/>
        <v>Error?</v>
      </c>
    </row>
    <row r="283" spans="1:4" x14ac:dyDescent="0.2">
      <c r="A283" s="5">
        <v>222</v>
      </c>
      <c r="B283" s="138">
        <f>'Assets-Liab 5-6'!N22</f>
        <v>910780</v>
      </c>
      <c r="D283" s="2" t="str">
        <f t="shared" si="3"/>
        <v>Error?</v>
      </c>
    </row>
    <row r="284" spans="1:4" x14ac:dyDescent="0.2">
      <c r="A284" s="5">
        <v>223</v>
      </c>
      <c r="B284" s="138">
        <f>'Assets-Liab 5-6'!N23</f>
        <v>1097980</v>
      </c>
      <c r="C284" s="2" t="s">
        <v>573</v>
      </c>
      <c r="D284" s="2" t="str">
        <f t="shared" si="3"/>
        <v>Error?</v>
      </c>
    </row>
    <row r="285" spans="1:4" x14ac:dyDescent="0.2">
      <c r="A285" s="5">
        <v>224</v>
      </c>
      <c r="B285" s="138">
        <f>'Assets-Liab 5-6'!N36</f>
        <v>1097980</v>
      </c>
      <c r="D285" s="2" t="str">
        <f t="shared" si="3"/>
        <v>Error?</v>
      </c>
    </row>
    <row r="286" spans="1:4" x14ac:dyDescent="0.2">
      <c r="A286" s="10">
        <v>225</v>
      </c>
      <c r="D286" s="2" t="str">
        <f t="shared" si="3"/>
        <v>OK</v>
      </c>
    </row>
    <row r="287" spans="1:4" x14ac:dyDescent="0.2">
      <c r="A287" s="5">
        <v>226</v>
      </c>
      <c r="B287" s="138">
        <f>'Assets-Liab 5-6'!N37</f>
        <v>1097980</v>
      </c>
      <c r="C287" s="2" t="s">
        <v>573</v>
      </c>
      <c r="D287" s="2" t="str">
        <f t="shared" si="3"/>
        <v>Error?</v>
      </c>
    </row>
    <row r="288" spans="1:4" x14ac:dyDescent="0.2">
      <c r="A288" s="5">
        <v>227</v>
      </c>
      <c r="B288" s="138">
        <f>'Assets-Liab 5-6'!N41</f>
        <v>1097980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1245653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1870698</v>
      </c>
      <c r="C720" s="2" t="s">
        <v>573</v>
      </c>
      <c r="D720" s="2" t="str">
        <f t="shared" si="10"/>
        <v>Error?</v>
      </c>
    </row>
    <row r="721" spans="1:4" x14ac:dyDescent="0.2">
      <c r="A721" s="5">
        <v>660</v>
      </c>
      <c r="B721" s="138">
        <f>'Expenditures 15-22'!C36</f>
        <v>39842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34843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57345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132030</v>
      </c>
      <c r="C727" s="2" t="s">
        <v>573</v>
      </c>
      <c r="D727" s="2" t="str">
        <f t="shared" si="10"/>
        <v>Error?</v>
      </c>
    </row>
    <row r="728" spans="1:4" x14ac:dyDescent="0.2">
      <c r="A728" s="5">
        <v>667</v>
      </c>
      <c r="B728" s="138">
        <f>'Expenditures 15-22'!C44</f>
        <v>645</v>
      </c>
      <c r="D728" s="2" t="str">
        <f t="shared" si="10"/>
        <v>Error?</v>
      </c>
    </row>
    <row r="729" spans="1:4" x14ac:dyDescent="0.2">
      <c r="A729" s="5">
        <v>668</v>
      </c>
      <c r="B729" s="138">
        <f>'Expenditures 15-22'!C45</f>
        <v>81873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82518</v>
      </c>
      <c r="C731" s="2" t="s">
        <v>573</v>
      </c>
      <c r="D731" s="2" t="str">
        <f t="shared" si="10"/>
        <v>Error?</v>
      </c>
    </row>
    <row r="732" spans="1:4" x14ac:dyDescent="0.2">
      <c r="A732" s="5">
        <v>671</v>
      </c>
      <c r="B732" s="138">
        <f>'Expenditures 15-22'!C49</f>
        <v>31931</v>
      </c>
      <c r="D732" s="2" t="str">
        <f t="shared" si="10"/>
        <v>Error?</v>
      </c>
    </row>
    <row r="733" spans="1:4" x14ac:dyDescent="0.2">
      <c r="A733" s="5">
        <v>672</v>
      </c>
      <c r="B733" s="138">
        <f>'Expenditures 15-22'!C50</f>
        <v>98844</v>
      </c>
      <c r="D733" s="2" t="str">
        <f t="shared" si="10"/>
        <v>Error?</v>
      </c>
    </row>
    <row r="734" spans="1:4" x14ac:dyDescent="0.2">
      <c r="A734" s="5">
        <v>673</v>
      </c>
      <c r="B734" s="138">
        <f>'Expenditures 15-22'!C53</f>
        <v>130775</v>
      </c>
      <c r="C734" s="2" t="s">
        <v>573</v>
      </c>
      <c r="D734" s="2" t="str">
        <f t="shared" si="10"/>
        <v>Error?</v>
      </c>
    </row>
    <row r="735" spans="1:4" x14ac:dyDescent="0.2">
      <c r="A735" s="5">
        <v>674</v>
      </c>
      <c r="B735" s="138">
        <f>'Expenditures 15-22'!C55</f>
        <v>95088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95088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25722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50170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75892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516303</v>
      </c>
      <c r="C755" s="2" t="s">
        <v>573</v>
      </c>
      <c r="D755" s="2" t="str">
        <f t="shared" si="10"/>
        <v>Error?</v>
      </c>
    </row>
    <row r="756" spans="1:4" x14ac:dyDescent="0.2">
      <c r="A756" s="5">
        <v>695</v>
      </c>
      <c r="B756" s="138">
        <f>'Expenditures 15-22'!C75</f>
        <v>76179</v>
      </c>
      <c r="D756" s="2" t="str">
        <f t="shared" si="10"/>
        <v>Error?</v>
      </c>
    </row>
    <row r="757" spans="1:4" x14ac:dyDescent="0.2">
      <c r="A757" s="5">
        <v>696</v>
      </c>
      <c r="B757" s="138">
        <f>'Expenditures 15-22'!C114</f>
        <v>2463180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152208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201670</v>
      </c>
      <c r="C778" s="2" t="s">
        <v>573</v>
      </c>
      <c r="D778" s="2" t="str">
        <f t="shared" si="11"/>
        <v>Error?</v>
      </c>
    </row>
    <row r="779" spans="1:4" x14ac:dyDescent="0.2">
      <c r="A779" s="5">
        <v>718</v>
      </c>
      <c r="B779" s="138">
        <f>'Expenditures 15-22'!D36</f>
        <v>6273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6340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7204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19817</v>
      </c>
      <c r="C785" s="2" t="s">
        <v>573</v>
      </c>
      <c r="D785" s="2" t="str">
        <f t="shared" si="11"/>
        <v>Error?</v>
      </c>
    </row>
    <row r="786" spans="1:4" x14ac:dyDescent="0.2">
      <c r="A786" s="5">
        <v>725</v>
      </c>
      <c r="B786" s="138">
        <f>'Expenditures 15-22'!D44</f>
        <v>3871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3871</v>
      </c>
      <c r="C789" s="2" t="s">
        <v>573</v>
      </c>
      <c r="D789" s="2" t="str">
        <f t="shared" si="11"/>
        <v>Error?</v>
      </c>
    </row>
    <row r="790" spans="1:4" x14ac:dyDescent="0.2">
      <c r="A790" s="5">
        <v>729</v>
      </c>
      <c r="B790" s="138">
        <f>'Expenditures 15-22'!D49</f>
        <v>9509</v>
      </c>
      <c r="D790" s="2" t="str">
        <f t="shared" si="11"/>
        <v>Error?</v>
      </c>
    </row>
    <row r="791" spans="1:4" x14ac:dyDescent="0.2">
      <c r="A791" s="5">
        <v>730</v>
      </c>
      <c r="B791" s="138">
        <f>'Expenditures 15-22'!D50</f>
        <v>22133</v>
      </c>
      <c r="D791" s="2" t="str">
        <f t="shared" si="11"/>
        <v>Error?</v>
      </c>
    </row>
    <row r="792" spans="1:4" x14ac:dyDescent="0.2">
      <c r="A792" s="5">
        <v>731</v>
      </c>
      <c r="B792" s="138">
        <f>'Expenditures 15-22'!D53</f>
        <v>31642</v>
      </c>
      <c r="C792" s="2" t="s">
        <v>573</v>
      </c>
      <c r="D792" s="2" t="str">
        <f t="shared" si="11"/>
        <v>Error?</v>
      </c>
    </row>
    <row r="793" spans="1:4" x14ac:dyDescent="0.2">
      <c r="A793" s="5">
        <v>732</v>
      </c>
      <c r="B793" s="138">
        <f>'Expenditures 15-22'!D55</f>
        <v>26748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26748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9510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9510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91588</v>
      </c>
      <c r="C813" s="2" t="s">
        <v>573</v>
      </c>
      <c r="D813" s="2" t="str">
        <f t="shared" si="11"/>
        <v>Error?</v>
      </c>
    </row>
    <row r="814" spans="1:4" x14ac:dyDescent="0.2">
      <c r="A814" s="5">
        <v>753</v>
      </c>
      <c r="B814" s="138">
        <f>'Expenditures 15-22'!D75</f>
        <v>6340</v>
      </c>
      <c r="D814" s="2" t="str">
        <f t="shared" si="11"/>
        <v>Error?</v>
      </c>
    </row>
    <row r="815" spans="1:4" x14ac:dyDescent="0.2">
      <c r="A815" s="5">
        <v>754</v>
      </c>
      <c r="B815" s="138">
        <f>'Expenditures 15-22'!D114</f>
        <v>299598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34476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3230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61298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61</v>
      </c>
      <c r="C843" s="2" t="s">
        <v>573</v>
      </c>
      <c r="D843" s="2" t="str">
        <f t="shared" si="12"/>
        <v>Error?</v>
      </c>
    </row>
    <row r="844" spans="1:4" x14ac:dyDescent="0.2">
      <c r="A844" s="5">
        <v>783</v>
      </c>
      <c r="B844" s="138">
        <f>'Expenditures 15-22'!E44</f>
        <v>13022</v>
      </c>
      <c r="D844" s="2" t="str">
        <f t="shared" si="12"/>
        <v>Error?</v>
      </c>
    </row>
    <row r="845" spans="1:4" x14ac:dyDescent="0.2">
      <c r="A845" s="5">
        <v>784</v>
      </c>
      <c r="B845" s="138">
        <f>'Expenditures 15-22'!E45</f>
        <v>22889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35911</v>
      </c>
      <c r="C847" s="2" t="s">
        <v>573</v>
      </c>
      <c r="D847" s="2" t="str">
        <f t="shared" si="12"/>
        <v>Error?</v>
      </c>
    </row>
    <row r="848" spans="1:4" x14ac:dyDescent="0.2">
      <c r="A848" s="5">
        <v>787</v>
      </c>
      <c r="B848" s="138">
        <f>'Expenditures 15-22'!E49</f>
        <v>8897</v>
      </c>
      <c r="D848" s="2" t="str">
        <f t="shared" si="12"/>
        <v>Error?</v>
      </c>
    </row>
    <row r="849" spans="1:4" x14ac:dyDescent="0.2">
      <c r="A849" s="5">
        <v>788</v>
      </c>
      <c r="B849" s="138">
        <f>'Expenditures 15-22'!E50</f>
        <v>153</v>
      </c>
      <c r="D849" s="2" t="str">
        <f t="shared" si="12"/>
        <v>Error?</v>
      </c>
    </row>
    <row r="850" spans="1:4" x14ac:dyDescent="0.2">
      <c r="A850" s="5">
        <v>789</v>
      </c>
      <c r="B850" s="138">
        <f>'Expenditures 15-22'!E53</f>
        <v>9050</v>
      </c>
      <c r="C850" s="2" t="s">
        <v>573</v>
      </c>
      <c r="D850" s="2" t="str">
        <f t="shared" si="12"/>
        <v>Error?</v>
      </c>
    </row>
    <row r="851" spans="1:4" x14ac:dyDescent="0.2">
      <c r="A851" s="5">
        <v>790</v>
      </c>
      <c r="B851" s="138">
        <f>'Expenditures 15-22'!E55</f>
        <v>1328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1328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850</v>
      </c>
      <c r="D855" s="2" t="str">
        <f t="shared" si="12"/>
        <v>Error?</v>
      </c>
    </row>
    <row r="856" spans="1:4" x14ac:dyDescent="0.2">
      <c r="A856" s="5">
        <v>795</v>
      </c>
      <c r="B856" s="138">
        <f>'Expenditures 15-22'!E61</f>
        <v>32665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101598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135113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1496</v>
      </c>
      <c r="D870" s="2" t="str">
        <f t="shared" si="12"/>
        <v>Error?</v>
      </c>
    </row>
    <row r="871" spans="1:4" x14ac:dyDescent="0.2">
      <c r="A871" s="5">
        <v>810</v>
      </c>
      <c r="B871" s="138">
        <f>'Expenditures 15-22'!E74</f>
        <v>182959</v>
      </c>
      <c r="C871" s="2" t="s">
        <v>573</v>
      </c>
      <c r="D871" s="2" t="str">
        <f t="shared" si="12"/>
        <v>Error?</v>
      </c>
    </row>
    <row r="872" spans="1:4" x14ac:dyDescent="0.2">
      <c r="A872" s="5">
        <v>811</v>
      </c>
      <c r="B872" s="138">
        <f>'Expenditures 15-22'!E75</f>
        <v>5082</v>
      </c>
      <c r="D872" s="2" t="str">
        <f t="shared" si="12"/>
        <v>Error?</v>
      </c>
    </row>
    <row r="873" spans="1:4" x14ac:dyDescent="0.2">
      <c r="A873" s="5">
        <v>812</v>
      </c>
      <c r="B873" s="138">
        <f>'Expenditures 15-22'!E114</f>
        <v>476063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157594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246721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764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659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659</v>
      </c>
      <c r="C905" s="2" t="s">
        <v>573</v>
      </c>
      <c r="D905" s="2" t="str">
        <f t="shared" si="13"/>
        <v>Error?</v>
      </c>
    </row>
    <row r="906" spans="1:4" x14ac:dyDescent="0.2">
      <c r="A906" s="5">
        <v>845</v>
      </c>
      <c r="B906" s="138">
        <f>'Expenditures 15-22'!F49</f>
        <v>40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40</v>
      </c>
      <c r="C908" s="2" t="s">
        <v>573</v>
      </c>
      <c r="D908" s="2" t="str">
        <f t="shared" si="13"/>
        <v>Error?</v>
      </c>
    </row>
    <row r="909" spans="1:4" x14ac:dyDescent="0.2">
      <c r="A909" s="5">
        <v>848</v>
      </c>
      <c r="B909" s="138">
        <f>'Expenditures 15-22'!F55</f>
        <v>184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9555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10330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4606</v>
      </c>
      <c r="D928" s="2" t="str">
        <f t="shared" si="13"/>
        <v>Error?</v>
      </c>
    </row>
    <row r="929" spans="1:4" x14ac:dyDescent="0.2">
      <c r="A929" s="5">
        <v>868</v>
      </c>
      <c r="B929" s="138">
        <f>'Expenditures 15-22'!F74</f>
        <v>16583</v>
      </c>
      <c r="C929" s="2" t="s">
        <v>573</v>
      </c>
      <c r="D929" s="2" t="str">
        <f t="shared" si="13"/>
        <v>Error?</v>
      </c>
    </row>
    <row r="930" spans="1:4" x14ac:dyDescent="0.2">
      <c r="A930" s="5">
        <v>869</v>
      </c>
      <c r="B930" s="138">
        <f>'Expenditures 15-22'!F75</f>
        <v>7433</v>
      </c>
      <c r="D930" s="2" t="str">
        <f t="shared" si="13"/>
        <v>Error?</v>
      </c>
    </row>
    <row r="931" spans="1:4" x14ac:dyDescent="0.2">
      <c r="A931" s="5">
        <v>870</v>
      </c>
      <c r="B931" s="138">
        <f>'Expenditures 15-22'!F114</f>
        <v>270737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45230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45230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45230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1050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3179</v>
      </c>
      <c r="D1022" s="2" t="str">
        <f t="shared" si="14"/>
        <v>Error?</v>
      </c>
    </row>
    <row r="1023" spans="1:4" x14ac:dyDescent="0.2">
      <c r="A1023" s="5">
        <v>962</v>
      </c>
      <c r="B1023" s="138">
        <f>'Expenditures 15-22'!H50</f>
        <v>1470</v>
      </c>
      <c r="D1023" s="2" t="str">
        <f t="shared" ref="D1023:D1086" si="15">IF(ISBLANK(B1023),"OK",IF(A1023-B1023=0,"OK","Error?"))</f>
        <v>Error?</v>
      </c>
    </row>
    <row r="1024" spans="1:4" x14ac:dyDescent="0.2">
      <c r="A1024" s="5">
        <v>963</v>
      </c>
      <c r="B1024" s="138">
        <f>'Expenditures 15-22'!H53</f>
        <v>4649</v>
      </c>
      <c r="C1024" s="2" t="s">
        <v>573</v>
      </c>
      <c r="D1024" s="2" t="str">
        <f t="shared" si="15"/>
        <v>Error?</v>
      </c>
    </row>
    <row r="1025" spans="1:4" x14ac:dyDescent="0.2">
      <c r="A1025" s="5">
        <v>964</v>
      </c>
      <c r="B1025" s="138">
        <f>'Expenditures 15-22'!H55</f>
        <v>518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518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5167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6217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1635161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4280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2432655</v>
      </c>
      <c r="C1108" s="2" t="s">
        <v>573</v>
      </c>
      <c r="D1108" s="2" t="str">
        <f t="shared" si="16"/>
        <v>Error?</v>
      </c>
    </row>
    <row r="1109" spans="1:4" x14ac:dyDescent="0.2">
      <c r="A1109" s="5">
        <v>1048</v>
      </c>
      <c r="B1109" s="138">
        <f>'Expenditures 15-22'!K36</f>
        <v>46115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42008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64549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152672</v>
      </c>
      <c r="C1115" s="2" t="s">
        <v>573</v>
      </c>
      <c r="D1115" s="2" t="str">
        <f t="shared" si="16"/>
        <v>Error?</v>
      </c>
    </row>
    <row r="1116" spans="1:4" x14ac:dyDescent="0.2">
      <c r="A1116" s="5">
        <v>1055</v>
      </c>
      <c r="B1116" s="138">
        <f>'Expenditures 15-22'!K44</f>
        <v>17538</v>
      </c>
      <c r="C1116" s="2" t="s">
        <v>573</v>
      </c>
      <c r="D1116" s="2" t="str">
        <f t="shared" si="16"/>
        <v>Error?</v>
      </c>
    </row>
    <row r="1117" spans="1:4" x14ac:dyDescent="0.2">
      <c r="A1117" s="5">
        <v>1056</v>
      </c>
      <c r="B1117" s="138">
        <f>'Expenditures 15-22'!K45</f>
        <v>105421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122959</v>
      </c>
      <c r="C1119" s="2" t="s">
        <v>573</v>
      </c>
      <c r="D1119" s="2" t="str">
        <f t="shared" si="16"/>
        <v>Error?</v>
      </c>
    </row>
    <row r="1120" spans="1:4" x14ac:dyDescent="0.2">
      <c r="A1120" s="5">
        <v>1059</v>
      </c>
      <c r="B1120" s="138">
        <f>'Expenditures 15-22'!K49</f>
        <v>53556</v>
      </c>
      <c r="C1120" s="2" t="s">
        <v>573</v>
      </c>
      <c r="D1120" s="2" t="str">
        <f t="shared" si="16"/>
        <v>Error?</v>
      </c>
    </row>
    <row r="1121" spans="1:4" x14ac:dyDescent="0.2">
      <c r="A1121" s="5">
        <v>1060</v>
      </c>
      <c r="B1121" s="138">
        <f>'Expenditures 15-22'!K50</f>
        <v>122600</v>
      </c>
      <c r="C1121" s="2" t="s">
        <v>573</v>
      </c>
      <c r="D1121" s="2" t="str">
        <f t="shared" si="16"/>
        <v>Error?</v>
      </c>
    </row>
    <row r="1122" spans="1:4" x14ac:dyDescent="0.2">
      <c r="A1122" s="5">
        <v>1061</v>
      </c>
      <c r="B1122" s="138">
        <f>'Expenditures 15-22'!K53</f>
        <v>176156</v>
      </c>
      <c r="C1122" s="2" t="s">
        <v>573</v>
      </c>
      <c r="D1122" s="2" t="str">
        <f t="shared" si="16"/>
        <v>Error?</v>
      </c>
    </row>
    <row r="1123" spans="1:4" x14ac:dyDescent="0.2">
      <c r="A1123" s="5">
        <v>1062</v>
      </c>
      <c r="B1123" s="138">
        <f>'Expenditures 15-22'!K55</f>
        <v>123866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123866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45637</v>
      </c>
      <c r="C1127" s="2" t="s">
        <v>573</v>
      </c>
      <c r="D1127" s="2" t="str">
        <f t="shared" si="16"/>
        <v>Error?</v>
      </c>
    </row>
    <row r="1128" spans="1:4" x14ac:dyDescent="0.2">
      <c r="A1128" s="5">
        <v>1067</v>
      </c>
      <c r="B1128" s="138">
        <f>'Expenditures 15-22'!K61</f>
        <v>32665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152543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230845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6102</v>
      </c>
      <c r="C1142" s="2" t="s">
        <v>573</v>
      </c>
      <c r="D1142" s="2" t="str">
        <f t="shared" si="16"/>
        <v>Error?</v>
      </c>
    </row>
    <row r="1143" spans="1:4" x14ac:dyDescent="0.2">
      <c r="A1143" s="5">
        <v>1082</v>
      </c>
      <c r="B1143" s="138">
        <f>'Expenditures 15-22'!K74</f>
        <v>812600</v>
      </c>
      <c r="C1143" s="2" t="s">
        <v>573</v>
      </c>
      <c r="D1143" s="2" t="str">
        <f t="shared" si="16"/>
        <v>Error?</v>
      </c>
    </row>
    <row r="1144" spans="1:4" x14ac:dyDescent="0.2">
      <c r="A1144" s="5">
        <v>1083</v>
      </c>
      <c r="B1144" s="138">
        <f>'Expenditures 15-22'!K75</f>
        <v>95034</v>
      </c>
      <c r="C1144" s="2" t="s">
        <v>573</v>
      </c>
      <c r="D1144" s="2" t="str">
        <f t="shared" si="16"/>
        <v>Error?</v>
      </c>
    </row>
    <row r="1145" spans="1:4" x14ac:dyDescent="0.2">
      <c r="A1145" s="5">
        <v>1084</v>
      </c>
      <c r="B1145" s="138">
        <f>'Expenditures 15-22'!K102</f>
        <v>226724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3567013</v>
      </c>
      <c r="C1152" s="2" t="s">
        <v>573</v>
      </c>
      <c r="D1152" s="2" t="str">
        <f t="shared" si="17"/>
        <v>Error?</v>
      </c>
    </row>
    <row r="1153" spans="1:4" x14ac:dyDescent="0.2">
      <c r="A1153" s="5">
        <v>1092</v>
      </c>
      <c r="B1153" s="138">
        <f>'Expenditures 15-22'!K115</f>
        <v>320707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119797</v>
      </c>
      <c r="D1221" s="2" t="str">
        <f t="shared" si="18"/>
        <v>Error?</v>
      </c>
    </row>
    <row r="1222" spans="1:4" x14ac:dyDescent="0.2">
      <c r="A1222" s="10">
        <v>1161</v>
      </c>
      <c r="D1222" s="2" t="str">
        <f t="shared" si="18"/>
        <v>OK</v>
      </c>
    </row>
    <row r="1223" spans="1:4" x14ac:dyDescent="0.2">
      <c r="A1223" s="5">
        <v>1162</v>
      </c>
      <c r="B1223" s="138">
        <f>'Expenditures 15-22'!C127</f>
        <v>119797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119797</v>
      </c>
      <c r="C1225" s="2" t="s">
        <v>573</v>
      </c>
      <c r="D1225" s="2" t="str">
        <f t="shared" si="18"/>
        <v>Error?</v>
      </c>
    </row>
    <row r="1226" spans="1:4" x14ac:dyDescent="0.2">
      <c r="A1226" s="5">
        <v>1165</v>
      </c>
      <c r="B1226" s="138">
        <f>'Expenditures 15-22'!C151</f>
        <v>119797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19025</v>
      </c>
      <c r="D1229" s="2" t="str">
        <f t="shared" si="18"/>
        <v>Error?</v>
      </c>
    </row>
    <row r="1230" spans="1:4" x14ac:dyDescent="0.2">
      <c r="A1230" s="10">
        <v>1169</v>
      </c>
      <c r="D1230" s="2" t="str">
        <f t="shared" si="18"/>
        <v>OK</v>
      </c>
    </row>
    <row r="1231" spans="1:4" x14ac:dyDescent="0.2">
      <c r="A1231" s="5">
        <v>1170</v>
      </c>
      <c r="B1231" s="138">
        <f>'Expenditures 15-22'!D127</f>
        <v>19025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19025</v>
      </c>
      <c r="C1233" s="2" t="s">
        <v>573</v>
      </c>
      <c r="D1233" s="2" t="str">
        <f t="shared" si="18"/>
        <v>Error?</v>
      </c>
    </row>
    <row r="1234" spans="1:4" x14ac:dyDescent="0.2">
      <c r="A1234" s="5">
        <v>1173</v>
      </c>
      <c r="B1234" s="138">
        <f>'Expenditures 15-22'!D151</f>
        <v>19025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62502</v>
      </c>
      <c r="D1237" s="2" t="str">
        <f t="shared" si="18"/>
        <v>Error?</v>
      </c>
    </row>
    <row r="1238" spans="1:4" x14ac:dyDescent="0.2">
      <c r="A1238" s="10">
        <v>1177</v>
      </c>
      <c r="D1238" s="2" t="str">
        <f t="shared" si="18"/>
        <v>OK</v>
      </c>
    </row>
    <row r="1239" spans="1:4" x14ac:dyDescent="0.2">
      <c r="A1239" s="5">
        <v>1178</v>
      </c>
      <c r="B1239" s="138">
        <f>'Expenditures 15-22'!E127</f>
        <v>62502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62502</v>
      </c>
      <c r="C1241" s="2" t="s">
        <v>573</v>
      </c>
      <c r="D1241" s="2" t="str">
        <f t="shared" si="18"/>
        <v>Error?</v>
      </c>
    </row>
    <row r="1242" spans="1:4" x14ac:dyDescent="0.2">
      <c r="A1242" s="5">
        <v>1181</v>
      </c>
      <c r="B1242" s="138">
        <f>'Expenditures 15-22'!E151</f>
        <v>62502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123626</v>
      </c>
      <c r="D1245" s="2" t="str">
        <f t="shared" si="18"/>
        <v>Error?</v>
      </c>
    </row>
    <row r="1246" spans="1:4" x14ac:dyDescent="0.2">
      <c r="A1246" s="10">
        <v>1185</v>
      </c>
      <c r="D1246" s="2" t="str">
        <f t="shared" si="18"/>
        <v>OK</v>
      </c>
    </row>
    <row r="1247" spans="1:4" x14ac:dyDescent="0.2">
      <c r="A1247" s="5">
        <v>1186</v>
      </c>
      <c r="B1247" s="138">
        <f>'Expenditures 15-22'!F127</f>
        <v>123626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123626</v>
      </c>
      <c r="C1249" s="2" t="s">
        <v>573</v>
      </c>
      <c r="D1249" s="2" t="str">
        <f t="shared" si="18"/>
        <v>Error?</v>
      </c>
    </row>
    <row r="1250" spans="1:4" x14ac:dyDescent="0.2">
      <c r="A1250" s="5">
        <v>1189</v>
      </c>
      <c r="B1250" s="138">
        <f>'Expenditures 15-22'!F151</f>
        <v>123626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249104</v>
      </c>
      <c r="D1252" s="2" t="str">
        <f t="shared" si="18"/>
        <v>Error?</v>
      </c>
    </row>
    <row r="1253" spans="1:4" x14ac:dyDescent="0.2">
      <c r="A1253" s="5">
        <v>1192</v>
      </c>
      <c r="B1253" s="138">
        <f>'Expenditures 15-22'!G124</f>
        <v>12215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261319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261319</v>
      </c>
      <c r="C1258" s="2" t="s">
        <v>573</v>
      </c>
      <c r="D1258" s="2" t="str">
        <f t="shared" si="18"/>
        <v>Error?</v>
      </c>
    </row>
    <row r="1259" spans="1:4" x14ac:dyDescent="0.2">
      <c r="A1259" s="5">
        <v>1198</v>
      </c>
      <c r="B1259" s="138">
        <f>'Expenditures 15-22'!G151</f>
        <v>261319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3653</v>
      </c>
      <c r="D1262" s="2" t="str">
        <f t="shared" si="18"/>
        <v>Error?</v>
      </c>
    </row>
    <row r="1263" spans="1:4" x14ac:dyDescent="0.2">
      <c r="A1263" s="10">
        <v>1202</v>
      </c>
      <c r="D1263" s="2" t="str">
        <f t="shared" si="18"/>
        <v>OK</v>
      </c>
    </row>
    <row r="1264" spans="1:4" x14ac:dyDescent="0.2">
      <c r="A1264" s="5">
        <v>1203</v>
      </c>
      <c r="B1264" s="138">
        <f>'Expenditures 15-22'!H127</f>
        <v>3653</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3653</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4409</v>
      </c>
      <c r="C1272" s="2" t="s">
        <v>573</v>
      </c>
      <c r="D1272" s="2" t="str">
        <f t="shared" si="18"/>
        <v>Error?</v>
      </c>
    </row>
    <row r="1273" spans="1:4" x14ac:dyDescent="0.2">
      <c r="A1273" s="5">
        <v>1212</v>
      </c>
      <c r="B1273" s="138">
        <f>'Expenditures 15-22'!H151</f>
        <v>8062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249104</v>
      </c>
      <c r="C1275" s="2" t="s">
        <v>573</v>
      </c>
      <c r="D1275" s="2" t="str">
        <f t="shared" si="18"/>
        <v>Error?</v>
      </c>
    </row>
    <row r="1276" spans="1:4" x14ac:dyDescent="0.2">
      <c r="A1276" s="5">
        <v>1215</v>
      </c>
      <c r="B1276" s="138">
        <f>'Expenditures 15-22'!K124</f>
        <v>340818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589922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589922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4409</v>
      </c>
      <c r="C1287" s="2" t="s">
        <v>573</v>
      </c>
      <c r="D1287" s="2" t="str">
        <f t="shared" si="19"/>
        <v>Error?</v>
      </c>
    </row>
    <row r="1288" spans="1:4" x14ac:dyDescent="0.2">
      <c r="A1288" s="5">
        <v>1227</v>
      </c>
      <c r="B1288" s="138">
        <f>'Expenditures 15-22'!K151</f>
        <v>594331</v>
      </c>
      <c r="C1288" s="2" t="s">
        <v>573</v>
      </c>
      <c r="D1288" s="2" t="str">
        <f t="shared" si="19"/>
        <v>Error?</v>
      </c>
    </row>
    <row r="1289" spans="1:4" x14ac:dyDescent="0.2">
      <c r="A1289" s="5">
        <v>1228</v>
      </c>
      <c r="B1289" s="138">
        <f>'Expenditures 15-22'!K152</f>
        <v>-157482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308915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239856</v>
      </c>
      <c r="D1315" s="2" t="str">
        <f t="shared" si="19"/>
        <v>Error?</v>
      </c>
    </row>
    <row r="1316" spans="1:4" x14ac:dyDescent="0.2">
      <c r="A1316" s="5">
        <v>1255</v>
      </c>
      <c r="B1316" s="138">
        <f>'Expenditures 15-22'!H171</f>
        <v>6245</v>
      </c>
      <c r="D1316" s="2" t="str">
        <f t="shared" si="19"/>
        <v>Error?</v>
      </c>
    </row>
    <row r="1317" spans="1:4" x14ac:dyDescent="0.2">
      <c r="A1317" s="5">
        <v>1256</v>
      </c>
      <c r="B1317" s="138">
        <f>'Expenditures 15-22'!H172</f>
        <v>555016</v>
      </c>
      <c r="C1317" s="2" t="s">
        <v>573</v>
      </c>
      <c r="D1317" s="2" t="str">
        <f t="shared" si="19"/>
        <v>Error?</v>
      </c>
    </row>
    <row r="1318" spans="1:4" x14ac:dyDescent="0.2">
      <c r="A1318" s="5">
        <v>1257</v>
      </c>
      <c r="B1318" s="138">
        <f>'Expenditures 15-22'!H174</f>
        <v>555016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308915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239856</v>
      </c>
      <c r="C1329" s="2" t="s">
        <v>573</v>
      </c>
      <c r="D1329" s="2" t="str">
        <f t="shared" si="19"/>
        <v>Error?</v>
      </c>
    </row>
    <row r="1330" spans="1:4" x14ac:dyDescent="0.2">
      <c r="A1330" s="5">
        <v>1269</v>
      </c>
      <c r="B1330" s="138">
        <f>'Expenditures 15-22'!K171</f>
        <v>6245</v>
      </c>
      <c r="C1330" s="2" t="s">
        <v>573</v>
      </c>
      <c r="D1330" s="2" t="str">
        <f t="shared" si="19"/>
        <v>Error?</v>
      </c>
    </row>
    <row r="1331" spans="1:4" x14ac:dyDescent="0.2">
      <c r="A1331" s="5">
        <v>1270</v>
      </c>
      <c r="B1331" s="138">
        <f>'Expenditures 15-22'!K172</f>
        <v>555016</v>
      </c>
      <c r="C1331" s="2" t="s">
        <v>573</v>
      </c>
      <c r="D1331" s="2" t="str">
        <f t="shared" si="19"/>
        <v>Error?</v>
      </c>
    </row>
    <row r="1332" spans="1:4" x14ac:dyDescent="0.2">
      <c r="A1332" s="5">
        <v>1271</v>
      </c>
      <c r="B1332" s="138">
        <f>'Expenditures 15-22'!K174</f>
        <v>555016</v>
      </c>
      <c r="C1332" s="2" t="s">
        <v>573</v>
      </c>
      <c r="D1332" s="2" t="str">
        <f t="shared" si="19"/>
        <v>Error?</v>
      </c>
    </row>
    <row r="1333" spans="1:4" x14ac:dyDescent="0.2">
      <c r="A1333" s="5">
        <v>1272</v>
      </c>
      <c r="B1333" s="138">
        <f>'Expenditures 15-22'!K175</f>
        <v>-6992</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236137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236137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236137</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236137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236137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236137</v>
      </c>
      <c r="C1388" s="2" t="s">
        <v>573</v>
      </c>
      <c r="D1388" s="2" t="str">
        <f t="shared" si="20"/>
        <v>Error?</v>
      </c>
    </row>
    <row r="1389" spans="1:4" x14ac:dyDescent="0.2">
      <c r="A1389" s="5">
        <v>1328</v>
      </c>
      <c r="B1389" s="138">
        <f>'Expenditures 15-22'!K211</f>
        <v>-37978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60376</v>
      </c>
      <c r="C1410" s="2" t="s">
        <v>573</v>
      </c>
      <c r="D1410" s="2" t="str">
        <f t="shared" si="21"/>
        <v>Error?</v>
      </c>
    </row>
    <row r="1411" spans="1:4" x14ac:dyDescent="0.2">
      <c r="A1411" s="5">
        <v>1350</v>
      </c>
      <c r="B1411" s="138">
        <f>'Expenditures 15-22'!D232</f>
        <v>574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7087</v>
      </c>
      <c r="D1413" s="2" t="str">
        <f t="shared" si="21"/>
        <v>Error?</v>
      </c>
    </row>
    <row r="1414" spans="1:4" x14ac:dyDescent="0.2">
      <c r="A1414" s="5">
        <v>1353</v>
      </c>
      <c r="B1414" s="138">
        <f>'Expenditures 15-22'!D235</f>
        <v>828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8489</v>
      </c>
      <c r="C1417" s="2" t="s">
        <v>573</v>
      </c>
      <c r="D1417" s="2" t="str">
        <f t="shared" si="21"/>
        <v>Error?</v>
      </c>
    </row>
    <row r="1418" spans="1:4" x14ac:dyDescent="0.2">
      <c r="A1418" s="5">
        <v>1357</v>
      </c>
      <c r="B1418" s="138">
        <f>'Expenditures 15-22'!D240</f>
        <v>9</v>
      </c>
      <c r="D1418" s="2" t="str">
        <f t="shared" si="21"/>
        <v>Error?</v>
      </c>
    </row>
    <row r="1419" spans="1:4" x14ac:dyDescent="0.2">
      <c r="A1419" s="5">
        <v>1358</v>
      </c>
      <c r="B1419" s="138">
        <f>'Expenditures 15-22'!D241</f>
        <v>13254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13263</v>
      </c>
      <c r="C1421" s="2" t="s">
        <v>573</v>
      </c>
      <c r="D1421" s="2" t="str">
        <f t="shared" si="21"/>
        <v>Error?</v>
      </c>
    </row>
    <row r="1422" spans="1:4" x14ac:dyDescent="0.2">
      <c r="A1422" s="5">
        <v>1361</v>
      </c>
      <c r="B1422" s="138">
        <f>'Expenditures 15-22'!D245</f>
        <v>4883</v>
      </c>
      <c r="D1422" s="2" t="str">
        <f t="shared" si="21"/>
        <v>Error?</v>
      </c>
    </row>
    <row r="1423" spans="1:4" x14ac:dyDescent="0.2">
      <c r="A1423" s="5">
        <v>1362</v>
      </c>
      <c r="B1423" s="138">
        <f>'Expenditures 15-22'!D246</f>
        <v>1748</v>
      </c>
      <c r="D1423" s="2" t="str">
        <f t="shared" si="21"/>
        <v>Error?</v>
      </c>
    </row>
    <row r="1424" spans="1:4" x14ac:dyDescent="0.2">
      <c r="A1424" s="5">
        <v>1363</v>
      </c>
      <c r="B1424" s="138">
        <f>'Expenditures 15-22'!D257</f>
        <v>6631</v>
      </c>
      <c r="C1424" s="2" t="s">
        <v>573</v>
      </c>
      <c r="D1424" s="2" t="str">
        <f t="shared" si="21"/>
        <v>Error?</v>
      </c>
    </row>
    <row r="1425" spans="1:4" x14ac:dyDescent="0.2">
      <c r="A1425" s="5">
        <v>1364</v>
      </c>
      <c r="B1425" s="138">
        <f>'Expenditures 15-22'!D259</f>
        <v>7370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7370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4627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22604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10042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37273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73026</v>
      </c>
      <c r="C1446" s="2" t="s">
        <v>573</v>
      </c>
      <c r="D1446" s="2" t="str">
        <f t="shared" si="21"/>
        <v>Error?</v>
      </c>
    </row>
    <row r="1447" spans="1:4" x14ac:dyDescent="0.2">
      <c r="A1447" s="5">
        <v>1386</v>
      </c>
      <c r="B1447" s="138">
        <f>'Expenditures 15-22'!D280</f>
        <v>11469</v>
      </c>
      <c r="D1447" s="2" t="str">
        <f t="shared" si="21"/>
        <v>Error?</v>
      </c>
    </row>
    <row r="1448" spans="1:4" x14ac:dyDescent="0.2">
      <c r="A1448" s="5">
        <v>1387</v>
      </c>
      <c r="B1448" s="138">
        <f>'Expenditures 15-22'!D295</f>
        <v>144871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60376</v>
      </c>
      <c r="C1474" s="2" t="s">
        <v>573</v>
      </c>
      <c r="D1474" s="2" t="str">
        <f t="shared" si="22"/>
        <v>Error?</v>
      </c>
    </row>
    <row r="1475" spans="1:4" x14ac:dyDescent="0.2">
      <c r="A1475" s="5">
        <v>1414</v>
      </c>
      <c r="B1475" s="138">
        <f>'Expenditures 15-22'!K232</f>
        <v>574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7087</v>
      </c>
      <c r="C1477" s="2" t="s">
        <v>573</v>
      </c>
      <c r="D1477" s="2" t="str">
        <f t="shared" si="22"/>
        <v>Error?</v>
      </c>
    </row>
    <row r="1478" spans="1:4" x14ac:dyDescent="0.2">
      <c r="A1478" s="5">
        <v>1417</v>
      </c>
      <c r="B1478" s="138">
        <f>'Expenditures 15-22'!K235</f>
        <v>828</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8489</v>
      </c>
      <c r="C1481" s="2" t="s">
        <v>573</v>
      </c>
      <c r="D1481" s="2" t="str">
        <f t="shared" si="22"/>
        <v>Error?</v>
      </c>
    </row>
    <row r="1482" spans="1:4" x14ac:dyDescent="0.2">
      <c r="A1482" s="5">
        <v>1421</v>
      </c>
      <c r="B1482" s="138">
        <f>'Expenditures 15-22'!K240</f>
        <v>9</v>
      </c>
      <c r="C1482" s="2" t="s">
        <v>573</v>
      </c>
      <c r="D1482" s="2" t="str">
        <f t="shared" si="22"/>
        <v>Error?</v>
      </c>
    </row>
    <row r="1483" spans="1:4" x14ac:dyDescent="0.2">
      <c r="A1483" s="5">
        <v>1422</v>
      </c>
      <c r="B1483" s="138">
        <f>'Expenditures 15-22'!K241</f>
        <v>13254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13263</v>
      </c>
      <c r="C1485" s="2" t="s">
        <v>573</v>
      </c>
      <c r="D1485" s="2" t="str">
        <f t="shared" si="22"/>
        <v>Error?</v>
      </c>
    </row>
    <row r="1486" spans="1:4" x14ac:dyDescent="0.2">
      <c r="A1486" s="5">
        <v>1425</v>
      </c>
      <c r="B1486" s="138">
        <f>'Expenditures 15-22'!K245</f>
        <v>4883</v>
      </c>
      <c r="C1486" s="2" t="s">
        <v>573</v>
      </c>
      <c r="D1486" s="2" t="str">
        <f t="shared" si="22"/>
        <v>Error?</v>
      </c>
    </row>
    <row r="1487" spans="1:4" x14ac:dyDescent="0.2">
      <c r="A1487" s="5">
        <v>1426</v>
      </c>
      <c r="B1487" s="138">
        <f>'Expenditures 15-22'!K246</f>
        <v>1748</v>
      </c>
      <c r="C1487" s="2" t="s">
        <v>573</v>
      </c>
      <c r="D1487" s="2" t="str">
        <f t="shared" si="22"/>
        <v>Error?</v>
      </c>
    </row>
    <row r="1488" spans="1:4" x14ac:dyDescent="0.2">
      <c r="A1488" s="5">
        <v>1427</v>
      </c>
      <c r="B1488" s="138">
        <f>'Expenditures 15-22'!K257</f>
        <v>6631</v>
      </c>
      <c r="C1488" s="2" t="s">
        <v>573</v>
      </c>
      <c r="D1488" s="2" t="str">
        <f t="shared" si="22"/>
        <v>Error?</v>
      </c>
    </row>
    <row r="1489" spans="1:4" x14ac:dyDescent="0.2">
      <c r="A1489" s="5">
        <v>1428</v>
      </c>
      <c r="B1489" s="138">
        <f>'Expenditures 15-22'!K259</f>
        <v>7370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7370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4627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22604</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10042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37273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73026</v>
      </c>
      <c r="C1510" s="2" t="s">
        <v>573</v>
      </c>
      <c r="D1510" s="2" t="str">
        <f t="shared" si="22"/>
        <v>Error?</v>
      </c>
    </row>
    <row r="1511" spans="1:4" x14ac:dyDescent="0.2">
      <c r="A1511" s="5">
        <v>1450</v>
      </c>
      <c r="B1511" s="138">
        <f>'Expenditures 15-22'!K280</f>
        <v>11469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144871</v>
      </c>
      <c r="C1517" s="2" t="s">
        <v>573</v>
      </c>
      <c r="D1517" s="2" t="str">
        <f t="shared" si="22"/>
        <v>Error?</v>
      </c>
    </row>
    <row r="1518" spans="1:4" x14ac:dyDescent="0.2">
      <c r="A1518" s="5">
        <v>1457</v>
      </c>
      <c r="B1518" s="138">
        <f>'Expenditures 15-22'!K296</f>
        <v>-11644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1121945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1442652</v>
      </c>
      <c r="C1630" s="2" t="s">
        <v>573</v>
      </c>
      <c r="D1630" s="2" t="str">
        <f t="shared" si="24"/>
        <v>Error?</v>
      </c>
    </row>
    <row r="1631" spans="1:4" x14ac:dyDescent="0.2">
      <c r="A1631" s="5">
        <v>1570</v>
      </c>
      <c r="B1631" s="138">
        <f>'Acct Summary 7-8'!D79</f>
        <v>15968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108486</v>
      </c>
      <c r="C1644" s="2" t="s">
        <v>573</v>
      </c>
      <c r="D1644" s="2" t="str">
        <f t="shared" si="24"/>
        <v>Error?</v>
      </c>
    </row>
    <row r="1645" spans="1:4" x14ac:dyDescent="0.2">
      <c r="A1645" s="5">
        <v>1584</v>
      </c>
      <c r="B1645" s="138">
        <f>'Acct Summary 7-8'!E79</f>
        <v>194192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187200</v>
      </c>
      <c r="C1658" s="2" t="s">
        <v>573</v>
      </c>
      <c r="D1658" s="2" t="str">
        <f t="shared" si="24"/>
        <v>Error?</v>
      </c>
    </row>
    <row r="1659" spans="1:4" x14ac:dyDescent="0.2">
      <c r="A1659" s="5">
        <v>1598</v>
      </c>
      <c r="B1659" s="138">
        <f>'Acct Summary 7-8'!F79</f>
        <v>60036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22058</v>
      </c>
      <c r="C1672" s="2" t="s">
        <v>573</v>
      </c>
      <c r="D1672" s="2" t="str">
        <f t="shared" si="25"/>
        <v>Error?</v>
      </c>
    </row>
    <row r="1673" spans="1:4" x14ac:dyDescent="0.2">
      <c r="A1673" s="5">
        <v>1612</v>
      </c>
      <c r="B1673" s="138">
        <f>'Acct Summary 7-8'!G79</f>
        <v>145417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133773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834377</v>
      </c>
      <c r="C1744" s="2" t="s">
        <v>573</v>
      </c>
      <c r="D1744" s="2" t="str">
        <f t="shared" si="26"/>
        <v>Error?</v>
      </c>
    </row>
    <row r="1745" spans="1:5" x14ac:dyDescent="0.2">
      <c r="A1745" s="5">
        <v>1684</v>
      </c>
      <c r="B1745" s="138">
        <f>'Tax Sched 23'!B5</f>
        <v>179452</v>
      </c>
      <c r="C1745" s="2" t="s">
        <v>573</v>
      </c>
      <c r="D1745" s="2" t="str">
        <f t="shared" si="26"/>
        <v>Error?</v>
      </c>
    </row>
    <row r="1746" spans="1:5" x14ac:dyDescent="0.2">
      <c r="A1746" s="5">
        <v>1685</v>
      </c>
      <c r="B1746" s="138">
        <f>'Tax Sched 23'!B6</f>
        <v>540240</v>
      </c>
      <c r="C1746" s="2" t="s">
        <v>573</v>
      </c>
      <c r="D1746" s="2" t="str">
        <f t="shared" si="26"/>
        <v>Error?</v>
      </c>
    </row>
    <row r="1747" spans="1:5" x14ac:dyDescent="0.2">
      <c r="A1747" s="5">
        <v>1686</v>
      </c>
      <c r="B1747" s="138">
        <f>'Tax Sched 23'!B7</f>
        <v>53836</v>
      </c>
      <c r="C1747" s="2" t="s">
        <v>573</v>
      </c>
      <c r="D1747" s="2" t="str">
        <f t="shared" si="26"/>
        <v>Error?</v>
      </c>
    </row>
    <row r="1748" spans="1:5" x14ac:dyDescent="0.2">
      <c r="A1748" s="5">
        <v>1687</v>
      </c>
      <c r="B1748" s="138">
        <f>'Tax Sched 23'!B8</f>
        <v>65140</v>
      </c>
      <c r="C1748" s="2" t="s">
        <v>573</v>
      </c>
      <c r="D1748" s="2" t="str">
        <f t="shared" si="26"/>
        <v>Error?</v>
      </c>
    </row>
    <row r="1749" spans="1:5" x14ac:dyDescent="0.2">
      <c r="A1749" s="5">
        <v>1688</v>
      </c>
      <c r="B1749" s="138">
        <f>'Tax Sched 23'!B10</f>
        <v>22431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232613</v>
      </c>
      <c r="C1752" s="2" t="s">
        <v>573</v>
      </c>
      <c r="D1752" s="2" t="str">
        <f t="shared" si="26"/>
        <v>Error?</v>
      </c>
    </row>
    <row r="1753" spans="1:5" x14ac:dyDescent="0.2">
      <c r="A1753" s="5">
        <v>1692</v>
      </c>
      <c r="B1753" s="138">
        <f>'Tax Sched 23'!B12</f>
        <v>22431</v>
      </c>
      <c r="C1753" s="2" t="s">
        <v>573</v>
      </c>
      <c r="D1753" s="2" t="str">
        <f t="shared" si="26"/>
        <v>Error?</v>
      </c>
    </row>
    <row r="1754" spans="1:5" x14ac:dyDescent="0.2">
      <c r="A1754" s="5">
        <v>1693</v>
      </c>
      <c r="B1754" s="138">
        <f>'Tax Sched 23'!B14</f>
        <v>9046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2032019</v>
      </c>
      <c r="C1759" s="2" t="s">
        <v>573</v>
      </c>
      <c r="D1759" s="2" t="str">
        <f t="shared" si="26"/>
        <v>Error?</v>
      </c>
    </row>
    <row r="1760" spans="1:5" x14ac:dyDescent="0.2">
      <c r="A1760" s="5">
        <v>1699</v>
      </c>
      <c r="B1760" s="138">
        <f>'Tax Sched 23'!D4</f>
        <v>834377</v>
      </c>
      <c r="C1760" s="2" t="s">
        <v>573</v>
      </c>
      <c r="D1760" s="2" t="str">
        <f t="shared" si="26"/>
        <v>Error?</v>
      </c>
    </row>
    <row r="1761" spans="1:5" x14ac:dyDescent="0.2">
      <c r="A1761" s="5">
        <v>1700</v>
      </c>
      <c r="B1761" s="138">
        <f>'Tax Sched 23'!D5</f>
        <v>179452</v>
      </c>
      <c r="C1761" s="2" t="s">
        <v>573</v>
      </c>
      <c r="D1761" s="2" t="str">
        <f t="shared" si="26"/>
        <v>Error?</v>
      </c>
    </row>
    <row r="1762" spans="1:5" s="8" customFormat="1" x14ac:dyDescent="0.2">
      <c r="A1762" s="5">
        <v>1701</v>
      </c>
      <c r="B1762" s="138">
        <f>'Tax Sched 23'!D6</f>
        <v>540240</v>
      </c>
      <c r="C1762" s="2" t="s">
        <v>573</v>
      </c>
      <c r="D1762" s="2" t="str">
        <f t="shared" si="26"/>
        <v>Error?</v>
      </c>
      <c r="E1762" s="9"/>
    </row>
    <row r="1763" spans="1:5" x14ac:dyDescent="0.2">
      <c r="A1763" s="5">
        <v>1702</v>
      </c>
      <c r="B1763" s="138">
        <f>'Tax Sched 23'!D7</f>
        <v>53836</v>
      </c>
      <c r="C1763" s="2" t="s">
        <v>573</v>
      </c>
      <c r="D1763" s="2" t="str">
        <f t="shared" si="26"/>
        <v>Error?</v>
      </c>
    </row>
    <row r="1764" spans="1:5" x14ac:dyDescent="0.2">
      <c r="A1764" s="5">
        <v>1703</v>
      </c>
      <c r="B1764" s="138">
        <f>'Tax Sched 23'!D8</f>
        <v>65140</v>
      </c>
      <c r="C1764" s="2" t="s">
        <v>573</v>
      </c>
      <c r="D1764" s="2" t="str">
        <f t="shared" si="26"/>
        <v>Error?</v>
      </c>
    </row>
    <row r="1765" spans="1:5" x14ac:dyDescent="0.2">
      <c r="A1765" s="5">
        <v>1704</v>
      </c>
      <c r="B1765" s="138">
        <f>'Tax Sched 23'!D10</f>
        <v>22431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232613</v>
      </c>
      <c r="C1768" s="2" t="s">
        <v>573</v>
      </c>
      <c r="D1768" s="2" t="str">
        <f t="shared" si="26"/>
        <v>Error?</v>
      </c>
    </row>
    <row r="1769" spans="1:5" x14ac:dyDescent="0.2">
      <c r="A1769" s="5">
        <v>1708</v>
      </c>
      <c r="B1769" s="138">
        <f>'Tax Sched 23'!D12</f>
        <v>22431</v>
      </c>
      <c r="C1769" s="2" t="s">
        <v>573</v>
      </c>
      <c r="D1769" s="2" t="str">
        <f t="shared" si="26"/>
        <v>Error?</v>
      </c>
    </row>
    <row r="1770" spans="1:5" x14ac:dyDescent="0.2">
      <c r="A1770" s="5">
        <v>1709</v>
      </c>
      <c r="B1770" s="138">
        <f>'Tax Sched 23'!D14</f>
        <v>9046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2032019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852320</v>
      </c>
      <c r="C1792" s="2" t="s">
        <v>573</v>
      </c>
      <c r="D1792" s="2" t="str">
        <f t="shared" si="27"/>
        <v>Error?</v>
      </c>
    </row>
    <row r="1793" spans="1:4" x14ac:dyDescent="0.2">
      <c r="A1793" s="5">
        <v>1732</v>
      </c>
      <c r="B1793" s="138">
        <f>'Tax Sched 23'!F5</f>
        <v>183295</v>
      </c>
      <c r="C1793" s="2" t="s">
        <v>573</v>
      </c>
      <c r="D1793" s="2" t="str">
        <f t="shared" si="27"/>
        <v>Error?</v>
      </c>
    </row>
    <row r="1794" spans="1:4" x14ac:dyDescent="0.2">
      <c r="A1794" s="5">
        <v>1733</v>
      </c>
      <c r="B1794" s="138">
        <f>'Tax Sched 23'!F6</f>
        <v>549059</v>
      </c>
      <c r="C1794" s="2" t="s">
        <v>573</v>
      </c>
      <c r="D1794" s="2" t="str">
        <f t="shared" si="27"/>
        <v>Error?</v>
      </c>
    </row>
    <row r="1795" spans="1:4" x14ac:dyDescent="0.2">
      <c r="A1795" s="5">
        <v>1734</v>
      </c>
      <c r="B1795" s="138">
        <f>'Tax Sched 23'!F7</f>
        <v>54988</v>
      </c>
      <c r="C1795" s="2" t="s">
        <v>573</v>
      </c>
      <c r="D1795" s="2" t="str">
        <f t="shared" si="27"/>
        <v>Error?</v>
      </c>
    </row>
    <row r="1796" spans="1:4" x14ac:dyDescent="0.2">
      <c r="A1796" s="5">
        <v>1735</v>
      </c>
      <c r="B1796" s="138">
        <f>'Tax Sched 23'!F8</f>
        <v>65161</v>
      </c>
      <c r="C1796" s="2" t="s">
        <v>573</v>
      </c>
      <c r="D1796" s="2" t="str">
        <f t="shared" si="27"/>
        <v>Error?</v>
      </c>
    </row>
    <row r="1797" spans="1:4" x14ac:dyDescent="0.2">
      <c r="A1797" s="5">
        <v>1736</v>
      </c>
      <c r="B1797" s="138">
        <f>'Tax Sched 23'!F10</f>
        <v>22912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246027</v>
      </c>
      <c r="C1800" s="2" t="s">
        <v>573</v>
      </c>
      <c r="D1800" s="2" t="str">
        <f t="shared" si="27"/>
        <v>Error?</v>
      </c>
    </row>
    <row r="1801" spans="1:4" x14ac:dyDescent="0.2">
      <c r="A1801" s="5">
        <v>1740</v>
      </c>
      <c r="B1801" s="138">
        <f>'Tax Sched 23'!F12</f>
        <v>22912</v>
      </c>
      <c r="C1801" s="2" t="s">
        <v>573</v>
      </c>
      <c r="D1801" s="2" t="str">
        <f t="shared" si="27"/>
        <v>Error?</v>
      </c>
    </row>
    <row r="1802" spans="1:4" x14ac:dyDescent="0.2">
      <c r="A1802" s="5">
        <v>1741</v>
      </c>
      <c r="B1802" s="138">
        <f>'Tax Sched 23'!F14</f>
        <v>9165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2084931</v>
      </c>
      <c r="C1807" s="2" t="s">
        <v>573</v>
      </c>
      <c r="D1807" s="2" t="str">
        <f t="shared" si="27"/>
        <v>Error?</v>
      </c>
    </row>
    <row r="1808" spans="1:4" x14ac:dyDescent="0.2">
      <c r="A1808" s="5">
        <v>1747</v>
      </c>
      <c r="B1808" s="138">
        <f>'Tax Sched 23'!E4</f>
        <v>852320</v>
      </c>
      <c r="D1808" s="2" t="str">
        <f t="shared" si="27"/>
        <v>Error?</v>
      </c>
    </row>
    <row r="1809" spans="1:4" x14ac:dyDescent="0.2">
      <c r="A1809" s="5">
        <v>1748</v>
      </c>
      <c r="B1809" s="138">
        <f>'Tax Sched 23'!E5</f>
        <v>183295</v>
      </c>
      <c r="D1809" s="2" t="str">
        <f t="shared" si="27"/>
        <v>Error?</v>
      </c>
    </row>
    <row r="1810" spans="1:4" x14ac:dyDescent="0.2">
      <c r="A1810" s="5">
        <v>1749</v>
      </c>
      <c r="B1810" s="138">
        <f>'Tax Sched 23'!E6</f>
        <v>549059</v>
      </c>
      <c r="D1810" s="2" t="str">
        <f t="shared" si="27"/>
        <v>Error?</v>
      </c>
    </row>
    <row r="1811" spans="1:4" x14ac:dyDescent="0.2">
      <c r="A1811" s="5">
        <v>1750</v>
      </c>
      <c r="B1811" s="138">
        <f>'Tax Sched 23'!E7</f>
        <v>54988</v>
      </c>
      <c r="D1811" s="2" t="str">
        <f t="shared" si="27"/>
        <v>Error?</v>
      </c>
    </row>
    <row r="1812" spans="1:4" x14ac:dyDescent="0.2">
      <c r="A1812" s="5">
        <v>1751</v>
      </c>
      <c r="B1812" s="138">
        <f>'Tax Sched 23'!E8</f>
        <v>65161</v>
      </c>
      <c r="D1812" s="2" t="str">
        <f t="shared" si="27"/>
        <v>Error?</v>
      </c>
    </row>
    <row r="1813" spans="1:4" x14ac:dyDescent="0.2">
      <c r="A1813" s="5">
        <v>1752</v>
      </c>
      <c r="B1813" s="138">
        <f>'Tax Sched 23'!E10</f>
        <v>22912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246027</v>
      </c>
      <c r="D1816" s="2" t="str">
        <f t="shared" si="27"/>
        <v>Error?</v>
      </c>
    </row>
    <row r="1817" spans="1:4" x14ac:dyDescent="0.2">
      <c r="A1817" s="5">
        <v>1756</v>
      </c>
      <c r="B1817" s="138">
        <f>'Tax Sched 23'!E12</f>
        <v>22912</v>
      </c>
      <c r="D1817" s="2" t="str">
        <f t="shared" si="27"/>
        <v>Error?</v>
      </c>
    </row>
    <row r="1818" spans="1:4" x14ac:dyDescent="0.2">
      <c r="A1818" s="5">
        <v>1757</v>
      </c>
      <c r="B1818" s="138">
        <f>'Tax Sched 23'!E14</f>
        <v>9165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2084931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1087836</v>
      </c>
      <c r="C1939" s="2" t="s">
        <v>573</v>
      </c>
      <c r="D1939" s="2" t="str">
        <f t="shared" si="29"/>
        <v>Error?</v>
      </c>
    </row>
    <row r="1940" spans="1:5" x14ac:dyDescent="0.2">
      <c r="A1940" s="5">
        <v>1879</v>
      </c>
      <c r="B1940" s="138">
        <f>'Short-Term Long-Term Debt 24'!F49</f>
        <v>250000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9046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9046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9046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37000</v>
      </c>
      <c r="D2008" s="2" t="str">
        <f t="shared" si="30"/>
        <v>Error?</v>
      </c>
    </row>
    <row r="2009" spans="1:4" x14ac:dyDescent="0.2">
      <c r="A2009" s="5">
        <v>1948</v>
      </c>
      <c r="B2009" s="138">
        <f>'Cap Outlay Deprec 26'!C8</f>
        <v>9821471</v>
      </c>
      <c r="D2009" s="2" t="str">
        <f t="shared" si="30"/>
        <v>Error?</v>
      </c>
    </row>
    <row r="2010" spans="1:4" x14ac:dyDescent="0.2">
      <c r="A2010" s="5">
        <v>1949</v>
      </c>
      <c r="B2010" s="138">
        <f>'Cap Outlay Deprec 26'!C10</f>
        <v>88829</v>
      </c>
      <c r="D2010" s="2" t="str">
        <f t="shared" si="30"/>
        <v>Error?</v>
      </c>
    </row>
    <row r="2011" spans="1:4" x14ac:dyDescent="0.2">
      <c r="A2011" s="5">
        <v>1950</v>
      </c>
      <c r="B2011" s="138">
        <f>'Cap Outlay Deprec 26'!C12</f>
        <v>144658</v>
      </c>
      <c r="D2011" s="2" t="str">
        <f t="shared" si="30"/>
        <v>Error?</v>
      </c>
    </row>
    <row r="2012" spans="1:4" x14ac:dyDescent="0.2">
      <c r="A2012" s="5">
        <v>1951</v>
      </c>
      <c r="B2012" s="138">
        <f>'Cap Outlay Deprec 26'!C13</f>
        <v>306863</v>
      </c>
      <c r="D2012" s="2" t="str">
        <f t="shared" si="30"/>
        <v>Error?</v>
      </c>
    </row>
    <row r="2013" spans="1:4" x14ac:dyDescent="0.2">
      <c r="A2013" s="5">
        <v>1952</v>
      </c>
      <c r="B2013" s="138">
        <f>'Cap Outlay Deprec 26'!C16</f>
        <v>10398821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407127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12215</v>
      </c>
      <c r="D2017" s="2" t="str">
        <f t="shared" si="30"/>
        <v>Error?</v>
      </c>
    </row>
    <row r="2018" spans="1:4" x14ac:dyDescent="0.2">
      <c r="A2018" s="5">
        <v>1957</v>
      </c>
      <c r="B2018" s="138">
        <f>'Cap Outlay Deprec 26'!D13</f>
        <v>45230</v>
      </c>
      <c r="D2018" s="2" t="str">
        <f t="shared" si="30"/>
        <v>Error?</v>
      </c>
    </row>
    <row r="2019" spans="1:4" x14ac:dyDescent="0.2">
      <c r="A2019" s="5">
        <v>1958</v>
      </c>
      <c r="B2019" s="138">
        <f>'Cap Outlay Deprec 26'!D16</f>
        <v>464572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34935</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51711</v>
      </c>
      <c r="D2023" s="2" t="str">
        <f t="shared" si="30"/>
        <v>Error?</v>
      </c>
    </row>
    <row r="2024" spans="1:4" x14ac:dyDescent="0.2">
      <c r="A2024" s="5">
        <v>1963</v>
      </c>
      <c r="B2024" s="138">
        <f>'Cap Outlay Deprec 26'!E13</f>
        <v>30800</v>
      </c>
      <c r="D2024" s="2" t="str">
        <f t="shared" si="30"/>
        <v>Error?</v>
      </c>
    </row>
    <row r="2025" spans="1:4" x14ac:dyDescent="0.2">
      <c r="A2025" s="5">
        <v>1964</v>
      </c>
      <c r="B2025" s="138">
        <f>'Cap Outlay Deprec 26'!E16</f>
        <v>117446</v>
      </c>
      <c r="C2025" s="2" t="s">
        <v>573</v>
      </c>
      <c r="D2025" s="2" t="str">
        <f t="shared" si="30"/>
        <v>Error?</v>
      </c>
    </row>
    <row r="2026" spans="1:4" x14ac:dyDescent="0.2">
      <c r="A2026" s="5">
        <v>1965</v>
      </c>
      <c r="B2026" s="138">
        <f>'Cap Outlay Deprec 26'!F5</f>
        <v>37000</v>
      </c>
      <c r="C2026" s="2" t="s">
        <v>573</v>
      </c>
      <c r="D2026" s="2" t="str">
        <f t="shared" si="30"/>
        <v>Error?</v>
      </c>
    </row>
    <row r="2027" spans="1:4" x14ac:dyDescent="0.2">
      <c r="A2027" s="5">
        <v>1966</v>
      </c>
      <c r="B2027" s="138">
        <f>'Cap Outlay Deprec 26'!F8</f>
        <v>10193663</v>
      </c>
      <c r="C2027" s="2" t="s">
        <v>573</v>
      </c>
      <c r="D2027" s="2" t="str">
        <f t="shared" si="30"/>
        <v>Error?</v>
      </c>
    </row>
    <row r="2028" spans="1:4" x14ac:dyDescent="0.2">
      <c r="A2028" s="5">
        <v>1967</v>
      </c>
      <c r="B2028" s="138">
        <f>'Cap Outlay Deprec 26'!F10</f>
        <v>88829</v>
      </c>
      <c r="C2028" s="2" t="s">
        <v>573</v>
      </c>
      <c r="D2028" s="2" t="str">
        <f t="shared" si="30"/>
        <v>Error?</v>
      </c>
    </row>
    <row r="2029" spans="1:4" x14ac:dyDescent="0.2">
      <c r="A2029" s="5">
        <v>1968</v>
      </c>
      <c r="B2029" s="138">
        <f>'Cap Outlay Deprec 26'!F12</f>
        <v>105162</v>
      </c>
      <c r="C2029" s="2" t="s">
        <v>573</v>
      </c>
      <c r="D2029" s="2" t="str">
        <f t="shared" si="30"/>
        <v>Error?</v>
      </c>
    </row>
    <row r="2030" spans="1:4" x14ac:dyDescent="0.2">
      <c r="A2030" s="5">
        <v>1969</v>
      </c>
      <c r="B2030" s="138">
        <f>'Cap Outlay Deprec 26'!F13</f>
        <v>321293</v>
      </c>
      <c r="C2030" s="2" t="s">
        <v>573</v>
      </c>
      <c r="D2030" s="2" t="str">
        <f t="shared" si="30"/>
        <v>Error?</v>
      </c>
    </row>
    <row r="2031" spans="1:4" x14ac:dyDescent="0.2">
      <c r="A2031" s="5">
        <v>1970</v>
      </c>
      <c r="B2031" s="138">
        <f>'Cap Outlay Deprec 26'!F16</f>
        <v>10745947</v>
      </c>
      <c r="C2031" s="2" t="s">
        <v>573</v>
      </c>
      <c r="D2031" s="2" t="str">
        <f t="shared" si="30"/>
        <v>Error?</v>
      </c>
    </row>
    <row r="2032" spans="1:4" x14ac:dyDescent="0.2">
      <c r="A2032" s="10">
        <v>1971</v>
      </c>
      <c r="D2032" s="2" t="str">
        <f t="shared" si="30"/>
        <v>OK</v>
      </c>
    </row>
    <row r="2033" spans="1:4" x14ac:dyDescent="0.2">
      <c r="A2033" s="5">
        <v>1972</v>
      </c>
      <c r="B2033" s="138">
        <f>'Cap Outlay Deprec 26'!H8</f>
        <v>3727812</v>
      </c>
      <c r="D2033" s="2" t="str">
        <f t="shared" si="30"/>
        <v>Error?</v>
      </c>
    </row>
    <row r="2034" spans="1:4" x14ac:dyDescent="0.2">
      <c r="A2034" s="5">
        <v>1973</v>
      </c>
      <c r="B2034" s="138">
        <f>'Cap Outlay Deprec 26'!H10</f>
        <v>88829</v>
      </c>
      <c r="D2034" s="2" t="str">
        <f t="shared" si="30"/>
        <v>Error?</v>
      </c>
    </row>
    <row r="2035" spans="1:4" x14ac:dyDescent="0.2">
      <c r="A2035" s="5">
        <v>1974</v>
      </c>
      <c r="B2035" s="138">
        <f>'Cap Outlay Deprec 26'!H12</f>
        <v>137350</v>
      </c>
      <c r="D2035" s="2" t="str">
        <f t="shared" si="30"/>
        <v>Error?</v>
      </c>
    </row>
    <row r="2036" spans="1:4" x14ac:dyDescent="0.2">
      <c r="A2036" s="5">
        <v>1975</v>
      </c>
      <c r="B2036" s="138">
        <f>'Cap Outlay Deprec 26'!H13</f>
        <v>235829</v>
      </c>
      <c r="D2036" s="2" t="str">
        <f t="shared" si="30"/>
        <v>Error?</v>
      </c>
    </row>
    <row r="2037" spans="1:4" x14ac:dyDescent="0.2">
      <c r="A2037" s="5">
        <v>1976</v>
      </c>
      <c r="B2037" s="138">
        <f>'Cap Outlay Deprec 26'!H16</f>
        <v>4189820</v>
      </c>
      <c r="C2037" s="2" t="s">
        <v>573</v>
      </c>
      <c r="D2037" s="2" t="str">
        <f t="shared" si="30"/>
        <v>Error?</v>
      </c>
    </row>
    <row r="2038" spans="1:4" x14ac:dyDescent="0.2">
      <c r="A2038" s="10">
        <v>1977</v>
      </c>
      <c r="D2038" s="2" t="str">
        <f t="shared" si="30"/>
        <v>OK</v>
      </c>
    </row>
    <row r="2039" spans="1:4" x14ac:dyDescent="0.2">
      <c r="A2039" s="5">
        <v>1978</v>
      </c>
      <c r="B2039" s="138">
        <f>'Cap Outlay Deprec 26'!I8</f>
        <v>178593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2291</v>
      </c>
      <c r="D2041" s="2" t="str">
        <f t="shared" si="30"/>
        <v>Error?</v>
      </c>
    </row>
    <row r="2042" spans="1:4" x14ac:dyDescent="0.2">
      <c r="A2042" s="5">
        <v>1981</v>
      </c>
      <c r="B2042" s="138">
        <f>'Cap Outlay Deprec 26'!I13</f>
        <v>42143</v>
      </c>
      <c r="D2042" s="2" t="str">
        <f t="shared" si="30"/>
        <v>Error?</v>
      </c>
    </row>
    <row r="2043" spans="1:4" x14ac:dyDescent="0.2">
      <c r="A2043" s="5">
        <v>1982</v>
      </c>
      <c r="B2043" s="138">
        <f>'Cap Outlay Deprec 26'!I16</f>
        <v>223027</v>
      </c>
      <c r="C2043" s="2" t="s">
        <v>573</v>
      </c>
      <c r="D2043" s="2" t="str">
        <f t="shared" si="30"/>
        <v>Error?</v>
      </c>
    </row>
    <row r="2044" spans="1:4" x14ac:dyDescent="0.2">
      <c r="A2044" s="10">
        <v>1983</v>
      </c>
      <c r="D2044" s="2" t="str">
        <f t="shared" si="30"/>
        <v>OK</v>
      </c>
    </row>
    <row r="2045" spans="1:4" x14ac:dyDescent="0.2">
      <c r="A2045" s="5">
        <v>1984</v>
      </c>
      <c r="B2045" s="138">
        <f>'Cap Outlay Deprec 26'!J8</f>
        <v>34935</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51711</v>
      </c>
      <c r="D2047" s="2" t="str">
        <f t="shared" ref="D2047:D2110" si="31">IF(ISBLANK(B2047),"OK",IF(A2047-B2047=0,"OK","Error?"))</f>
        <v>Error?</v>
      </c>
    </row>
    <row r="2048" spans="1:4" x14ac:dyDescent="0.2">
      <c r="A2048" s="5">
        <v>1987</v>
      </c>
      <c r="B2048" s="138">
        <f>'Cap Outlay Deprec 26'!J13</f>
        <v>30800</v>
      </c>
      <c r="D2048" s="2" t="str">
        <f t="shared" si="31"/>
        <v>Error?</v>
      </c>
    </row>
    <row r="2049" spans="1:4" x14ac:dyDescent="0.2">
      <c r="A2049" s="5">
        <v>1988</v>
      </c>
      <c r="B2049" s="138">
        <f>'Cap Outlay Deprec 26'!J16</f>
        <v>117446</v>
      </c>
      <c r="C2049" s="2" t="s">
        <v>573</v>
      </c>
      <c r="D2049" s="2" t="str">
        <f t="shared" si="31"/>
        <v>Error?</v>
      </c>
    </row>
    <row r="2050" spans="1:4" x14ac:dyDescent="0.2">
      <c r="A2050" s="10">
        <v>1989</v>
      </c>
      <c r="D2050" s="2" t="str">
        <f t="shared" si="31"/>
        <v>OK</v>
      </c>
    </row>
    <row r="2051" spans="1:4" x14ac:dyDescent="0.2">
      <c r="A2051" s="5">
        <v>1990</v>
      </c>
      <c r="B2051" s="138">
        <f>'Cap Outlay Deprec 26'!K8</f>
        <v>3871470</v>
      </c>
      <c r="C2051" s="2" t="s">
        <v>573</v>
      </c>
      <c r="D2051" s="2" t="str">
        <f t="shared" si="31"/>
        <v>Error?</v>
      </c>
    </row>
    <row r="2052" spans="1:4" x14ac:dyDescent="0.2">
      <c r="A2052" s="5">
        <v>1991</v>
      </c>
      <c r="B2052" s="138">
        <f>'Cap Outlay Deprec 26'!K10</f>
        <v>88829</v>
      </c>
      <c r="C2052" s="2" t="s">
        <v>573</v>
      </c>
      <c r="D2052" s="2" t="str">
        <f t="shared" si="31"/>
        <v>Error?</v>
      </c>
    </row>
    <row r="2053" spans="1:4" x14ac:dyDescent="0.2">
      <c r="A2053" s="5">
        <v>1992</v>
      </c>
      <c r="B2053" s="138">
        <f>'Cap Outlay Deprec 26'!K12</f>
        <v>87930</v>
      </c>
      <c r="C2053" s="2" t="s">
        <v>573</v>
      </c>
      <c r="D2053" s="2" t="str">
        <f t="shared" si="31"/>
        <v>Error?</v>
      </c>
    </row>
    <row r="2054" spans="1:4" x14ac:dyDescent="0.2">
      <c r="A2054" s="5">
        <v>1993</v>
      </c>
      <c r="B2054" s="138">
        <f>'Cap Outlay Deprec 26'!K13</f>
        <v>247172</v>
      </c>
      <c r="C2054" s="2" t="s">
        <v>573</v>
      </c>
      <c r="D2054" s="2" t="str">
        <f t="shared" si="31"/>
        <v>Error?</v>
      </c>
    </row>
    <row r="2055" spans="1:4" x14ac:dyDescent="0.2">
      <c r="A2055" s="5">
        <v>1994</v>
      </c>
      <c r="B2055" s="138">
        <f>'Cap Outlay Deprec 26'!K16</f>
        <v>4295401</v>
      </c>
      <c r="C2055" s="2" t="s">
        <v>573</v>
      </c>
      <c r="D2055" s="2" t="str">
        <f t="shared" si="31"/>
        <v>Error?</v>
      </c>
    </row>
    <row r="2056" spans="1:4" x14ac:dyDescent="0.2">
      <c r="A2056" s="5">
        <v>1995</v>
      </c>
      <c r="B2056" s="138">
        <f>'Cap Outlay Deprec 26'!L5</f>
        <v>37000</v>
      </c>
      <c r="C2056" s="2" t="s">
        <v>573</v>
      </c>
      <c r="D2056" s="2" t="str">
        <f t="shared" si="31"/>
        <v>Error?</v>
      </c>
    </row>
    <row r="2057" spans="1:4" x14ac:dyDescent="0.2">
      <c r="A2057" s="5">
        <v>1996</v>
      </c>
      <c r="B2057" s="138">
        <f>'Cap Outlay Deprec 26'!L8</f>
        <v>6322193</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17232</v>
      </c>
      <c r="C2059" s="2" t="s">
        <v>573</v>
      </c>
      <c r="D2059" s="2" t="str">
        <f t="shared" si="31"/>
        <v>Error?</v>
      </c>
    </row>
    <row r="2060" spans="1:4" x14ac:dyDescent="0.2">
      <c r="A2060" s="5">
        <v>1999</v>
      </c>
      <c r="B2060" s="138">
        <f>'Cap Outlay Deprec 26'!L13</f>
        <v>74121</v>
      </c>
      <c r="C2060" s="2" t="s">
        <v>573</v>
      </c>
      <c r="D2060" s="2" t="str">
        <f t="shared" si="31"/>
        <v>Error?</v>
      </c>
    </row>
    <row r="2061" spans="1:4" x14ac:dyDescent="0.2">
      <c r="A2061" s="5">
        <v>2000</v>
      </c>
      <c r="B2061" s="138">
        <f>'Cap Outlay Deprec 26'!L16</f>
        <v>6450546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226724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185809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1195916</v>
      </c>
      <c r="C2551" s="2" t="s">
        <v>573</v>
      </c>
      <c r="D2551" s="2" t="str">
        <f t="shared" si="38"/>
        <v>Error?</v>
      </c>
    </row>
    <row r="2552" spans="1:4" x14ac:dyDescent="0.2">
      <c r="A2552" s="10">
        <v>2491</v>
      </c>
      <c r="D2552" s="2" t="str">
        <f t="shared" si="38"/>
        <v>OK</v>
      </c>
    </row>
    <row r="2553" spans="1:4" x14ac:dyDescent="0.2">
      <c r="A2553" s="5">
        <v>2492</v>
      </c>
      <c r="B2553" s="138">
        <f>'Acct Summary 7-8'!C6</f>
        <v>2154130</v>
      </c>
      <c r="C2553" s="2" t="s">
        <v>573</v>
      </c>
      <c r="D2553" s="2" t="str">
        <f t="shared" si="38"/>
        <v>Error?</v>
      </c>
    </row>
    <row r="2554" spans="1:4" x14ac:dyDescent="0.2">
      <c r="A2554" s="5">
        <v>2493</v>
      </c>
      <c r="B2554" s="138">
        <f>'Acct Summary 7-8'!C7</f>
        <v>537674</v>
      </c>
      <c r="C2554" s="2" t="s">
        <v>573</v>
      </c>
      <c r="D2554" s="2" t="str">
        <f t="shared" si="38"/>
        <v>Error?</v>
      </c>
    </row>
    <row r="2555" spans="1:4" x14ac:dyDescent="0.2">
      <c r="A2555" s="5">
        <v>2494</v>
      </c>
      <c r="B2555" s="138">
        <f>'Acct Summary 7-8'!C8</f>
        <v>3887720</v>
      </c>
      <c r="C2555" s="2" t="s">
        <v>573</v>
      </c>
      <c r="D2555" s="2" t="str">
        <f t="shared" si="38"/>
        <v>Error?</v>
      </c>
    </row>
    <row r="2556" spans="1:4" x14ac:dyDescent="0.2">
      <c r="A2556" s="5">
        <v>2495</v>
      </c>
      <c r="B2556" s="138">
        <f>'Acct Summary 7-8'!C12</f>
        <v>2432655</v>
      </c>
      <c r="C2556" s="2" t="s">
        <v>573</v>
      </c>
      <c r="D2556" s="2" t="str">
        <f t="shared" si="38"/>
        <v>Error?</v>
      </c>
    </row>
    <row r="2557" spans="1:4" x14ac:dyDescent="0.2">
      <c r="A2557" s="5">
        <v>2496</v>
      </c>
      <c r="B2557" s="138">
        <f>'Acct Summary 7-8'!C13</f>
        <v>812600</v>
      </c>
      <c r="C2557" s="2" t="s">
        <v>573</v>
      </c>
      <c r="D2557" s="2" t="str">
        <f t="shared" si="38"/>
        <v>Error?</v>
      </c>
    </row>
    <row r="2558" spans="1:4" x14ac:dyDescent="0.2">
      <c r="A2558" s="5">
        <v>2497</v>
      </c>
      <c r="B2558" s="138">
        <f>'Acct Summary 7-8'!C14</f>
        <v>95034</v>
      </c>
      <c r="C2558" s="2" t="s">
        <v>573</v>
      </c>
      <c r="D2558" s="2" t="str">
        <f t="shared" si="38"/>
        <v>Error?</v>
      </c>
    </row>
    <row r="2559" spans="1:4" x14ac:dyDescent="0.2">
      <c r="A2559" s="5">
        <v>2498</v>
      </c>
      <c r="B2559" s="138">
        <f>'Acct Summary 7-8'!C15</f>
        <v>226724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3567013</v>
      </c>
      <c r="C2561" s="2" t="s">
        <v>573</v>
      </c>
      <c r="D2561" s="2" t="str">
        <f t="shared" si="39"/>
        <v>Error?</v>
      </c>
    </row>
    <row r="2562" spans="1:4" x14ac:dyDescent="0.2">
      <c r="A2562" s="5">
        <v>2501</v>
      </c>
      <c r="B2562" s="138">
        <f>'Acct Summary 7-8'!C20</f>
        <v>320707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246849</v>
      </c>
      <c r="C2564" s="2" t="s">
        <v>573</v>
      </c>
      <c r="D2564" s="2" t="str">
        <f t="shared" si="39"/>
        <v>Error?</v>
      </c>
    </row>
    <row r="2565" spans="1:4" x14ac:dyDescent="0.2">
      <c r="A2565" s="10">
        <v>2504</v>
      </c>
      <c r="D2565" s="2" t="str">
        <f t="shared" si="39"/>
        <v>OK</v>
      </c>
    </row>
    <row r="2566" spans="1:4" x14ac:dyDescent="0.2">
      <c r="A2566" s="5">
        <v>2505</v>
      </c>
      <c r="B2566" s="138">
        <f>'Acct Summary 7-8'!D6</f>
        <v>190000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436849</v>
      </c>
      <c r="C2568" s="2" t="s">
        <v>573</v>
      </c>
      <c r="D2568" s="2" t="str">
        <f t="shared" si="39"/>
        <v>Error?</v>
      </c>
    </row>
    <row r="2569" spans="1:4" x14ac:dyDescent="0.2">
      <c r="A2569" s="5">
        <v>2508</v>
      </c>
      <c r="B2569" s="138">
        <f>'Acct Summary 7-8'!D13</f>
        <v>589922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4409</v>
      </c>
      <c r="C2572" s="2" t="s">
        <v>573</v>
      </c>
      <c r="D2572" s="2" t="str">
        <f t="shared" si="39"/>
        <v>Error?</v>
      </c>
    </row>
    <row r="2573" spans="1:4" x14ac:dyDescent="0.2">
      <c r="A2573" s="5">
        <v>2512</v>
      </c>
      <c r="B2573" s="138">
        <f>'Acct Summary 7-8'!D17</f>
        <v>594331</v>
      </c>
      <c r="C2573" s="2" t="s">
        <v>573</v>
      </c>
      <c r="D2573" s="2" t="str">
        <f t="shared" si="39"/>
        <v>Error?</v>
      </c>
    </row>
    <row r="2574" spans="1:4" x14ac:dyDescent="0.2">
      <c r="A2574" s="5">
        <v>2513</v>
      </c>
      <c r="B2574" s="138">
        <f>'Acct Summary 7-8'!D20</f>
        <v>-157482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54272</v>
      </c>
      <c r="C2591" s="2" t="s">
        <v>573</v>
      </c>
      <c r="D2591" s="2" t="str">
        <f t="shared" si="39"/>
        <v>Error?</v>
      </c>
    </row>
    <row r="2592" spans="1:4" x14ac:dyDescent="0.2">
      <c r="A2592" s="10">
        <v>2531</v>
      </c>
      <c r="D2592" s="2" t="str">
        <f t="shared" si="39"/>
        <v>OK</v>
      </c>
    </row>
    <row r="2593" spans="1:4" x14ac:dyDescent="0.2">
      <c r="A2593" s="5">
        <v>2532</v>
      </c>
      <c r="B2593" s="138">
        <f>'Acct Summary 7-8'!F6</f>
        <v>143887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198159</v>
      </c>
      <c r="C2595" s="2" t="s">
        <v>573</v>
      </c>
      <c r="D2595" s="2" t="str">
        <f t="shared" si="39"/>
        <v>Error?</v>
      </c>
    </row>
    <row r="2596" spans="1:4" x14ac:dyDescent="0.2">
      <c r="A2596" s="5">
        <v>2535</v>
      </c>
      <c r="B2596" s="138">
        <f>'Acct Summary 7-8'!F13</f>
        <v>236137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236137</v>
      </c>
      <c r="C2600" s="2" t="s">
        <v>573</v>
      </c>
      <c r="D2600" s="2" t="str">
        <f t="shared" si="39"/>
        <v>Error?</v>
      </c>
    </row>
    <row r="2601" spans="1:4" x14ac:dyDescent="0.2">
      <c r="A2601" s="5">
        <v>2540</v>
      </c>
      <c r="B2601" s="138">
        <f>'Acct Summary 7-8'!F20</f>
        <v>-37978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133227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133227</v>
      </c>
      <c r="C2606" s="2" t="s">
        <v>573</v>
      </c>
      <c r="D2606" s="2" t="str">
        <f t="shared" si="39"/>
        <v>Error?</v>
      </c>
    </row>
    <row r="2607" spans="1:4" x14ac:dyDescent="0.2">
      <c r="A2607" s="5">
        <v>2546</v>
      </c>
      <c r="B2607" s="138">
        <f>'Acct Summary 7-8'!G12</f>
        <v>60376</v>
      </c>
      <c r="C2607" s="2" t="s">
        <v>573</v>
      </c>
      <c r="D2607" s="2" t="str">
        <f t="shared" si="39"/>
        <v>Error?</v>
      </c>
    </row>
    <row r="2608" spans="1:4" x14ac:dyDescent="0.2">
      <c r="A2608" s="5">
        <v>2547</v>
      </c>
      <c r="B2608" s="138">
        <f>'Acct Summary 7-8'!G13</f>
        <v>73026</v>
      </c>
      <c r="C2608" s="2" t="s">
        <v>573</v>
      </c>
      <c r="D2608" s="2" t="str">
        <f t="shared" si="39"/>
        <v>Error?</v>
      </c>
    </row>
    <row r="2609" spans="1:4" x14ac:dyDescent="0.2">
      <c r="A2609" s="5">
        <v>2548</v>
      </c>
      <c r="B2609" s="138">
        <f>'Acct Summary 7-8'!G14</f>
        <v>11469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144871</v>
      </c>
      <c r="C2612" s="2" t="s">
        <v>573</v>
      </c>
      <c r="D2612" s="2" t="str">
        <f t="shared" si="39"/>
        <v>Error?</v>
      </c>
    </row>
    <row r="2613" spans="1:4" x14ac:dyDescent="0.2">
      <c r="A2613" s="5">
        <v>2552</v>
      </c>
      <c r="B2613" s="138">
        <f>'Acct Summary 7-8'!G20</f>
        <v>-11644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548024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548024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555016</v>
      </c>
      <c r="C2634" s="2" t="s">
        <v>573</v>
      </c>
      <c r="D2634" s="2" t="str">
        <f t="shared" si="40"/>
        <v>Error?</v>
      </c>
    </row>
    <row r="2635" spans="1:4" x14ac:dyDescent="0.2">
      <c r="A2635" s="5">
        <v>2574</v>
      </c>
      <c r="B2635" s="138">
        <f>'Acct Summary 7-8'!E17</f>
        <v>555016</v>
      </c>
      <c r="C2635" s="2" t="s">
        <v>573</v>
      </c>
      <c r="D2635" s="2" t="str">
        <f t="shared" si="40"/>
        <v>Error?</v>
      </c>
    </row>
    <row r="2636" spans="1:4" x14ac:dyDescent="0.2">
      <c r="A2636" s="5">
        <v>2575</v>
      </c>
      <c r="B2636" s="138">
        <f>'Acct Summary 7-8'!E20</f>
        <v>-6992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226724</v>
      </c>
      <c r="C2789" s="2" t="s">
        <v>573</v>
      </c>
      <c r="D2789" s="2" t="str">
        <f t="shared" si="42"/>
        <v>Error?</v>
      </c>
    </row>
    <row r="2790" spans="1:4" x14ac:dyDescent="0.2">
      <c r="A2790" s="5">
        <v>2729</v>
      </c>
      <c r="B2790" s="138">
        <f>'Expenditures 15-22'!E102</f>
        <v>226724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406667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7226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406667</v>
      </c>
      <c r="D2912" s="2" t="str">
        <f t="shared" si="44"/>
        <v>Error?</v>
      </c>
    </row>
    <row r="2913" spans="1:4" x14ac:dyDescent="0.2">
      <c r="A2913" s="5">
        <v>2852</v>
      </c>
      <c r="B2913" s="138">
        <f>'Assets-Liab 5-6'!I41</f>
        <v>406667</v>
      </c>
      <c r="C2913" s="2" t="s">
        <v>573</v>
      </c>
      <c r="D2913" s="2" t="str">
        <f t="shared" si="44"/>
        <v>Error?</v>
      </c>
    </row>
    <row r="2914" spans="1:4" x14ac:dyDescent="0.2">
      <c r="A2914" s="5">
        <v>2853</v>
      </c>
      <c r="B2914" s="138">
        <f>'Assets-Liab 5-6'!L33</f>
        <v>7226</v>
      </c>
      <c r="D2914" s="2" t="str">
        <f t="shared" si="44"/>
        <v>Error?</v>
      </c>
    </row>
    <row r="2915" spans="1:4" x14ac:dyDescent="0.2">
      <c r="A2915" s="10">
        <v>2854</v>
      </c>
      <c r="D2915" s="2" t="str">
        <f t="shared" si="44"/>
        <v>OK</v>
      </c>
    </row>
    <row r="2916" spans="1:4" x14ac:dyDescent="0.2">
      <c r="A2916" s="5">
        <v>2855</v>
      </c>
      <c r="B2916" s="138">
        <f>'Assets-Liab 5-6'!L34</f>
        <v>7226</v>
      </c>
      <c r="C2916" s="2" t="s">
        <v>573</v>
      </c>
      <c r="D2916" s="2" t="str">
        <f t="shared" si="44"/>
        <v>Error?</v>
      </c>
    </row>
    <row r="2917" spans="1:4" x14ac:dyDescent="0.2">
      <c r="A2917" s="5">
        <v>2856</v>
      </c>
      <c r="B2917" s="138">
        <f>'Assets-Liab 5-6'!L41</f>
        <v>7226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3390</v>
      </c>
      <c r="D2949" s="2" t="str">
        <f t="shared" si="45"/>
        <v>Error?</v>
      </c>
    </row>
    <row r="2950" spans="1:4" x14ac:dyDescent="0.2">
      <c r="A2950" s="5">
        <v>2889</v>
      </c>
      <c r="B2950" s="138">
        <f>'Expenditures 15-22'!E79</f>
        <v>223334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3390</v>
      </c>
      <c r="C2973" s="2" t="s">
        <v>573</v>
      </c>
      <c r="D2973" s="2" t="str">
        <f t="shared" si="45"/>
        <v>Error?</v>
      </c>
    </row>
    <row r="2974" spans="1:4" x14ac:dyDescent="0.2">
      <c r="A2974" s="5">
        <v>2913</v>
      </c>
      <c r="B2974" s="138">
        <f>'Expenditures 15-22'!K79</f>
        <v>223334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125789</v>
      </c>
      <c r="D3055" s="2" t="str">
        <f t="shared" si="46"/>
        <v>Error?</v>
      </c>
    </row>
    <row r="3056" spans="1:4" x14ac:dyDescent="0.2">
      <c r="A3056" s="5">
        <v>2995</v>
      </c>
      <c r="B3056" s="138">
        <f>'Expenditures 15-22'!D10</f>
        <v>17406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78697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227880</v>
      </c>
      <c r="C3062" s="2" t="s">
        <v>573</v>
      </c>
      <c r="D3062" s="2" t="str">
        <f t="shared" si="46"/>
        <v>Error?</v>
      </c>
    </row>
    <row r="3063" spans="1:4" x14ac:dyDescent="0.2">
      <c r="A3063" s="10">
        <v>3002</v>
      </c>
      <c r="D3063" s="2" t="str">
        <f t="shared" si="46"/>
        <v>OK</v>
      </c>
    </row>
    <row r="3064" spans="1:4" x14ac:dyDescent="0.2">
      <c r="A3064" s="5">
        <v>3003</v>
      </c>
      <c r="B3064" s="138">
        <f>'Expenditures 15-22'!D219</f>
        <v>6128</v>
      </c>
      <c r="D3064" s="2" t="str">
        <f t="shared" si="46"/>
        <v>Error?</v>
      </c>
    </row>
    <row r="3065" spans="1:4" x14ac:dyDescent="0.2">
      <c r="A3065" s="5">
        <v>3004</v>
      </c>
      <c r="B3065" s="138">
        <f>'Expenditures 15-22'!K219</f>
        <v>6128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250000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22613</v>
      </c>
      <c r="C3225" s="2" t="s">
        <v>573</v>
      </c>
      <c r="D3225" s="2" t="str">
        <f t="shared" si="49"/>
        <v>Error?</v>
      </c>
    </row>
    <row r="3226" spans="1:4" x14ac:dyDescent="0.2">
      <c r="A3226" s="5">
        <v>3165</v>
      </c>
      <c r="B3226" s="138">
        <f>'Acct Summary 7-8'!I8</f>
        <v>22613</v>
      </c>
      <c r="C3226" s="2" t="s">
        <v>573</v>
      </c>
      <c r="D3226" s="2" t="str">
        <f t="shared" si="49"/>
        <v>Error?</v>
      </c>
    </row>
    <row r="3227" spans="1:4" x14ac:dyDescent="0.2">
      <c r="A3227" s="5">
        <v>3166</v>
      </c>
      <c r="B3227" s="138">
        <f>'Acct Summary 7-8'!I20</f>
        <v>22613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320707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250000</v>
      </c>
      <c r="C3238" s="2" t="s">
        <v>573</v>
      </c>
      <c r="D3238" s="2" t="str">
        <f t="shared" si="49"/>
        <v>Error?</v>
      </c>
    </row>
    <row r="3239" spans="1:4" x14ac:dyDescent="0.2">
      <c r="A3239" s="5">
        <v>3178</v>
      </c>
      <c r="B3239" s="138">
        <f>'Acct Summary 7-8'!D78</f>
        <v>92518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-37978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-11644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-6992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22613</v>
      </c>
      <c r="C3320" s="2" t="s">
        <v>573</v>
      </c>
      <c r="D3320" s="2" t="str">
        <f t="shared" si="50"/>
        <v>Error?</v>
      </c>
    </row>
    <row r="3321" spans="1:4" x14ac:dyDescent="0.2">
      <c r="A3321" s="5">
        <v>3260</v>
      </c>
      <c r="B3321" s="138">
        <f>'Acct Summary 7-8'!I79</f>
        <v>384054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406667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407521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24629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23592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592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456334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19774</v>
      </c>
      <c r="D3387" s="2" t="str">
        <f t="shared" si="51"/>
        <v>Error?</v>
      </c>
    </row>
    <row r="3388" spans="1:4" x14ac:dyDescent="0.2">
      <c r="A3388" s="5">
        <v>3327</v>
      </c>
      <c r="B3388" s="138">
        <f>'Expenditures 15-22'!D217</f>
        <v>30366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19774</v>
      </c>
      <c r="C3390" s="2" t="s">
        <v>573</v>
      </c>
      <c r="D3390" s="2" t="str">
        <f t="shared" si="51"/>
        <v>Error?</v>
      </c>
    </row>
    <row r="3391" spans="1:4" x14ac:dyDescent="0.2">
      <c r="A3391" s="5">
        <v>3330</v>
      </c>
      <c r="B3391" s="138">
        <f>'Expenditures 15-22'!K217</f>
        <v>30366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1444650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108086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187200</v>
      </c>
      <c r="D3417" s="2" t="str">
        <f t="shared" si="52"/>
        <v>Error?</v>
      </c>
    </row>
    <row r="3418" spans="1:4" x14ac:dyDescent="0.2">
      <c r="A3418" s="10">
        <v>3357</v>
      </c>
      <c r="D3418" s="2" t="str">
        <f t="shared" si="52"/>
        <v>OK</v>
      </c>
    </row>
    <row r="3419" spans="1:4" x14ac:dyDescent="0.2">
      <c r="A3419" s="5">
        <v>3358</v>
      </c>
      <c r="B3419" s="138">
        <f>'Assets-Liab 5-6'!F4</f>
        <v>22058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133773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406667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7226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50022</v>
      </c>
      <c r="C3446" s="2" t="s">
        <v>573</v>
      </c>
      <c r="D3446" s="2" t="str">
        <f t="shared" si="52"/>
        <v>Error?</v>
      </c>
    </row>
    <row r="3447" spans="1:4" x14ac:dyDescent="0.2">
      <c r="A3447" s="5">
        <v>3386</v>
      </c>
      <c r="B3447" s="138">
        <f>'Tax Sched 23'!D16</f>
        <v>50022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56180</v>
      </c>
      <c r="C3449" s="2" t="s">
        <v>573</v>
      </c>
      <c r="D3449" s="2" t="str">
        <f t="shared" si="52"/>
        <v>Error?</v>
      </c>
    </row>
    <row r="3450" spans="1:4" x14ac:dyDescent="0.2">
      <c r="A3450" s="5">
        <v>3389</v>
      </c>
      <c r="B3450" s="138">
        <f>'Tax Sched 23'!E16</f>
        <v>56180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153010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153010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153010</v>
      </c>
      <c r="D3567" s="2" t="str">
        <f t="shared" si="54"/>
        <v>Error?</v>
      </c>
    </row>
    <row r="3568" spans="1:4" x14ac:dyDescent="0.2">
      <c r="A3568" s="5">
        <v>3507</v>
      </c>
      <c r="B3568" s="138">
        <f>'Assets-Liab 5-6'!K41</f>
        <v>153010</v>
      </c>
      <c r="C3568" s="2" t="s">
        <v>573</v>
      </c>
      <c r="D3568" s="2" t="str">
        <f t="shared" si="54"/>
        <v>Error?</v>
      </c>
    </row>
    <row r="3569" spans="1:4" x14ac:dyDescent="0.2">
      <c r="A3569" s="5">
        <v>3508</v>
      </c>
      <c r="B3569" s="138">
        <f>'Acct Summary 7-8'!K4</f>
        <v>22613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22613</v>
      </c>
      <c r="C3571" s="2" t="s">
        <v>573</v>
      </c>
      <c r="D3571" s="2" t="str">
        <f t="shared" si="54"/>
        <v>Error?</v>
      </c>
    </row>
    <row r="3572" spans="1:4" x14ac:dyDescent="0.2">
      <c r="A3572" s="5">
        <v>3511</v>
      </c>
      <c r="B3572" s="138">
        <f>'Acct Summary 7-8'!K13</f>
        <v>186814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186814</v>
      </c>
      <c r="C3575" s="2" t="s">
        <v>573</v>
      </c>
      <c r="D3575" s="2" t="str">
        <f t="shared" si="54"/>
        <v>Error?</v>
      </c>
    </row>
    <row r="3576" spans="1:4" x14ac:dyDescent="0.2">
      <c r="A3576" s="5">
        <v>3515</v>
      </c>
      <c r="B3576" s="138">
        <f>'Acct Summary 7-8'!K20</f>
        <v>-164201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-164201</v>
      </c>
      <c r="C3588" s="2" t="s">
        <v>573</v>
      </c>
      <c r="D3588" s="2" t="str">
        <f t="shared" si="55"/>
        <v>Error?</v>
      </c>
    </row>
    <row r="3589" spans="1:4" x14ac:dyDescent="0.2">
      <c r="A3589" s="5">
        <v>3528</v>
      </c>
      <c r="B3589" s="138">
        <f>'Acct Summary 7-8'!K79</f>
        <v>317211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153010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28791</v>
      </c>
      <c r="D3632" s="2" t="str">
        <f t="shared" si="55"/>
        <v>Error?</v>
      </c>
    </row>
    <row r="3633" spans="1:4" x14ac:dyDescent="0.2">
      <c r="A3633" s="5">
        <v>3572</v>
      </c>
      <c r="B3633" s="138">
        <f>'Expenditures 15-22'!E350</f>
        <v>28791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28791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158023</v>
      </c>
      <c r="D3646" s="2" t="str">
        <f t="shared" si="55"/>
        <v>Error?</v>
      </c>
    </row>
    <row r="3647" spans="1:4" x14ac:dyDescent="0.2">
      <c r="A3647" s="5">
        <v>3586</v>
      </c>
      <c r="B3647" s="138">
        <f>'Expenditures 15-22'!G350</f>
        <v>158023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158023</v>
      </c>
      <c r="C3649" s="2" t="s">
        <v>573</v>
      </c>
      <c r="D3649" s="2" t="str">
        <f t="shared" si="56"/>
        <v>Error?</v>
      </c>
    </row>
    <row r="3650" spans="1:4" x14ac:dyDescent="0.2">
      <c r="A3650" s="5">
        <v>3589</v>
      </c>
      <c r="B3650" s="138">
        <f>'Expenditures 15-22'!G367</f>
        <v>158023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186814</v>
      </c>
      <c r="C3669" s="2" t="s">
        <v>573</v>
      </c>
      <c r="D3669" s="2" t="str">
        <f t="shared" si="56"/>
        <v>Error?</v>
      </c>
    </row>
    <row r="3670" spans="1:4" x14ac:dyDescent="0.2">
      <c r="A3670" s="5">
        <v>3609</v>
      </c>
      <c r="B3670" s="138">
        <f>'Expenditures 15-22'!K350</f>
        <v>186814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186814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186814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-164201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22431</v>
      </c>
      <c r="C3725" s="2" t="s">
        <v>573</v>
      </c>
      <c r="D3725" s="2" t="str">
        <f t="shared" si="57"/>
        <v>Error?</v>
      </c>
    </row>
    <row r="3726" spans="1:4" x14ac:dyDescent="0.2">
      <c r="A3726" s="5">
        <v>3665</v>
      </c>
      <c r="B3726" s="138">
        <f>'Tax Sched 23'!D13</f>
        <v>22431</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22912</v>
      </c>
      <c r="C3728" s="2" t="s">
        <v>573</v>
      </c>
      <c r="D3728" s="2" t="str">
        <f t="shared" si="57"/>
        <v>Error?</v>
      </c>
    </row>
    <row r="3729" spans="1:4" x14ac:dyDescent="0.2">
      <c r="A3729" s="5">
        <v>3668</v>
      </c>
      <c r="B3729" s="138">
        <f>'Tax Sched 23'!E13</f>
        <v>22912</v>
      </c>
      <c r="D3729" s="2" t="str">
        <f t="shared" si="57"/>
        <v>Error?</v>
      </c>
    </row>
    <row r="3730" spans="1:4" x14ac:dyDescent="0.2">
      <c r="A3730" s="5">
        <v>3669</v>
      </c>
      <c r="B3730" s="138">
        <f>'ICR Computation 30'!E10</f>
        <v>102373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1340951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5228671</v>
      </c>
      <c r="C4122" s="2" t="s">
        <v>573</v>
      </c>
      <c r="D4122" s="2" t="str">
        <f t="shared" si="63"/>
        <v>Error?</v>
      </c>
    </row>
    <row r="4123" spans="1:4" x14ac:dyDescent="0.2">
      <c r="A4123" s="5">
        <v>4062</v>
      </c>
      <c r="B4123" s="138">
        <f>'Acct Summary 7-8'!D10</f>
        <v>436849</v>
      </c>
      <c r="C4123" s="2" t="s">
        <v>573</v>
      </c>
      <c r="D4123" s="2" t="str">
        <f t="shared" si="63"/>
        <v>Error?</v>
      </c>
    </row>
    <row r="4124" spans="1:4" x14ac:dyDescent="0.2">
      <c r="A4124" s="5">
        <v>4063</v>
      </c>
      <c r="B4124" s="138">
        <f>'Acct Summary 7-8'!E10</f>
        <v>548024</v>
      </c>
      <c r="C4124" s="2" t="s">
        <v>573</v>
      </c>
      <c r="D4124" s="2" t="str">
        <f t="shared" si="63"/>
        <v>Error?</v>
      </c>
    </row>
    <row r="4125" spans="1:4" x14ac:dyDescent="0.2">
      <c r="A4125" s="5">
        <v>4064</v>
      </c>
      <c r="B4125" s="138">
        <f>'Acct Summary 7-8'!F10</f>
        <v>198159</v>
      </c>
      <c r="C4125" s="2" t="s">
        <v>573</v>
      </c>
      <c r="D4125" s="2" t="str">
        <f t="shared" si="63"/>
        <v>Error?</v>
      </c>
    </row>
    <row r="4126" spans="1:4" x14ac:dyDescent="0.2">
      <c r="A4126" s="5">
        <v>4065</v>
      </c>
      <c r="B4126" s="138">
        <f>'Acct Summary 7-8'!G10</f>
        <v>133227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22613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22613</v>
      </c>
      <c r="C4130" s="2" t="s">
        <v>573</v>
      </c>
      <c r="D4130" s="2" t="str">
        <f t="shared" si="63"/>
        <v>Error?</v>
      </c>
    </row>
    <row r="4131" spans="1:4" x14ac:dyDescent="0.2">
      <c r="A4131" s="5">
        <v>4070</v>
      </c>
      <c r="B4131" s="138">
        <f>'Acct Summary 7-8'!C18</f>
        <v>1340951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4907964</v>
      </c>
      <c r="C4136" s="2" t="s">
        <v>573</v>
      </c>
      <c r="D4136" s="2" t="str">
        <f t="shared" si="63"/>
        <v>Error?</v>
      </c>
    </row>
    <row r="4137" spans="1:4" x14ac:dyDescent="0.2">
      <c r="A4137" s="5">
        <v>4076</v>
      </c>
      <c r="B4137" s="138">
        <f>'Acct Summary 7-8'!D19</f>
        <v>594331</v>
      </c>
      <c r="C4137" s="2" t="s">
        <v>573</v>
      </c>
      <c r="D4137" s="2" t="str">
        <f t="shared" si="63"/>
        <v>Error?</v>
      </c>
    </row>
    <row r="4138" spans="1:4" x14ac:dyDescent="0.2">
      <c r="A4138" s="5">
        <v>4077</v>
      </c>
      <c r="B4138" s="138">
        <f>'Acct Summary 7-8'!E19</f>
        <v>555016</v>
      </c>
      <c r="C4138" s="2" t="s">
        <v>573</v>
      </c>
      <c r="D4138" s="2" t="str">
        <f t="shared" si="63"/>
        <v>Error?</v>
      </c>
    </row>
    <row r="4139" spans="1:4" x14ac:dyDescent="0.2">
      <c r="A4139" s="5">
        <v>4078</v>
      </c>
      <c r="B4139" s="138">
        <f>'Acct Summary 7-8'!F19</f>
        <v>236137</v>
      </c>
      <c r="C4139" s="2" t="s">
        <v>573</v>
      </c>
      <c r="D4139" s="2" t="str">
        <f t="shared" si="63"/>
        <v>Error?</v>
      </c>
    </row>
    <row r="4140" spans="1:4" x14ac:dyDescent="0.2">
      <c r="A4140" s="5">
        <v>4079</v>
      </c>
      <c r="B4140" s="138">
        <f>'Acct Summary 7-8'!G19</f>
        <v>144871</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186814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1097980</v>
      </c>
      <c r="C4171" s="2" t="s">
        <v>573</v>
      </c>
      <c r="D4171" s="2" t="str">
        <f t="shared" si="64"/>
        <v>Error?</v>
      </c>
    </row>
    <row r="4172" spans="1:4" x14ac:dyDescent="0.2">
      <c r="A4172" s="5">
        <v>4111</v>
      </c>
      <c r="B4172" s="138">
        <f>'Short-Term Long-Term Debt 24'!J49</f>
        <v>910780</v>
      </c>
      <c r="C4172" s="2" t="s">
        <v>573</v>
      </c>
      <c r="D4172" s="2" t="str">
        <f t="shared" si="64"/>
        <v>Error?</v>
      </c>
    </row>
    <row r="4173" spans="1:4" x14ac:dyDescent="0.2">
      <c r="A4173" s="5">
        <v>4112</v>
      </c>
      <c r="B4173" s="138">
        <f>'Short-Term Long-Term Debt 24'!H49</f>
        <v>239856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1859.9999999999998</v>
      </c>
      <c r="C4265" s="2" t="s">
        <v>573</v>
      </c>
      <c r="D4265" s="2" t="str">
        <f t="shared" si="65"/>
        <v>Error?</v>
      </c>
      <c r="E4265" s="128"/>
    </row>
    <row r="4266" spans="1:5" x14ac:dyDescent="0.2">
      <c r="A4266" s="12">
        <v>4205</v>
      </c>
      <c r="B4266" s="138">
        <f>('FP Info 3'!F10)*100000</f>
        <v>400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2380</v>
      </c>
      <c r="C4268" s="2" t="s">
        <v>573</v>
      </c>
      <c r="D4268" s="2" t="str">
        <f t="shared" si="65"/>
        <v>Error?</v>
      </c>
    </row>
    <row r="4269" spans="1:5" x14ac:dyDescent="0.2">
      <c r="A4269" s="12">
        <v>4208</v>
      </c>
      <c r="B4269" s="138">
        <f>'FP Info 3'!J16</f>
        <v>1979863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12215</v>
      </c>
      <c r="D4331" s="2" t="str">
        <f t="shared" si="66"/>
        <v>Error?</v>
      </c>
    </row>
    <row r="4332" spans="1:4" x14ac:dyDescent="0.2">
      <c r="A4332" s="5">
        <v>4271</v>
      </c>
      <c r="B4332" s="138">
        <f>'Revenues 9-14'!C203</f>
        <v>30228</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8624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18817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16225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21076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8000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45823656</v>
      </c>
      <c r="D4995" s="2" t="str">
        <f t="shared" si="77"/>
        <v>Error?</v>
      </c>
    </row>
    <row r="4996" spans="1:4" x14ac:dyDescent="0.2">
      <c r="A4996" s="12">
        <v>4935</v>
      </c>
      <c r="B4996" s="138">
        <f>'FP Info 3'!H31</f>
        <v>3161832.2640000004</v>
      </c>
      <c r="D4996" s="2" t="str">
        <f t="shared" si="77"/>
        <v>Error?</v>
      </c>
    </row>
    <row r="4997" spans="1:4" x14ac:dyDescent="0.2">
      <c r="A4997" s="12">
        <v>4936</v>
      </c>
      <c r="B4997" s="138">
        <f>'FP Info 3'!H37</f>
        <v>1097980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834377</v>
      </c>
      <c r="D5061" s="2" t="str">
        <f t="shared" si="78"/>
        <v>Error?</v>
      </c>
    </row>
    <row r="5062" spans="1:4" x14ac:dyDescent="0.2">
      <c r="A5062" s="10">
        <v>5001</v>
      </c>
      <c r="D5062" s="2" t="str">
        <f t="shared" si="78"/>
        <v>OK</v>
      </c>
    </row>
    <row r="5063" spans="1:4" x14ac:dyDescent="0.2">
      <c r="A5063" s="5">
        <v>5002</v>
      </c>
      <c r="B5063" s="138">
        <f>'Revenues 9-14'!C7</f>
        <v>9046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843423</v>
      </c>
      <c r="C5066" s="2" t="s">
        <v>573</v>
      </c>
      <c r="D5066" s="2" t="str">
        <f t="shared" si="78"/>
        <v>Error?</v>
      </c>
    </row>
    <row r="5067" spans="1:4" x14ac:dyDescent="0.2">
      <c r="A5067" s="5">
        <v>5006</v>
      </c>
      <c r="B5067" s="138">
        <f>'Revenues 9-14'!C14</f>
        <v>6830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40891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47721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24630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24630</v>
      </c>
      <c r="C5087" s="2" t="s">
        <v>573</v>
      </c>
      <c r="D5087" s="2" t="str">
        <f t="shared" si="78"/>
        <v>Error?</v>
      </c>
    </row>
    <row r="5088" spans="1:4" x14ac:dyDescent="0.2">
      <c r="A5088" s="5">
        <v>5027</v>
      </c>
      <c r="B5088" s="138">
        <f>'Revenues 9-14'!C65</f>
        <v>15410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15410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287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406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28812</v>
      </c>
      <c r="C5096" s="2" t="s">
        <v>573</v>
      </c>
      <c r="D5096" s="2" t="str">
        <f t="shared" si="78"/>
        <v>Error?</v>
      </c>
    </row>
    <row r="5097" spans="1:4" x14ac:dyDescent="0.2">
      <c r="A5097" s="5">
        <v>5036</v>
      </c>
      <c r="B5097" s="138">
        <f>'Revenues 9-14'!C77</f>
        <v>1242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1242</v>
      </c>
      <c r="C5102" s="2" t="s">
        <v>573</v>
      </c>
      <c r="D5102" s="2" t="str">
        <f t="shared" si="78"/>
        <v>Error?</v>
      </c>
    </row>
    <row r="5103" spans="1:4" x14ac:dyDescent="0.2">
      <c r="A5103" s="5">
        <v>5042</v>
      </c>
      <c r="B5103" s="138">
        <f>'Revenues 9-14'!C84</f>
        <v>7248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7248</v>
      </c>
      <c r="C5112" s="2" t="s">
        <v>573</v>
      </c>
      <c r="D5112" s="2" t="str">
        <f t="shared" si="78"/>
        <v>Error?</v>
      </c>
    </row>
    <row r="5113" spans="1:4" x14ac:dyDescent="0.2">
      <c r="A5113" s="5">
        <v>5052</v>
      </c>
      <c r="B5113" s="138">
        <f>'Revenues 9-14'!C95</f>
        <v>137452</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88281</v>
      </c>
      <c r="D5118" s="2" t="str">
        <f t="shared" si="78"/>
        <v>Error?</v>
      </c>
    </row>
    <row r="5119" spans="1:4" x14ac:dyDescent="0.2">
      <c r="A5119" s="5">
        <v>5058</v>
      </c>
      <c r="B5119" s="138">
        <f>'Revenues 9-14'!C107</f>
        <v>1697</v>
      </c>
      <c r="D5119" s="2" t="str">
        <f t="shared" ref="D5119:D5182" si="79">IF(ISBLANK(B5119),"OK",IF(A5119-B5119=0,"OK","Error?"))</f>
        <v>Error?</v>
      </c>
    </row>
    <row r="5120" spans="1:4" x14ac:dyDescent="0.2">
      <c r="A5120" s="5">
        <v>5059</v>
      </c>
      <c r="B5120" s="138">
        <f>'Revenues 9-14'!C108</f>
        <v>227430</v>
      </c>
      <c r="C5120" s="2" t="s">
        <v>573</v>
      </c>
      <c r="D5120" s="2" t="str">
        <f t="shared" si="79"/>
        <v>Error?</v>
      </c>
    </row>
    <row r="5121" spans="1:4" x14ac:dyDescent="0.2">
      <c r="A5121" s="5">
        <v>5060</v>
      </c>
      <c r="B5121" s="138">
        <f>'Revenues 9-14'!C109</f>
        <v>1195916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1979000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1979000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47554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47554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3488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116088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175130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2154130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119452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46283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177950</v>
      </c>
      <c r="C5246" s="2" t="s">
        <v>573</v>
      </c>
      <c r="D5246" s="2" t="str">
        <f t="shared" si="80"/>
        <v>Error?</v>
      </c>
    </row>
    <row r="5247" spans="1:4" x14ac:dyDescent="0.2">
      <c r="A5247" s="5">
        <v>5186</v>
      </c>
      <c r="B5247" s="138">
        <f>'Revenues 9-14'!C200</f>
        <v>182139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16225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212367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82615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82615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537674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537674</v>
      </c>
      <c r="C5326" s="2" t="s">
        <v>573</v>
      </c>
      <c r="D5326" s="2" t="str">
        <f t="shared" si="82"/>
        <v>Error?</v>
      </c>
    </row>
    <row r="5327" spans="1:5" x14ac:dyDescent="0.2">
      <c r="A5327" s="5">
        <v>5266</v>
      </c>
      <c r="B5327" s="138">
        <f>'Revenues 9-14'!C268</f>
        <v>3887720</v>
      </c>
      <c r="C5327" s="2" t="s">
        <v>573</v>
      </c>
      <c r="D5327" s="2" t="str">
        <f t="shared" si="82"/>
        <v>Error?</v>
      </c>
    </row>
    <row r="5328" spans="1:5" x14ac:dyDescent="0.2">
      <c r="A5328" s="5">
        <v>5267</v>
      </c>
      <c r="B5328" s="138">
        <f>'Revenues 9-14'!D5</f>
        <v>179452</v>
      </c>
      <c r="D5328" s="2" t="str">
        <f t="shared" si="82"/>
        <v>Error?</v>
      </c>
    </row>
    <row r="5329" spans="1:4" x14ac:dyDescent="0.2">
      <c r="A5329" s="10">
        <v>5268</v>
      </c>
      <c r="D5329" s="2" t="str">
        <f t="shared" si="82"/>
        <v>OK</v>
      </c>
    </row>
    <row r="5330" spans="1:4" x14ac:dyDescent="0.2">
      <c r="A5330" s="5">
        <v>5269</v>
      </c>
      <c r="B5330" s="138">
        <f>'Revenues 9-14'!D6</f>
        <v>22431</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201883</v>
      </c>
      <c r="C5334" s="2" t="s">
        <v>573</v>
      </c>
      <c r="D5334" s="2" t="str">
        <f t="shared" si="82"/>
        <v>Error?</v>
      </c>
    </row>
    <row r="5335" spans="1:4" x14ac:dyDescent="0.2">
      <c r="A5335" s="5">
        <v>5274</v>
      </c>
      <c r="B5335" s="138">
        <f>'Revenues 9-14'!D14</f>
        <v>1635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1635</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500</v>
      </c>
      <c r="D5349" s="2" t="str">
        <f t="shared" si="82"/>
        <v>Error?</v>
      </c>
    </row>
    <row r="5350" spans="1:4" x14ac:dyDescent="0.2">
      <c r="A5350" s="5">
        <v>5289</v>
      </c>
      <c r="B5350" s="138">
        <f>'Revenues 9-14'!D96</f>
        <v>1412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43331</v>
      </c>
      <c r="C5355" s="2" t="s">
        <v>573</v>
      </c>
      <c r="D5355" s="2" t="str">
        <f t="shared" si="82"/>
        <v>Error?</v>
      </c>
    </row>
    <row r="5356" spans="1:4" x14ac:dyDescent="0.2">
      <c r="A5356" s="5">
        <v>5295</v>
      </c>
      <c r="B5356" s="138">
        <f>'Revenues 9-14'!D109</f>
        <v>246849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190000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190000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190000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436849</v>
      </c>
      <c r="C5508" s="2" t="s">
        <v>573</v>
      </c>
      <c r="D5508" s="2" t="str">
        <f t="shared" si="85"/>
        <v>Error?</v>
      </c>
    </row>
    <row r="5509" spans="1:4" x14ac:dyDescent="0.2">
      <c r="A5509" s="5">
        <v>5448</v>
      </c>
      <c r="B5509" s="138">
        <f>'Revenues 9-14'!E5</f>
        <v>540240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540240</v>
      </c>
      <c r="C5513" s="2" t="s">
        <v>573</v>
      </c>
      <c r="D5513" s="2" t="str">
        <f t="shared" si="85"/>
        <v>Error?</v>
      </c>
    </row>
    <row r="5514" spans="1:4" x14ac:dyDescent="0.2">
      <c r="A5514" s="5">
        <v>5453</v>
      </c>
      <c r="B5514" s="138">
        <f>'Revenues 9-14'!E14</f>
        <v>4375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4375</v>
      </c>
      <c r="C5518" s="2" t="s">
        <v>573</v>
      </c>
      <c r="D5518" s="2" t="str">
        <f t="shared" si="85"/>
        <v>Error?</v>
      </c>
    </row>
    <row r="5519" spans="1:4" x14ac:dyDescent="0.2">
      <c r="A5519" s="5">
        <v>5458</v>
      </c>
      <c r="B5519" s="138">
        <f>'Revenues 9-14'!E65</f>
        <v>3409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3409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548024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548024</v>
      </c>
      <c r="C5552" s="2" t="s">
        <v>573</v>
      </c>
      <c r="D5552" s="2" t="str">
        <f t="shared" si="85"/>
        <v>Error?</v>
      </c>
    </row>
    <row r="5553" spans="1:4" x14ac:dyDescent="0.2">
      <c r="A5553" s="5">
        <v>5492</v>
      </c>
      <c r="B5553" s="138">
        <f>'Revenues 9-14'!F5</f>
        <v>53836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53836</v>
      </c>
      <c r="C5557" s="2" t="s">
        <v>573</v>
      </c>
      <c r="D5557" s="2" t="str">
        <f t="shared" si="85"/>
        <v>Error?</v>
      </c>
    </row>
    <row r="5558" spans="1:4" x14ac:dyDescent="0.2">
      <c r="A5558" s="5">
        <v>5497</v>
      </c>
      <c r="B5558" s="138">
        <f>'Revenues 9-14'!F14</f>
        <v>436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436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54272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31732</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31732</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35779</v>
      </c>
      <c r="D5615" s="2" t="str">
        <f t="shared" si="86"/>
        <v>Error?</v>
      </c>
    </row>
    <row r="5616" spans="1:4" x14ac:dyDescent="0.2">
      <c r="A5616" s="10">
        <v>5555</v>
      </c>
      <c r="D5616" s="2" t="str">
        <f t="shared" si="86"/>
        <v>OK</v>
      </c>
    </row>
    <row r="5617" spans="1:5" x14ac:dyDescent="0.2">
      <c r="A5617" s="5">
        <v>5556</v>
      </c>
      <c r="B5617" s="138">
        <f>'Revenues 9-14'!F153</f>
        <v>76376</v>
      </c>
      <c r="D5617" s="2" t="str">
        <f t="shared" si="86"/>
        <v>Error?</v>
      </c>
    </row>
    <row r="5618" spans="1:5" x14ac:dyDescent="0.2">
      <c r="A5618" s="5">
        <v>5557</v>
      </c>
      <c r="B5618" s="138">
        <f>'Revenues 9-14'!F155</f>
        <v>112155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112155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143887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198159</v>
      </c>
      <c r="C5720" s="2" t="s">
        <v>573</v>
      </c>
      <c r="D5720" s="2" t="str">
        <f t="shared" si="88"/>
        <v>Error?</v>
      </c>
    </row>
    <row r="5721" spans="1:4" x14ac:dyDescent="0.2">
      <c r="A5721" s="5">
        <v>5660</v>
      </c>
      <c r="B5721" s="138">
        <f>'Revenues 9-14'!G5</f>
        <v>65140</v>
      </c>
      <c r="D5721" s="2" t="str">
        <f t="shared" si="88"/>
        <v>Error?</v>
      </c>
    </row>
    <row r="5722" spans="1:4" x14ac:dyDescent="0.2">
      <c r="A5722" s="5">
        <v>5661</v>
      </c>
      <c r="B5722" s="138">
        <f>'Revenues 9-14'!G7</f>
        <v>0</v>
      </c>
      <c r="D5722" s="2" t="str">
        <f t="shared" si="88"/>
        <v>Error?</v>
      </c>
    </row>
    <row r="5723" spans="1:4" x14ac:dyDescent="0.2">
      <c r="A5723" s="5">
        <v>5662</v>
      </c>
      <c r="B5723" s="138">
        <f>'Revenues 9-14'!G8</f>
        <v>50022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115162</v>
      </c>
      <c r="C5725" s="2" t="s">
        <v>573</v>
      </c>
      <c r="D5725" s="2" t="str">
        <f t="shared" si="88"/>
        <v>Error?</v>
      </c>
    </row>
    <row r="5726" spans="1:4" x14ac:dyDescent="0.2">
      <c r="A5726" s="5">
        <v>5665</v>
      </c>
      <c r="B5726" s="138">
        <f>'Revenues 9-14'!G14</f>
        <v>933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5662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6595</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11470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133227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22431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22431</v>
      </c>
      <c r="C5918" s="2" t="s">
        <v>573</v>
      </c>
      <c r="D5918" s="2" t="str">
        <f t="shared" si="91"/>
        <v>Error?</v>
      </c>
    </row>
    <row r="5919" spans="1:4" x14ac:dyDescent="0.2">
      <c r="A5919" s="5">
        <v>5858</v>
      </c>
      <c r="B5919" s="138">
        <f>'Revenues 9-14'!I14</f>
        <v>182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182</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22613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22431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22431</v>
      </c>
      <c r="C5987" s="2" t="s">
        <v>573</v>
      </c>
      <c r="D5987" s="2" t="str">
        <f t="shared" si="92"/>
        <v>Error?</v>
      </c>
    </row>
    <row r="5988" spans="1:4" x14ac:dyDescent="0.2">
      <c r="A5988" s="5">
        <v>5927</v>
      </c>
      <c r="B5988" s="138">
        <f>'Revenues 9-14'!K14</f>
        <v>182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182</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22613</v>
      </c>
      <c r="C6023" s="2" t="s">
        <v>573</v>
      </c>
      <c r="D6023" s="2" t="str">
        <f t="shared" si="93"/>
        <v>Error?</v>
      </c>
    </row>
    <row r="6024" spans="1:5" x14ac:dyDescent="0.2">
      <c r="A6024" s="5">
        <v>5963</v>
      </c>
      <c r="B6024" s="138">
        <f>'Revenues 9-14'!G109</f>
        <v>133227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22613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22613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28119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18311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416.04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400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142154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142154</v>
      </c>
      <c r="D6215" s="2" t="str">
        <f t="shared" si="96"/>
        <v>Error?</v>
      </c>
      <c r="E6215" s="2" t="s">
        <v>190</v>
      </c>
    </row>
    <row r="6216" spans="1:5" x14ac:dyDescent="0.2">
      <c r="A6216">
        <v>6155</v>
      </c>
      <c r="B6216" s="138">
        <f>'Assets-Liab 5-6'!J41</f>
        <v>142154</v>
      </c>
      <c r="D6216" s="2" t="str">
        <f t="shared" si="96"/>
        <v>Error?</v>
      </c>
      <c r="E6216" s="2" t="s">
        <v>190</v>
      </c>
    </row>
    <row r="6217" spans="1:5" x14ac:dyDescent="0.2">
      <c r="A6217">
        <v>6156</v>
      </c>
      <c r="B6217" s="138">
        <f>'Assets-Liab 5-6'!J4</f>
        <v>142154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234497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234497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234497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254972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254972</v>
      </c>
      <c r="D6229" s="2" t="str">
        <f t="shared" si="96"/>
        <v>Error?</v>
      </c>
      <c r="E6229" s="2" t="s">
        <v>190</v>
      </c>
    </row>
    <row r="6230" spans="1:5" x14ac:dyDescent="0.2">
      <c r="A6230">
        <v>6169</v>
      </c>
      <c r="B6230" s="138">
        <f>'Acct Summary 7-8'!J20</f>
        <v>-20475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-20475</v>
      </c>
      <c r="D6263" s="2" t="str">
        <f t="shared" si="96"/>
        <v>Error?</v>
      </c>
      <c r="E6263" s="2" t="s">
        <v>190</v>
      </c>
    </row>
    <row r="6264" spans="1:5" x14ac:dyDescent="0.2">
      <c r="A6264">
        <v>6203</v>
      </c>
      <c r="B6264" s="138">
        <f>'Acct Summary 7-8'!J79</f>
        <v>162629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142154</v>
      </c>
      <c r="D6266" s="2" t="str">
        <f t="shared" si="96"/>
        <v>Error?</v>
      </c>
      <c r="E6266" s="2" t="s">
        <v>190</v>
      </c>
    </row>
    <row r="6267" spans="1:5" x14ac:dyDescent="0.2">
      <c r="A6267">
        <v>6206</v>
      </c>
      <c r="B6267" s="138">
        <f>'Acct Summary 7-8'!C82</f>
        <v>320707</v>
      </c>
      <c r="D6267" s="2" t="str">
        <f t="shared" si="96"/>
        <v>Error?</v>
      </c>
      <c r="E6267" s="2" t="s">
        <v>190</v>
      </c>
    </row>
    <row r="6268" spans="1:5" x14ac:dyDescent="0.2">
      <c r="A6268">
        <v>6207</v>
      </c>
      <c r="B6268" s="138">
        <f>'Acct Summary 7-8'!D82</f>
        <v>92518</v>
      </c>
      <c r="D6268" s="2" t="str">
        <f t="shared" si="96"/>
        <v>Error?</v>
      </c>
      <c r="E6268" s="2" t="s">
        <v>190</v>
      </c>
    </row>
    <row r="6269" spans="1:5" x14ac:dyDescent="0.2">
      <c r="A6269">
        <v>6208</v>
      </c>
      <c r="B6269" s="138">
        <f>'Acct Summary 7-8'!E82</f>
        <v>-6992</v>
      </c>
      <c r="D6269" s="2" t="str">
        <f t="shared" si="96"/>
        <v>Error?</v>
      </c>
      <c r="E6269" s="2" t="s">
        <v>190</v>
      </c>
    </row>
    <row r="6270" spans="1:5" x14ac:dyDescent="0.2">
      <c r="A6270">
        <v>6209</v>
      </c>
      <c r="B6270" s="138">
        <f>'Acct Summary 7-8'!F82</f>
        <v>-37978</v>
      </c>
      <c r="D6270" s="2" t="str">
        <f t="shared" si="96"/>
        <v>Error?</v>
      </c>
      <c r="E6270" s="2" t="s">
        <v>190</v>
      </c>
    </row>
    <row r="6271" spans="1:5" x14ac:dyDescent="0.2">
      <c r="A6271">
        <v>6210</v>
      </c>
      <c r="B6271" s="138">
        <f>'Acct Summary 7-8'!G82</f>
        <v>-11644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22613</v>
      </c>
      <c r="D6273" s="2" t="str">
        <f t="shared" si="97"/>
        <v>Error?</v>
      </c>
      <c r="E6273" s="2" t="s">
        <v>190</v>
      </c>
    </row>
    <row r="6274" spans="1:5" x14ac:dyDescent="0.2">
      <c r="A6274">
        <v>6213</v>
      </c>
      <c r="B6274" s="138">
        <f>'Acct Summary 7-8'!J82</f>
        <v>-20475</v>
      </c>
      <c r="D6274" s="2" t="str">
        <f t="shared" si="97"/>
        <v>Error?</v>
      </c>
      <c r="E6274" s="2" t="s">
        <v>190</v>
      </c>
    </row>
    <row r="6275" spans="1:5" x14ac:dyDescent="0.2">
      <c r="A6275">
        <v>6214</v>
      </c>
      <c r="B6275" s="138">
        <f>'Acct Summary 7-8'!K82</f>
        <v>-164201</v>
      </c>
      <c r="D6275" s="2" t="str">
        <f t="shared" si="97"/>
        <v>Error?</v>
      </c>
      <c r="E6275" s="2" t="s">
        <v>190</v>
      </c>
    </row>
    <row r="6276" spans="1:5" x14ac:dyDescent="0.2">
      <c r="A6276">
        <v>6215</v>
      </c>
      <c r="B6276" s="138">
        <f>'Acct Summary 7-8'!C83</f>
        <v>0.22230378497378439</v>
      </c>
      <c r="D6276" s="2" t="str">
        <f t="shared" si="97"/>
        <v>Error?</v>
      </c>
      <c r="E6276" s="2" t="s">
        <v>190</v>
      </c>
    </row>
    <row r="6277" spans="1:5" x14ac:dyDescent="0.2">
      <c r="A6277">
        <v>6216</v>
      </c>
      <c r="B6277" s="138">
        <f>'Acct Summary 7-8'!D83</f>
        <v>0.85281050089412458</v>
      </c>
      <c r="D6277" s="2" t="str">
        <f t="shared" si="97"/>
        <v>Error?</v>
      </c>
      <c r="E6277" s="2" t="s">
        <v>190</v>
      </c>
    </row>
    <row r="6278" spans="1:5" x14ac:dyDescent="0.2">
      <c r="A6278">
        <v>6217</v>
      </c>
      <c r="B6278" s="138">
        <f>'Acct Summary 7-8'!E83</f>
        <v>-3.7350427350427352E-2</v>
      </c>
      <c r="D6278" s="2" t="str">
        <f t="shared" si="97"/>
        <v>Error?</v>
      </c>
      <c r="E6278" s="2" t="s">
        <v>190</v>
      </c>
    </row>
    <row r="6279" spans="1:5" x14ac:dyDescent="0.2">
      <c r="A6279">
        <v>6218</v>
      </c>
      <c r="B6279" s="138">
        <f>'Acct Summary 7-8'!F83</f>
        <v>-1.7217336113881585</v>
      </c>
      <c r="D6279" s="2" t="str">
        <f t="shared" si="97"/>
        <v>Error?</v>
      </c>
      <c r="E6279" s="2" t="s">
        <v>190</v>
      </c>
    </row>
    <row r="6280" spans="1:5" x14ac:dyDescent="0.2">
      <c r="A6280">
        <v>6219</v>
      </c>
      <c r="B6280" s="138">
        <f>'Acct Summary 7-8'!G83</f>
        <v>-8.7042975787341242E-2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5.5605692126481865E-2</v>
      </c>
      <c r="D6282" s="2" t="str">
        <f t="shared" si="97"/>
        <v>Error?</v>
      </c>
      <c r="E6282" s="2" t="s">
        <v>190</v>
      </c>
    </row>
    <row r="6283" spans="1:5" x14ac:dyDescent="0.2">
      <c r="A6283">
        <v>6222</v>
      </c>
      <c r="B6283" s="138">
        <f>'Acct Summary 7-8'!J83</f>
        <v>-0.14403393502820885</v>
      </c>
      <c r="D6283" s="2" t="str">
        <f t="shared" si="97"/>
        <v>Error?</v>
      </c>
      <c r="E6283" s="2" t="s">
        <v>190</v>
      </c>
    </row>
    <row r="6284" spans="1:5" x14ac:dyDescent="0.2">
      <c r="A6284">
        <v>6223</v>
      </c>
      <c r="B6284" s="138">
        <f>'Acct Summary 7-8'!K83</f>
        <v>-1.0731390105221881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232613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232613</v>
      </c>
      <c r="D6301" s="2" t="str">
        <f t="shared" si="97"/>
        <v>Error?</v>
      </c>
      <c r="E6301" s="2" t="s">
        <v>190</v>
      </c>
    </row>
    <row r="6302" spans="1:5" x14ac:dyDescent="0.2">
      <c r="A6302">
        <v>6241</v>
      </c>
      <c r="B6302" s="138">
        <f>'Revenues 9-14'!J14</f>
        <v>1884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1884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41419</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234497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109000</v>
      </c>
      <c r="D6853" s="2" t="str">
        <f t="shared" si="106"/>
        <v>Error?</v>
      </c>
    </row>
    <row r="6854" spans="1:4" x14ac:dyDescent="0.2">
      <c r="A6854">
        <v>6793</v>
      </c>
      <c r="B6854" s="138">
        <f>'Expenditures 15-22'!I10</f>
        <v>5988</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5988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5988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254972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4409</v>
      </c>
      <c r="D7049" s="2" t="str">
        <f t="shared" si="109"/>
        <v>Error?</v>
      </c>
    </row>
    <row r="7050" spans="1:5" x14ac:dyDescent="0.2">
      <c r="A7050">
        <v>6989</v>
      </c>
      <c r="B7050" s="138">
        <f>'Expenditures 15-22'!K148</f>
        <v>4409</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234497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4108</v>
      </c>
      <c r="D7075" s="2" t="str">
        <f t="shared" si="109"/>
        <v>Error?</v>
      </c>
    </row>
    <row r="7076" spans="1:4" x14ac:dyDescent="0.2">
      <c r="A7076">
        <v>7015</v>
      </c>
      <c r="B7076" s="138">
        <f>'Expenditures 15-22'!K218</f>
        <v>4108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17024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17024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862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862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159262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9418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168680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19760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19760</v>
      </c>
      <c r="D7198" s="2" t="str">
        <f t="shared" si="111"/>
        <v>Error?</v>
      </c>
    </row>
    <row r="7199" spans="1:4" x14ac:dyDescent="0.2">
      <c r="A7199">
        <v>7138</v>
      </c>
      <c r="B7199" s="138">
        <f>'Expenditures 15-22'!C330</f>
        <v>159262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95710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254972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159262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95710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254972</v>
      </c>
      <c r="D7224" s="2" t="str">
        <f t="shared" si="111"/>
        <v>Error?</v>
      </c>
    </row>
    <row r="7225" spans="1:4" x14ac:dyDescent="0.2">
      <c r="A7225">
        <v>7164</v>
      </c>
      <c r="B7225" s="138">
        <f>'Expenditures 15-22'!K343</f>
        <v>-20475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91735</v>
      </c>
      <c r="D7251" s="2" t="str">
        <f t="shared" si="112"/>
        <v>Error?</v>
      </c>
    </row>
    <row r="7252" spans="1:4" x14ac:dyDescent="0.2">
      <c r="A7252">
        <f t="shared" si="113"/>
        <v>7191</v>
      </c>
      <c r="B7252" s="138">
        <f>'Expenditures 15-22'!D9</f>
        <v>7427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9838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5988</v>
      </c>
      <c r="D7624" s="2" t="str">
        <f t="shared" si="124"/>
        <v>Error?</v>
      </c>
      <c r="E7624" s="2" t="s">
        <v>19</v>
      </c>
    </row>
    <row r="7625" spans="1:5" x14ac:dyDescent="0.2">
      <c r="A7625">
        <f t="shared" si="123"/>
        <v>7564</v>
      </c>
      <c r="B7625" s="138">
        <f>'Cap Outlay Deprec 26'!I17</f>
        <v>598.79999999999995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223625.8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11470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48646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48646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9046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345920</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295920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3" sqref="A13:H1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High Mount SD 116</v>
      </c>
      <c r="B7" s="2383"/>
      <c r="C7" s="2383"/>
      <c r="D7" s="2420"/>
      <c r="E7" s="2421">
        <f>COVER!A13</f>
        <v>50082116002</v>
      </c>
      <c r="F7" s="2422"/>
      <c r="G7" s="2389" t="str">
        <f>COVER!T23</f>
        <v>066-005248</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Moore &amp; Simonin, PC</v>
      </c>
      <c r="H9" s="2396"/>
      <c r="I9" s="2396"/>
      <c r="J9" s="2396"/>
      <c r="K9" s="2396"/>
      <c r="L9" s="2397"/>
    </row>
    <row r="10" spans="1:29" ht="13.5" customHeight="1" x14ac:dyDescent="0.2">
      <c r="A10" s="2379">
        <f>COVER!A38</f>
        <v>0</v>
      </c>
      <c r="B10" s="2380"/>
      <c r="C10" s="2380"/>
      <c r="D10" s="2380"/>
      <c r="E10" s="2380"/>
      <c r="F10" s="2381"/>
      <c r="G10" s="2395" t="str">
        <f>COVER!T17</f>
        <v>3636 North Belt West</v>
      </c>
      <c r="H10" s="2408"/>
      <c r="I10" s="2408"/>
      <c r="J10" s="2408"/>
      <c r="K10" s="2408"/>
      <c r="L10" s="2409"/>
    </row>
    <row r="11" spans="1:29" ht="13.5" customHeight="1" x14ac:dyDescent="0.2">
      <c r="A11" s="1184" t="s">
        <v>1519</v>
      </c>
      <c r="B11" s="1185"/>
      <c r="C11" s="1186"/>
      <c r="D11" s="1191"/>
      <c r="E11" s="1186"/>
      <c r="F11" s="1190"/>
      <c r="G11" s="2395" t="str">
        <f>COVER!T19</f>
        <v>Belleville</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mooresimonin@mrsaccountants.com</v>
      </c>
      <c r="J13" s="2417"/>
      <c r="K13" s="2417"/>
      <c r="L13" s="2418"/>
    </row>
    <row r="14" spans="1:29" ht="13.5" customHeight="1" x14ac:dyDescent="0.2">
      <c r="A14" s="2395" t="str">
        <f>COVER!A19</f>
        <v>1721 Boul Avenue</v>
      </c>
      <c r="B14" s="2408"/>
      <c r="C14" s="2408"/>
      <c r="D14" s="2408"/>
      <c r="E14" s="2408"/>
      <c r="F14" s="2409"/>
      <c r="G14" s="1195" t="s">
        <v>1185</v>
      </c>
      <c r="H14" s="1193"/>
      <c r="I14" s="1193"/>
      <c r="J14" s="1193"/>
      <c r="K14" s="1193"/>
      <c r="L14" s="1194"/>
    </row>
    <row r="15" spans="1:29" ht="13.5" customHeight="1" x14ac:dyDescent="0.2">
      <c r="A15" s="2395" t="str">
        <f>COVER!A21</f>
        <v>Swansea</v>
      </c>
      <c r="B15" s="2408"/>
      <c r="C15" s="2408"/>
      <c r="D15" s="2408"/>
      <c r="E15" s="2408"/>
      <c r="F15" s="2409"/>
      <c r="G15" s="2405" t="str">
        <f>COVER!T15</f>
        <v>Robert E. Moore, CPA</v>
      </c>
      <c r="H15" s="2406"/>
      <c r="I15" s="2406"/>
      <c r="J15" s="2406"/>
      <c r="K15" s="2406"/>
      <c r="L15" s="2407"/>
    </row>
    <row r="16" spans="1:29" ht="12.2" customHeight="1" x14ac:dyDescent="0.2">
      <c r="A16" s="2385">
        <f>COVER!A25</f>
        <v>62226</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618-233-5049</v>
      </c>
      <c r="H18" s="2383"/>
      <c r="I18" s="2383"/>
      <c r="J18" s="2383"/>
      <c r="K18" s="2382" t="str">
        <f>COVER!X21</f>
        <v>618-233-1061</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13" sqref="A13:H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High Mount SD 116</v>
      </c>
      <c r="B1" s="2419"/>
      <c r="C1" s="2419"/>
      <c r="D1" s="2419"/>
    </row>
    <row r="2" spans="1:11" s="1212" customFormat="1" ht="12.75" x14ac:dyDescent="0.2">
      <c r="A2" s="2424">
        <f>'Single Audit Cover'!E7</f>
        <v>50082116002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13" sqref="A13:H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High Mount SD 116</v>
      </c>
      <c r="B1" s="2427"/>
      <c r="C1" s="2427"/>
      <c r="D1" s="2427"/>
      <c r="E1" s="2427"/>
    </row>
    <row r="2" spans="1:5" x14ac:dyDescent="0.2">
      <c r="A2" s="2428">
        <f>'Single Audit Cover'!E7</f>
        <v>50082116002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537674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18311</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-18817</v>
      </c>
    </row>
    <row r="19" spans="1:4" ht="13.5" thickBot="1" x14ac:dyDescent="0.25">
      <c r="A19" s="1262" t="s">
        <v>1235</v>
      </c>
      <c r="D19" s="1263">
        <f>SUM(D10:D17)</f>
        <v>537168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537168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537168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High Mount SD 116</v>
      </c>
      <c r="C1" s="2431"/>
      <c r="D1" s="2431"/>
      <c r="E1" s="2431"/>
      <c r="F1" s="2431"/>
      <c r="G1" s="2431"/>
      <c r="H1" s="2431"/>
      <c r="I1" s="2431"/>
      <c r="J1" s="2431"/>
      <c r="K1" s="2431"/>
      <c r="L1" s="2431"/>
      <c r="M1" s="2431"/>
    </row>
    <row r="2" spans="2:14" ht="15" x14ac:dyDescent="0.2">
      <c r="B2" s="2432">
        <f>'Single Audit Cover'!E7</f>
        <v>50082116002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High Mount SD 116</v>
      </c>
      <c r="B1" s="2436"/>
      <c r="C1" s="2436"/>
      <c r="D1" s="2436"/>
      <c r="E1" s="2436"/>
      <c r="F1" s="2436"/>
    </row>
    <row r="2" spans="1:7" ht="13.5" customHeight="1" x14ac:dyDescent="0.2">
      <c r="A2" s="2432">
        <f>'Single Audit Cover'!E7</f>
        <v>50082116002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3" sqref="A13:H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High Mount SD 116</v>
      </c>
      <c r="C1" s="2452"/>
      <c r="D1" s="2452"/>
      <c r="E1" s="2452"/>
      <c r="F1" s="2452"/>
      <c r="G1" s="2452"/>
      <c r="H1" s="2452"/>
      <c r="I1" s="2452"/>
      <c r="J1" s="1406"/>
    </row>
    <row r="2" spans="2:10" s="317" customFormat="1" ht="12.75" customHeight="1" x14ac:dyDescent="0.2">
      <c r="B2" s="2453">
        <f>'Single Audit Cover'!E7</f>
        <v>50082116002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High Mount SD 116</v>
      </c>
      <c r="C1" s="2451"/>
      <c r="D1" s="2451"/>
      <c r="E1" s="2451"/>
      <c r="F1" s="2451"/>
      <c r="G1" s="2451"/>
      <c r="H1" s="2451"/>
      <c r="I1" s="2451"/>
      <c r="J1" s="2451"/>
      <c r="K1" s="2451"/>
      <c r="L1" s="1371"/>
      <c r="M1" s="1371"/>
    </row>
    <row r="2" spans="1:13" ht="12" customHeight="1" x14ac:dyDescent="0.2">
      <c r="B2" s="2453">
        <f>'Single Audit Cover'!E7</f>
        <v>50082116002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High Mount SD 116</v>
      </c>
      <c r="C1" s="2478"/>
      <c r="D1" s="2478"/>
      <c r="E1" s="2478"/>
      <c r="F1" s="2478"/>
      <c r="G1" s="2478"/>
      <c r="H1" s="2478"/>
      <c r="I1" s="2478"/>
      <c r="J1" s="2478"/>
      <c r="K1" s="2478"/>
      <c r="L1" s="1449"/>
    </row>
    <row r="2" spans="1:12" ht="12.75" customHeight="1" x14ac:dyDescent="0.2">
      <c r="B2" s="2479">
        <f>'Single Audit Cover'!E7</f>
        <v>50082116002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High Mount SD 116</v>
      </c>
      <c r="C1" s="2451"/>
      <c r="D1" s="2451"/>
      <c r="E1" s="1469"/>
    </row>
    <row r="2" spans="2:5" s="1279" customFormat="1" ht="12.75" customHeight="1" x14ac:dyDescent="0.2">
      <c r="B2" s="2453">
        <f>'Single Audit Cover'!E7</f>
        <v>50082116002</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t="s">
        <v>2094</v>
      </c>
      <c r="C7" s="324" t="s">
        <v>2095</v>
      </c>
      <c r="D7" s="324" t="s">
        <v>2097</v>
      </c>
      <c r="E7" s="324"/>
    </row>
    <row r="8" spans="2:5" ht="13.5" customHeight="1" x14ac:dyDescent="0.2">
      <c r="B8" s="1474"/>
      <c r="C8" s="324" t="s">
        <v>2096</v>
      </c>
      <c r="D8" s="324" t="s">
        <v>2098</v>
      </c>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www.w3.org/XML/1998/namespace"/>
    <ds:schemaRef ds:uri="http://purl.org/dc/terms/"/>
    <ds:schemaRef ds:uri="http://schemas.microsoft.com/sharepoint/v3"/>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2019-09-16T18:16:00Z</cp:lastPrinted>
  <dcterms:created xsi:type="dcterms:W3CDTF">2003-10-29T19:06:34Z</dcterms:created>
  <dcterms:modified xsi:type="dcterms:W3CDTF">2019-10-30T18:58:38Z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