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563DC5B-111F-47F5-B507-6D7A94D2EC25}" xr6:coauthVersionLast="36" xr6:coauthVersionMax="36" xr10:uidLastSave="{00000000-0000-0000-0000-000000000000}"/>
  <bookViews>
    <workbookView xWindow="0" yWindow="0" windowWidth="28800" windowHeight="13080" tabRatio="959" activeTab="1" xr2:uid="{00000000-000D-0000-FFFF-FFFF00000000}"/>
  </bookViews>
  <sheets>
    <sheet name="AUDITCHECK" sheetId="36"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FR19" sheetId="106" state="hidden" r:id="rId24"/>
    <sheet name="Single Audit Cover" sheetId="169" r:id="rId25"/>
    <sheet name="Single Audit Checklist" sheetId="170" r:id="rId26"/>
    <sheet name="SEFA Reconcile" sheetId="171" r:id="rId27"/>
    <sheet name=" SEFA" sheetId="179" r:id="rId28"/>
    <sheet name="SEFA"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SEFA!$A$1:$AA$57</definedName>
    <definedName name="_xlnm.Print_Area" localSheetId="29">'SEFA NOTES'!$A$1:$F$44</definedName>
    <definedName name="_xlnm.Print_Area" localSheetId="26">'SEFA Reconcile'!$A$1:$E$49</definedName>
    <definedName name="_xlnm.Print_Area" localSheetId="30">'SF&amp;QC Sec-1'!$A$1:$I$51</definedName>
    <definedName name="_xlnm.Print_Area" localSheetId="31">'SF&amp;QC Sec-2'!$A$1:$K$32</definedName>
    <definedName name="_xlnm.Print_Area" localSheetId="32">'SF&amp;QC Sec-3'!$B$1:$K$41</definedName>
    <definedName name="_xlnm.Print_Area" localSheetId="25">'Single Audit Checklist'!$A$1:$D$124</definedName>
    <definedName name="_xlnm.Print_Area" localSheetId="24">'Single Audit Cover'!$A$1:$L$51</definedName>
    <definedName name="_xlnm.Print_Area" localSheetId="33">SSPAF!$A$1:$D$35</definedName>
    <definedName name="_xlnm.Print_Titles" localSheetId="7">'Acct Summary 7-8'!$A:$B,'Acct Summary 7-8'!$1:$2</definedName>
    <definedName name="_xlnm.Print_Titles" localSheetId="6">'Assets-Liab 5-6'!$A:$B,'Assets-Liab 5-6'!$1:$2</definedName>
    <definedName name="_xlnm.Print_Titles" localSheetId="0">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SEFA!$1:$13</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62" i="183" l="1"/>
  <c r="S54" i="183"/>
  <c r="W53" i="183"/>
  <c r="W54" i="183" s="1"/>
  <c r="U53" i="183"/>
  <c r="U54" i="183" s="1"/>
  <c r="S53" i="183"/>
  <c r="P53" i="183"/>
  <c r="P54" i="183" s="1"/>
  <c r="N53" i="183"/>
  <c r="N54" i="183" s="1"/>
  <c r="Y52" i="183"/>
  <c r="Y51" i="183"/>
  <c r="Y49" i="183"/>
  <c r="Y48" i="183"/>
  <c r="Y47" i="183"/>
  <c r="Y46" i="183"/>
  <c r="Y40" i="183"/>
  <c r="W34" i="183"/>
  <c r="U34" i="183"/>
  <c r="S34" i="183"/>
  <c r="P34" i="183"/>
  <c r="N34" i="183"/>
  <c r="Y33" i="183"/>
  <c r="P33" i="183"/>
  <c r="Y32" i="183"/>
  <c r="P32" i="183"/>
  <c r="Y31" i="183"/>
  <c r="Y34" i="183" s="1"/>
  <c r="W29" i="183"/>
  <c r="U29" i="183"/>
  <c r="S29" i="183"/>
  <c r="N29" i="183"/>
  <c r="Y28" i="183"/>
  <c r="Y26" i="183"/>
  <c r="Y25" i="183"/>
  <c r="P25" i="183"/>
  <c r="P29" i="183" s="1"/>
  <c r="W22" i="183"/>
  <c r="S22" i="183"/>
  <c r="P22" i="183"/>
  <c r="N22" i="183"/>
  <c r="U21" i="183"/>
  <c r="U22" i="183" s="1"/>
  <c r="Y20" i="183"/>
  <c r="W18" i="183"/>
  <c r="U18" i="183"/>
  <c r="S18" i="183"/>
  <c r="P18" i="183"/>
  <c r="N18" i="183"/>
  <c r="Y17" i="183"/>
  <c r="U17" i="183"/>
  <c r="Y16" i="183"/>
  <c r="Y18" i="183" s="1"/>
  <c r="P35" i="183" l="1"/>
  <c r="N35" i="183"/>
  <c r="U35" i="183"/>
  <c r="U56" i="183" s="1"/>
  <c r="U60" i="183" s="1"/>
  <c r="Y29" i="183"/>
  <c r="S35" i="183"/>
  <c r="W35" i="183"/>
  <c r="Y53" i="183"/>
  <c r="Y54" i="183" s="1"/>
  <c r="W56" i="183"/>
  <c r="N56" i="183"/>
  <c r="P56" i="183"/>
  <c r="P60" i="183" s="1"/>
  <c r="P64" i="183" s="1"/>
  <c r="S56" i="183"/>
  <c r="Y21" i="183"/>
  <c r="Y22" i="183" s="1"/>
  <c r="Y35" i="183" s="1"/>
  <c r="Y56" i="183" l="1"/>
  <c r="D8" i="11"/>
  <c r="H86" i="29"/>
  <c r="E79" i="29"/>
  <c r="F75" i="29"/>
  <c r="D75" i="29"/>
  <c r="C75" i="29"/>
  <c r="F69" i="29"/>
  <c r="E69" i="29"/>
  <c r="D69" i="29"/>
  <c r="E63" i="29"/>
  <c r="D63" i="29"/>
  <c r="D61" i="29"/>
  <c r="E55" i="29"/>
  <c r="E50" i="29"/>
  <c r="D50" i="29"/>
  <c r="C49" i="29"/>
  <c r="E44" i="29"/>
  <c r="D44" i="29"/>
  <c r="D38" i="29"/>
  <c r="D36" i="29"/>
  <c r="C36" i="29"/>
  <c r="C106" i="5" l="1"/>
  <c r="C107" i="5"/>
  <c r="C79" i="5"/>
  <c r="C5" i="3" l="1"/>
  <c r="E124" i="29"/>
  <c r="F124" i="29"/>
  <c r="G124" i="29"/>
  <c r="D124" i="29"/>
  <c r="C124" i="29"/>
  <c r="F27" i="3"/>
  <c r="F5" i="3"/>
  <c r="G39" i="3" l="1"/>
  <c r="D280" i="29"/>
  <c r="D274" i="29"/>
  <c r="D268" i="29"/>
  <c r="D266" i="29"/>
  <c r="D264" i="29"/>
  <c r="D259" i="29"/>
  <c r="D254" i="29"/>
  <c r="D246" i="29"/>
  <c r="D245" i="29"/>
  <c r="D240" i="29"/>
  <c r="D234" i="29"/>
  <c r="D223" i="29"/>
  <c r="D219" i="29"/>
  <c r="D217" i="29"/>
  <c r="D216" i="29"/>
  <c r="D215" i="29"/>
  <c r="G65" i="5"/>
  <c r="G14" i="5"/>
  <c r="G5" i="3"/>
  <c r="E325" i="29" l="1"/>
  <c r="G325" i="29"/>
  <c r="E349" i="29"/>
  <c r="G349" i="29"/>
  <c r="I7" i="3"/>
  <c r="I5" i="3"/>
  <c r="E327" i="29"/>
  <c r="D325" i="29"/>
  <c r="C325" i="29"/>
  <c r="E10" i="108" l="1"/>
  <c r="I13" i="11"/>
  <c r="I12" i="11"/>
  <c r="D13" i="11"/>
  <c r="D12" i="1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G44" i="181" l="1"/>
  <c r="G43" i="181"/>
  <c r="G34" i="181"/>
  <c r="G30" i="181"/>
  <c r="G28" i="181"/>
  <c r="G26"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6" i="108"/>
  <c r="G28" i="108"/>
  <c r="G29" i="108"/>
  <c r="D31" i="108"/>
  <c r="D36" i="108"/>
  <c r="E31" i="108"/>
  <c r="G31" i="108"/>
  <c r="E33" i="108"/>
  <c r="E34"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B2026" i="106" l="1"/>
  <c r="D2026" i="106" s="1"/>
  <c r="M16" i="3"/>
  <c r="B273" i="106" s="1"/>
  <c r="D273" i="106" s="1"/>
  <c r="D7245" i="106"/>
  <c r="B2028" i="106"/>
  <c r="D2028" i="106" s="1"/>
  <c r="M18" i="3"/>
  <c r="B275" i="106" s="1"/>
  <c r="D275" i="106" s="1"/>
  <c r="L367" i="29"/>
  <c r="L342" i="29"/>
  <c r="B1754" i="106"/>
  <c r="D1754" i="106" s="1"/>
  <c r="H5" i="12"/>
  <c r="B2029" i="106"/>
  <c r="D2029" i="106" s="1"/>
  <c r="M19" i="3"/>
  <c r="B276" i="106" s="1"/>
  <c r="D276" i="106" s="1"/>
  <c r="K184" i="29"/>
  <c r="F13" i="4" s="1"/>
  <c r="B2596" i="106" s="1"/>
  <c r="D2596" i="106" s="1"/>
  <c r="G210" i="29"/>
  <c r="B157" i="106"/>
  <c r="D157" i="106" s="1"/>
  <c r="F39" i="3"/>
  <c r="B170" i="106" s="1"/>
  <c r="D170" i="106" s="1"/>
  <c r="B109" i="106"/>
  <c r="D109" i="106" s="1"/>
  <c r="D39" i="3"/>
  <c r="B2027" i="106"/>
  <c r="D2027" i="106" s="1"/>
  <c r="M17" i="3"/>
  <c r="F52" i="34"/>
  <c r="G39" i="108"/>
  <c r="E35" i="108"/>
  <c r="G35" i="108"/>
  <c r="G30" i="108"/>
  <c r="F27" i="108"/>
  <c r="B2724" i="106"/>
  <c r="D2724" i="106" s="1"/>
  <c r="F28" i="108"/>
  <c r="C129" i="29"/>
  <c r="E29" i="108"/>
  <c r="B6289" i="106"/>
  <c r="D6289" i="106" s="1"/>
  <c r="G14" i="4"/>
  <c r="B2609" i="106" s="1"/>
  <c r="D2609" i="106" s="1"/>
  <c r="F72" i="34"/>
  <c r="C342" i="29"/>
  <c r="B7216" i="106" s="1"/>
  <c r="D7216" i="106" s="1"/>
  <c r="F19" i="7"/>
  <c r="B1807" i="106" s="1"/>
  <c r="D1807"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1" i="108" l="1"/>
  <c r="E43" i="108" s="1"/>
  <c r="B123" i="106"/>
  <c r="D123" i="106" s="1"/>
  <c r="D76" i="36"/>
  <c r="B1365" i="106"/>
  <c r="D1365" i="106" s="1"/>
  <c r="F65" i="34"/>
  <c r="H12" i="12"/>
  <c r="B1972" i="106"/>
  <c r="D1972" i="106" s="1"/>
  <c r="B274" i="106"/>
  <c r="D274" i="106" s="1"/>
  <c r="M23" i="3"/>
  <c r="F41" i="108"/>
  <c r="G43" i="108" s="1"/>
  <c r="C114" i="29"/>
  <c r="B757" i="106" s="1"/>
  <c r="D757" i="106" s="1"/>
  <c r="L114" i="29"/>
  <c r="K342" i="29"/>
  <c r="F13" i="34" s="1"/>
  <c r="L16" i="11"/>
  <c r="B2061" i="106" s="1"/>
  <c r="D2061" i="106" s="1"/>
  <c r="N23" i="3"/>
  <c r="B284" i="106" s="1"/>
  <c r="D284"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977" i="106" l="1"/>
  <c r="D1977" i="106" s="1"/>
  <c r="H24" i="12"/>
  <c r="B279" i="106"/>
  <c r="D279" i="106" s="1"/>
  <c r="M40"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1983" i="106" l="1"/>
  <c r="D1983" i="106" s="1"/>
  <c r="H26" i="12"/>
  <c r="B7740" i="106" s="1"/>
  <c r="D7740" i="106" s="1"/>
  <c r="B280" i="106"/>
  <c r="D280" i="106" s="1"/>
  <c r="M41" i="3"/>
  <c r="K17" i="4"/>
  <c r="J19" i="4"/>
  <c r="B6229" i="106" s="1"/>
  <c r="D6229" i="106" s="1"/>
  <c r="J20" i="4"/>
  <c r="J78" i="4"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81" i="106" l="1"/>
  <c r="D281" i="106" s="1"/>
  <c r="D54" i="3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<sst xmlns="http://schemas.openxmlformats.org/spreadsheetml/2006/main" count="5183" uniqueCount="2152">
  <si>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</si>
  <si>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</si>
  <si>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</si>
  <si>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</si>
  <si>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</si>
  <si>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</si>
  <si>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</si>
  <si>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</si>
  <si>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</si>
  <si>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</si>
  <si>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</si>
  <si>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</si>
  <si>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</si>
  <si>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</si>
  <si>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</si>
  <si>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</si>
  <si>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</si>
  <si>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</si>
  <si>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</si>
  <si>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</si>
  <si>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</si>
  <si>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</si>
  <si>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</si>
  <si>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</si>
  <si>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</si>
  <si>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</si>
  <si>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</si>
  <si>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</si>
  <si>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</si>
  <si>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</si>
  <si>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</si>
  <si>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</si>
  <si>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</si>
  <si>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</si>
  <si>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</si>
  <si>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</si>
  <si>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</si>
  <si>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</si>
  <si>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</si>
  <si>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</si>
  <si>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</si>
  <si>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</si>
  <si>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</si>
  <si>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</si>
  <si>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</si>
  <si>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</si>
  <si>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</si>
  <si>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</si>
  <si>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</si>
  <si>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</si>
  <si>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</si>
  <si>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</si>
  <si>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</si>
  <si>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</si>
  <si>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</si>
  <si>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</si>
  <si>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</si>
  <si>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</si>
  <si>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</si>
  <si>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</si>
  <si>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</si>
  <si>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</si>
  <si>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</si>
  <si>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</si>
  <si>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</si>
  <si>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</si>
  <si>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</si>
  <si>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</si>
  <si>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</si>
  <si>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</si>
  <si>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</si>
  <si>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</si>
  <si>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</si>
  <si>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</si>
  <si>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</si>
  <si>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</si>
  <si>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</si>
  <si>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</si>
  <si>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</si>
  <si>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</si>
  <si>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</si>
  <si>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</si>
  <si>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</si>
  <si>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</si>
  <si>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</si>
  <si>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</si>
  <si>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</si>
  <si>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</si>
  <si>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</si>
  <si>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</si>
  <si>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</si>
  <si>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</si>
  <si>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</si>
  <si>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</si>
  <si>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</si>
  <si>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</si>
  <si>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</si>
  <si>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</si>
  <si>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</si>
  <si>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</si>
  <si>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</si>
  <si>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</si>
  <si>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</si>
  <si>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</si>
  <si>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</si>
  <si>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</si>
  <si>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</si>
  <si>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</si>
  <si>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</si>
  <si>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</si>
  <si>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</si>
  <si>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</si>
  <si>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</si>
  <si>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</si>
  <si>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</si>
  <si>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</si>
  <si>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</si>
  <si>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</si>
  <si>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</si>
  <si>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</si>
  <si>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</si>
  <si>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</si>
  <si>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</si>
  <si>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</si>
  <si>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</si>
  <si>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</si>
  <si>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</si>
  <si>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</si>
  <si>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</si>
  <si>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</si>
  <si>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</si>
  <si>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</si>
  <si>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</si>
  <si>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</si>
  <si>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</si>
  <si>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</si>
  <si>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</si>
  <si>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</si>
  <si>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</si>
  <si>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</si>
  <si>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</si>
  <si>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</si>
  <si>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</si>
  <si>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</si>
  <si>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</si>
  <si>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</si>
  <si>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</si>
  <si>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</si>
  <si>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</si>
  <si>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</si>
  <si>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</si>
  <si>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</si>
  <si>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</si>
  <si>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</si>
  <si>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</si>
  <si>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</si>
  <si>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</si>
  <si>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</si>
  <si>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</si>
  <si>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</si>
  <si>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</si>
  <si>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</si>
  <si>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</si>
  <si>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</si>
  <si>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</si>
  <si>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</si>
  <si>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</si>
  <si>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</si>
  <si>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</si>
  <si>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</si>
  <si>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</si>
  <si>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</si>
  <si>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</si>
  <si>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</si>
  <si>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</si>
  <si>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</si>
  <si>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</si>
  <si>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</si>
  <si>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</si>
  <si>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</si>
  <si>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</si>
  <si>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</si>
  <si>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</si>
  <si>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</si>
  <si>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</si>
  <si>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</si>
  <si>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</si>
  <si>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</si>
  <si>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</si>
  <si>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</si>
  <si>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</si>
  <si>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</si>
  <si>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</si>
  <si>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</si>
  <si>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</si>
  <si>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</si>
  <si>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</si>
  <si>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</si>
  <si>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</si>
  <si>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</si>
  <si>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</si>
  <si>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</si>
  <si>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</si>
  <si>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</si>
  <si>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</si>
  <si>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</si>
  <si>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</si>
  <si>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</si>
  <si>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</si>
  <si>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</si>
  <si>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</si>
  <si>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</si>
  <si>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</si>
  <si>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</si>
  <si>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</si>
  <si>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</si>
  <si>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</si>
  <si>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</si>
  <si>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</si>
  <si>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</si>
  <si>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</si>
  <si>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</si>
  <si>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</si>
  <si>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</si>
  <si>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</si>
  <si>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</si>
  <si>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</si>
  <si>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</si>
  <si>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</si>
  <si>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</si>
  <si>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</si>
  <si>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</si>
  <si>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</si>
  <si>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</si>
  <si>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</si>
  <si>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</si>
  <si>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</si>
  <si>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</si>
  <si>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</si>
  <si>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</si>
  <si>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</si>
  <si>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</si>
  <si>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</si>
  <si>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</si>
  <si>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</si>
  <si>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</si>
  <si>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</si>
  <si>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</si>
  <si>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</si>
  <si>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</si>
  <si>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</si>
  <si>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</si>
  <si>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</si>
  <si>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</si>
  <si>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</si>
  <si>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</si>
  <si>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</si>
  <si>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</si>
  <si>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</si>
  <si>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</si>
  <si>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</si>
  <si>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</si>
  <si>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</si>
  <si>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</si>
  <si>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</si>
  <si>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</si>
  <si>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</si>
  <si>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</si>
  <si>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</si>
  <si>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</si>
  <si>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</si>
  <si>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</si>
  <si>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</si>
  <si>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</si>
  <si>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</si>
  <si>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</si>
  <si>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</si>
  <si>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</si>
  <si>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</si>
  <si>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</si>
  <si>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</si>
  <si>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</si>
  <si>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</si>
  <si>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</si>
  <si>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</si>
  <si>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</si>
  <si>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</si>
  <si>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</si>
  <si>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</si>
  <si>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</si>
  <si>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</si>
  <si>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</si>
  <si>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</si>
  <si>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</si>
  <si>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</si>
  <si>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</si>
  <si>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</si>
  <si>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</si>
  <si>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</si>
  <si>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</si>
  <si>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</si>
  <si>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</si>
  <si>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</si>
  <si>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</si>
  <si>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</si>
  <si>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</si>
  <si>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</si>
  <si>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</si>
  <si>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</si>
  <si>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</si>
  <si>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</si>
  <si>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</si>
  <si>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</si>
  <si>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</si>
  <si>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</si>
  <si>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</si>
  <si>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</si>
  <si>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</si>
  <si>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</si>
  <si>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</si>
  <si>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</si>
  <si>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</si>
  <si>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</si>
  <si>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</si>
  <si>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</si>
  <si>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</si>
  <si>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</si>
  <si>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</si>
  <si>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</si>
  <si>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</si>
  <si>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</si>
  <si>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</si>
  <si>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</si>
  <si>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</si>
  <si>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</si>
  <si>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</si>
  <si>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</si>
  <si>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</si>
  <si>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</si>
  <si>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</si>
  <si>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</si>
  <si>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</si>
  <si>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</si>
  <si>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</si>
  <si>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</si>
  <si>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</si>
  <si>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</si>
  <si>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</si>
  <si>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</si>
  <si>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</si>
  <si>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</si>
  <si>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</si>
  <si>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</si>
  <si>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</si>
  <si>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</si>
  <si>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</si>
  <si>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</si>
  <si>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</si>
  <si>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</si>
  <si>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</si>
  <si>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</si>
  <si>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</si>
  <si>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</si>
  <si>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</si>
  <si>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</si>
  <si>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</si>
  <si>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</si>
  <si>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</si>
  <si>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</si>
  <si>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</si>
  <si>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</si>
  <si>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</si>
  <si>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</si>
  <si>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</si>
  <si>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</si>
  <si>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</si>
  <si>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</si>
  <si>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</si>
  <si>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</si>
  <si>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</si>
  <si>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</si>
  <si>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</si>
  <si>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</si>
  <si>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</si>
  <si>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</si>
  <si>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</si>
  <si>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</si>
  <si>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</si>
  <si>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</si>
  <si>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</si>
  <si>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</si>
  <si>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</si>
  <si>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</si>
  <si>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</si>
  <si>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</si>
  <si>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</si>
  <si>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</si>
  <si>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</si>
  <si>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</si>
  <si>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</si>
  <si>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</si>
  <si>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</si>
  <si>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</si>
  <si>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</si>
  <si>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</si>
  <si>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</si>
  <si>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</si>
  <si>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</si>
  <si>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</si>
  <si>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</si>
  <si>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</si>
  <si>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</si>
  <si>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</si>
  <si>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</si>
  <si>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</si>
  <si>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</si>
  <si>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</si>
  <si>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</si>
  <si>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</si>
  <si>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</si>
  <si>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</si>
  <si>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</si>
  <si>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</si>
  <si>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</si>
  <si>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</si>
  <si>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</si>
  <si>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</si>
  <si>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</si>
  <si>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</si>
  <si>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</si>
  <si>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</si>
  <si>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</si>
  <si>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</si>
  <si>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</si>
  <si>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</si>
  <si>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</si>
  <si>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</si>
  <si>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</si>
  <si>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</si>
  <si>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</si>
  <si>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</si>
  <si>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</si>
  <si>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</si>
  <si>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</si>
  <si>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</si>
  <si>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</si>
  <si>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</si>
  <si>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</si>
  <si>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</si>
  <si>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</si>
  <si>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</si>
  <si>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</si>
  <si>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</si>
  <si>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</si>
  <si>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</si>
  <si>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</si>
  <si>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</si>
  <si>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</si>
  <si>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</si>
  <si>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</si>
  <si>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</si>
  <si>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</si>
  <si>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</si>
  <si>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</si>
  <si>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</si>
  <si>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</si>
  <si>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</si>
  <si>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</si>
  <si>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</si>
  <si>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</si>
  <si>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</si>
  <si>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</si>
  <si>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</si>
  <si>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</si>
  <si>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</si>
  <si>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</si>
  <si>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</si>
  <si>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</si>
  <si>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</si>
  <si>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</si>
  <si>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</si>
  <si>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</si>
  <si>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</si>
  <si>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</si>
  <si>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</si>
  <si>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</si>
  <si>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</si>
  <si>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</si>
  <si>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</si>
  <si>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</si>
  <si>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</si>
  <si>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</si>
  <si>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</si>
  <si>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</si>
  <si>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</si>
  <si>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</si>
  <si>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</si>
  <si>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</si>
  <si>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</si>
  <si>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</si>
  <si>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</si>
  <si>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</si>
  <si>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</si>
  <si>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</si>
  <si>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</si>
  <si>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</si>
  <si>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</si>
  <si>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</si>
  <si>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</si>
  <si>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</si>
  <si>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</si>
  <si>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</si>
  <si>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</si>
  <si>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</si>
  <si>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</si>
  <si>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</si>
  <si>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</si>
  <si>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</si>
  <si>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</si>
  <si>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</si>
  <si>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</si>
  <si>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</si>
  <si>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</si>
  <si>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</si>
  <si>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</si>
  <si>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</si>
  <si>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</si>
  <si>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</si>
  <si>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</si>
  <si>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</si>
  <si>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</si>
  <si>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</si>
  <si>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</si>
  <si>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</si>
  <si>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</si>
  <si>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</si>
  <si>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</si>
  <si>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</si>
  <si>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</si>
  <si>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</si>
  <si>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</si>
  <si>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</si>
  <si>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</si>
  <si>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</si>
  <si>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</si>
  <si>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</si>
  <si>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</si>
  <si>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</si>
  <si>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</si>
  <si>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</si>
  <si>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</si>
  <si>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</si>
  <si>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</si>
  <si>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</si>
  <si>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</si>
  <si>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</si>
  <si>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</si>
  <si>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</si>
  <si>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</si>
  <si>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</si>
  <si>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</si>
  <si>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</si>
  <si>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</si>
  <si>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</si>
  <si>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</si>
  <si>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</si>
  <si>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</si>
  <si>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</si>
  <si>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</si>
  <si>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</si>
  <si>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</si>
  <si>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</si>
  <si>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</si>
  <si>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</si>
  <si>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</si>
  <si>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</si>
  <si>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</si>
  <si>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</si>
  <si>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</si>
  <si>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</si>
  <si>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</si>
  <si>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</si>
  <si>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</si>
  <si>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</si>
  <si>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</si>
  <si>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</si>
  <si>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</si>
  <si>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</si>
  <si>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</si>
  <si>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</si>
  <si>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</si>
  <si>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</si>
  <si>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</si>
  <si>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</si>
  <si>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</si>
  <si>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</si>
  <si>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</si>
  <si>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</si>
  <si>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</si>
  <si>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</si>
  <si>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</si>
  <si>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</si>
  <si>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</si>
  <si>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</si>
  <si>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</si>
  <si>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</si>
  <si>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</si>
  <si>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</si>
  <si>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</si>
  <si>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</si>
  <si>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</si>
  <si>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</si>
  <si>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</si>
  <si>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</si>
  <si>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</si>
  <si>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</si>
  <si>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</si>
  <si>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</si>
  <si>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</si>
  <si>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</si>
  <si>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</si>
  <si>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</si>
  <si>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</si>
  <si>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</si>
  <si>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</si>
  <si>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</si>
  <si>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</si>
  <si>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</si>
  <si>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</si>
  <si>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</si>
  <si>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</si>
  <si>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</si>
  <si>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</si>
  <si>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</si>
  <si>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</si>
  <si>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</si>
  <si>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</si>
  <si>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</si>
  <si>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</si>
  <si>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</si>
  <si>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</si>
  <si>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</si>
  <si>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</si>
  <si>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</si>
  <si>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</si>
  <si>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</si>
  <si>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</si>
  <si>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</si>
  <si>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</si>
  <si>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</si>
  <si>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</si>
  <si>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</si>
  <si>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</si>
  <si>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</si>
  <si>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</si>
  <si>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</si>
  <si>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</si>
  <si>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</si>
  <si>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</si>
  <si>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</si>
  <si>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</si>
  <si>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</si>
  <si>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</si>
  <si>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</si>
  <si>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</si>
  <si>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</si>
  <si>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</si>
  <si>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</si>
  <si>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</si>
  <si>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</si>
  <si>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</si>
  <si>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</si>
  <si>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</si>
  <si>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</si>
  <si>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</si>
  <si>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</si>
  <si>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</si>
  <si>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</si>
  <si>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</si>
  <si>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</si>
  <si>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</si>
  <si>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</si>
  <si>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</si>
  <si>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</si>
  <si>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</si>
  <si>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</si>
  <si>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</si>
  <si>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</si>
  <si>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</si>
  <si>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</si>
  <si>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</si>
  <si>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</si>
  <si>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</si>
  <si>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</si>
  <si>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</si>
  <si>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</si>
  <si>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</si>
  <si>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</si>
  <si>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</si>
  <si>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</si>
  <si>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</si>
  <si>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</si>
  <si>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</si>
  <si>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</si>
  <si>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</si>
  <si>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</si>
  <si>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</si>
  <si>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</si>
  <si>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</si>
  <si>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</si>
  <si>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</si>
  <si>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</si>
  <si>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</si>
  <si>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</si>
  <si>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</si>
  <si>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</si>
  <si>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</si>
  <si>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</si>
  <si>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</si>
  <si>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</si>
  <si>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</si>
  <si>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</si>
  <si>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</si>
  <si>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</si>
  <si>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</si>
  <si>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</si>
  <si>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</si>
  <si>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</si>
  <si>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</si>
  <si>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</si>
  <si>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</si>
  <si>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</si>
  <si>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</si>
  <si>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</si>
  <si>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</si>
  <si>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</si>
  <si>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</si>
  <si>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</si>
  <si>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</si>
  <si>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</si>
  <si>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</si>
  <si>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</si>
  <si>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</si>
  <si>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</si>
  <si>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</si>
  <si>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</si>
  <si>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</si>
  <si>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</si>
  <si>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</si>
  <si>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</si>
  <si>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</si>
  <si>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</si>
  <si>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</si>
  <si>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</si>
  <si>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</si>
  <si>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</si>
  <si>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</si>
  <si>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</si>
  <si>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</si>
  <si>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</si>
  <si>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</si>
  <si>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</si>
  <si>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</si>
  <si>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</si>
  <si>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</si>
  <si>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</si>
  <si>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</si>
  <si>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</si>
  <si>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</si>
  <si>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</si>
  <si>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</si>
  <si>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</si>
  <si>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</si>
  <si>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</si>
  <si>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</si>
  <si>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</si>
  <si>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</si>
  <si>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</si>
  <si>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</si>
  <si>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</si>
  <si>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</si>
  <si>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</si>
  <si>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</si>
  <si>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</si>
  <si>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</si>
  <si>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</si>
  <si>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</si>
  <si>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</si>
  <si>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</si>
  <si>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</si>
  <si>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</si>
  <si>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</si>
  <si>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</si>
  <si>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</si>
  <si>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</si>
  <si>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</si>
  <si>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</si>
  <si>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</si>
  <si>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</si>
  <si>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</si>
  <si>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</si>
  <si>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</si>
  <si>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</si>
  <si>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</si>
  <si>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</si>
  <si>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</si>
  <si>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</si>
  <si>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</si>
  <si>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</si>
  <si>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</si>
  <si>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</si>
  <si>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</si>
  <si>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</si>
  <si>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</si>
  <si>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</si>
  <si>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</si>
  <si>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</si>
  <si>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</si>
  <si>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</si>
  <si>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</si>
  <si>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</si>
  <si>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</si>
  <si>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</si>
  <si>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</si>
  <si>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</si>
  <si>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</si>
  <si>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</si>
  <si>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</si>
  <si>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</si>
  <si>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</si>
  <si>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</si>
  <si>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</si>
  <si>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</si>
  <si>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</si>
  <si>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</si>
  <si>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</si>
  <si>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</si>
  <si>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</si>
  <si>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</si>
  <si>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</si>
  <si>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</si>
  <si>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</si>
  <si>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</si>
  <si>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</si>
  <si>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</si>
  <si>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</si>
  <si>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</si>
  <si>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</si>
  <si>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</si>
  <si>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</si>
  <si>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</si>
  <si>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</si>
  <si>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</si>
  <si>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</si>
  <si>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</si>
  <si>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</si>
  <si>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</si>
  <si>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</si>
  <si>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</si>
  <si>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</si>
  <si>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</si>
  <si>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</si>
  <si>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</si>
  <si>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</si>
  <si>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</si>
  <si>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</si>
  <si>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</si>
  <si>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</si>
  <si>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</si>
  <si>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</si>
  <si>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</si>
  <si>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</si>
  <si>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</si>
  <si>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</si>
  <si>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</si>
  <si>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</si>
  <si>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</si>
  <si>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</si>
  <si>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</si>
  <si>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</si>
  <si>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</si>
  <si>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</si>
  <si>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</si>
  <si>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</si>
  <si>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</si>
  <si>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</si>
  <si>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</si>
  <si>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</si>
  <si>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</si>
  <si>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</si>
  <si>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</si>
  <si>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</si>
  <si>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</si>
  <si>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</si>
  <si>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</si>
  <si>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</si>
  <si>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</si>
  <si>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</si>
  <si>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</si>
  <si>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</si>
  <si>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</si>
  <si>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</si>
  <si>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</si>
  <si>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</si>
  <si>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</si>
  <si>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</si>
  <si>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</si>
  <si>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</si>
  <si>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</si>
  <si>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</si>
  <si>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</si>
  <si>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</si>
  <si>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</si>
  <si>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</si>
  <si>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</si>
  <si>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</si>
  <si>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</si>
  <si>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</si>
  <si>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</si>
  <si>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</si>
  <si>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</si>
  <si>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</si>
  <si>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</si>
  <si>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</si>
  <si>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</si>
  <si>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</si>
  <si>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</si>
  <si>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</si>
  <si>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</si>
  <si>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</si>
  <si>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</si>
  <si>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</si>
  <si>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</si>
  <si>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</si>
  <si>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</si>
  <si>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</si>
  <si>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</si>
  <si>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</si>
  <si>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</si>
  <si>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</si>
  <si>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</si>
  <si>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</si>
  <si>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</si>
  <si>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</si>
  <si>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</si>
  <si>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</si>
  <si>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</si>
  <si>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</si>
  <si>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</si>
  <si>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</si>
  <si>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</si>
  <si>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</si>
  <si>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</si>
  <si>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</si>
  <si>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</si>
  <si>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</si>
  <si>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</si>
  <si>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</si>
  <si>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</si>
  <si>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</si>
  <si>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</si>
  <si>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</si>
  <si>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</si>
  <si>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</si>
  <si>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</si>
  <si>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</si>
  <si>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</si>
  <si>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</si>
  <si>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</si>
  <si>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</si>
  <si>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</si>
  <si>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</si>
  <si>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</si>
  <si>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</si>
  <si>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</si>
  <si>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</si>
  <si>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</si>
  <si>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</si>
  <si>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</si>
  <si>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</si>
  <si>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</si>
  <si>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</si>
  <si>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</si>
  <si>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</si>
  <si>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</si>
  <si>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</si>
  <si>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</si>
  <si>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</si>
  <si>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</si>
  <si>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</si>
  <si>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</si>
  <si>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</si>
  <si>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</si>
  <si>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</si>
  <si>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</si>
  <si>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</si>
  <si>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</si>
  <si>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</si>
  <si>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</si>
  <si>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</si>
  <si>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</si>
  <si>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</si>
  <si>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</si>
  <si>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</si>
  <si>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</si>
  <si>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</si>
  <si>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</si>
  <si>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</si>
  <si>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</si>
  <si>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</si>
  <si>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</si>
  <si>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</si>
  <si>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</si>
  <si>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</si>
  <si>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</si>
  <si>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</si>
  <si>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</si>
  <si>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</si>
  <si>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</si>
  <si>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</si>
  <si>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</si>
  <si>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</si>
  <si>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</si>
  <si>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</si>
  <si>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</si>
  <si>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</si>
  <si>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</si>
  <si>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</si>
  <si>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</si>
  <si>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</si>
  <si>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</si>
  <si>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</si>
  <si>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</si>
  <si>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</si>
  <si>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</si>
  <si>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</si>
  <si>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</si>
  <si>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</si>
  <si>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</si>
  <si>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</si>
  <si>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</si>
  <si>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</si>
  <si>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</si>
  <si>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</si>
  <si>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</si>
  <si>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</si>
  <si>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</si>
  <si>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</si>
  <si>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</si>
  <si>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</si>
  <si>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</si>
  <si>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</si>
  <si>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</si>
  <si>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</si>
  <si>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</si>
  <si>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</si>
  <si>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</si>
  <si>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</si>
  <si>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</si>
  <si>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</si>
  <si>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</si>
  <si>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</si>
  <si>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</si>
  <si>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</si>
  <si>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</si>
  <si>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</si>
  <si>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</si>
  <si>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</si>
  <si>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</si>
  <si>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</si>
  <si>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</si>
  <si>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</si>
  <si>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</si>
  <si>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</si>
  <si>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</si>
  <si>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</si>
  <si>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</si>
  <si>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</si>
  <si>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</si>
  <si>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</si>
  <si>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</si>
  <si>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</si>
  <si>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</si>
  <si>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</si>
  <si>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</si>
  <si>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</si>
  <si>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</si>
  <si>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</si>
  <si>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</si>
  <si>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</si>
  <si>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</si>
  <si>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</si>
  <si>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</si>
  <si>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</si>
  <si>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</si>
  <si>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</si>
  <si>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</si>
  <si>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</si>
  <si>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</si>
  <si>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</si>
  <si>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</si>
  <si>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</si>
  <si>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</si>
  <si>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</si>
  <si>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</si>
  <si>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</si>
  <si>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</si>
  <si>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</si>
  <si>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</si>
  <si>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</si>
  <si>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</si>
  <si>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</si>
  <si>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</si>
  <si>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</si>
  <si>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</si>
  <si>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</si>
  <si>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</si>
  <si>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</si>
  <si>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</si>
  <si>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</si>
  <si>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</si>
  <si>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</si>
  <si>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</si>
  <si>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</si>
  <si>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</si>
  <si>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</si>
  <si>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</si>
  <si>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</si>
  <si>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</si>
  <si>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</si>
  <si>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</si>
  <si>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</si>
  <si>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</si>
  <si>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</si>
  <si>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</si>
  <si>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</si>
  <si>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</si>
  <si>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</si>
  <si>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</si>
  <si>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</si>
  <si>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</si>
  <si>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</si>
  <si>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</si>
  <si>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</si>
  <si>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</si>
  <si>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</si>
  <si>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</si>
  <si>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</si>
  <si>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</si>
  <si>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</si>
  <si>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</si>
  <si>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</si>
  <si>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</si>
  <si>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</si>
  <si>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</si>
  <si>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</si>
  <si>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</si>
  <si>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</si>
  <si>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</si>
  <si>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</si>
  <si>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</si>
  <si>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</si>
  <si>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</si>
  <si>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</si>
  <si>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</si>
  <si>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</si>
  <si>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</si>
  <si>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</si>
  <si>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</si>
  <si>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</si>
  <si>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</si>
  <si>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</si>
  <si>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</si>
  <si>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</si>
  <si>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</si>
  <si>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</si>
  <si>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</si>
  <si>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</si>
  <si>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</si>
  <si>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</si>
  <si>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</si>
  <si>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</si>
  <si>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</si>
  <si>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</si>
  <si>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</si>
  <si>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</si>
  <si>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</si>
  <si>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</si>
  <si>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</si>
  <si>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</si>
  <si>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</si>
  <si>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</si>
  <si>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</si>
  <si>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</si>
  <si>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</si>
  <si>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</si>
  <si>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</si>
  <si>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</si>
  <si>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</si>
  <si>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</si>
  <si>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</si>
  <si>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</si>
  <si>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</si>
  <si>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</si>
  <si>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</si>
  <si>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</si>
  <si>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</si>
  <si>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</si>
  <si>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</si>
  <si>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</si>
  <si>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</si>
  <si>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</si>
  <si>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</si>
  <si>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</si>
  <si>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</si>
  <si>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</si>
  <si>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</si>
  <si>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</si>
  <si>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</si>
  <si>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</si>
  <si>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</si>
  <si>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</si>
  <si>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</si>
  <si>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</si>
  <si>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</si>
  <si>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</si>
  <si>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</si>
  <si>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</si>
  <si>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</si>
  <si>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</si>
  <si>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</si>
  <si>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</si>
  <si>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</si>
  <si>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</si>
  <si>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</si>
  <si>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</si>
  <si>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</si>
  <si>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</si>
  <si>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</si>
  <si>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</si>
  <si>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</si>
  <si>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</si>
  <si>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</si>
  <si>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</si>
  <si>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</si>
  <si>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</si>
  <si>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</si>
  <si>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</si>
  <si>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</si>
  <si>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</si>
  <si>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</si>
  <si>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</si>
  <si>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</si>
  <si>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</si>
  <si>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</si>
  <si>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</si>
  <si>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</si>
  <si>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</si>
  <si>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</si>
  <si>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</si>
  <si>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</si>
  <si>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</si>
  <si>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</si>
  <si>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</si>
  <si>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</si>
  <si>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</si>
  <si>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</si>
  <si>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</si>
  <si>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</si>
  <si>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</si>
  <si>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</si>
  <si>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</si>
  <si>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</si>
  <si>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</si>
  <si>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</si>
  <si>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</si>
  <si>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</si>
  <si>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</si>
  <si>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</si>
  <si>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</si>
  <si>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</si>
  <si>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</si>
  <si>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</si>
  <si>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</si>
  <si>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</si>
  <si>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</si>
  <si>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</si>
  <si>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</si>
  <si>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</si>
  <si>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</si>
  <si>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</si>
  <si>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</si>
  <si>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</si>
  <si>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</si>
  <si>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</si>
  <si>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</si>
  <si>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</si>
  <si>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</si>
  <si>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</si>
  <si>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</si>
  <si>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</si>
  <si>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</si>
  <si>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</si>
  <si>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</si>
  <si>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</si>
  <si>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</si>
  <si>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</si>
  <si>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</si>
  <si>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</si>
  <si>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</si>
  <si>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</si>
  <si>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</si>
  <si>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</si>
  <si>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</si>
  <si>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</si>
  <si>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</si>
  <si>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</si>
  <si>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</si>
  <si>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</si>
  <si>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</si>
  <si>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</si>
  <si>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</si>
  <si>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</si>
  <si>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</si>
  <si>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</si>
  <si>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</si>
  <si>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</si>
  <si>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</si>
  <si>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</si>
  <si>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</si>
  <si>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</si>
  <si>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</si>
  <si>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</si>
  <si>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</si>
  <si>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</si>
  <si>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</si>
  <si>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</si>
  <si>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</si>
  <si>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</si>
  <si>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</si>
  <si>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</si>
  <si>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</si>
  <si>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</si>
  <si>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</si>
  <si>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</si>
  <si>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</si>
  <si>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</si>
  <si>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</si>
  <si>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</si>
  <si>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</si>
  <si>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</si>
  <si>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</si>
  <si>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</si>
  <si>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</si>
  <si>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</si>
  <si>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</si>
  <si>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</si>
  <si>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</si>
  <si>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</si>
  <si>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</si>
  <si>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</si>
  <si>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</si>
  <si>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</si>
  <si>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</si>
  <si>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</si>
  <si>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</si>
  <si>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</si>
  <si>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</si>
  <si>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</si>
  <si>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</si>
  <si>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</si>
  <si>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</si>
  <si>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</si>
  <si>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</si>
  <si>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</si>
  <si>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</si>
  <si>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</si>
  <si>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</si>
  <si>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</si>
  <si>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</si>
  <si>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</si>
  <si>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</si>
  <si>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</si>
  <si>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</si>
  <si>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</si>
  <si>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</si>
  <si>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</si>
  <si>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</si>
  <si>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</si>
  <si>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</si>
  <si>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</si>
  <si>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</si>
  <si>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</si>
  <si>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</si>
  <si>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</si>
  <si>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</si>
  <si>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</si>
  <si>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</si>
  <si>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</si>
  <si>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</si>
  <si>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</si>
  <si>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</si>
  <si>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</si>
  <si>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</si>
  <si>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</si>
  <si>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</si>
  <si>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</si>
  <si>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</si>
  <si>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</si>
  <si>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</si>
  <si>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</si>
  <si>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</si>
  <si>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</si>
  <si>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</si>
  <si>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</si>
  <si>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</si>
  <si>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</si>
  <si>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</si>
  <si>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</si>
  <si>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</si>
  <si>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</si>
  <si>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</si>
  <si>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</si>
  <si>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</si>
  <si>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</si>
  <si>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</si>
  <si>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</si>
  <si>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</si>
  <si>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</si>
  <si>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</si>
  <si>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</si>
  <si>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</si>
  <si>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</si>
  <si>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</si>
  <si>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</si>
  <si>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</si>
  <si>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</si>
  <si>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</si>
  <si>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</si>
  <si>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</si>
  <si>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</si>
  <si>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</si>
  <si>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</si>
  <si>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</si>
  <si>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</si>
  <si>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</si>
  <si>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</si>
  <si>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</si>
  <si>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</si>
  <si>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</si>
  <si>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</si>
  <si>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</si>
  <si>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</si>
  <si>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</si>
  <si>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</si>
  <si>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</si>
  <si>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</si>
  <si>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</si>
  <si>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</si>
  <si>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</si>
  <si>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</si>
  <si>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</si>
  <si>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</si>
  <si>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</si>
  <si>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</si>
  <si>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</si>
  <si>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</si>
  <si>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</si>
  <si>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</si>
  <si>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</si>
  <si>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</si>
  <si>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</si>
  <si>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</si>
  <si>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</si>
  <si>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</si>
  <si>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</si>
  <si>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</si>
  <si>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</si>
  <si>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</si>
  <si>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</si>
  <si>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</si>
  <si>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</si>
  <si>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</si>
  <si>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</si>
  <si>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</si>
  <si>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</si>
  <si>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</si>
  <si>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</si>
  <si>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</si>
  <si>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</si>
  <si>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</si>
  <si>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</si>
  <si>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</si>
  <si>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</si>
  <si>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</si>
  <si>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</si>
  <si>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</si>
  <si>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</si>
  <si>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</si>
  <si>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</si>
  <si>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</si>
  <si>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</si>
  <si>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</si>
  <si>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</si>
  <si>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</si>
  <si>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</si>
  <si>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</si>
  <si>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</si>
  <si>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</si>
  <si>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</si>
  <si>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</si>
  <si>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</si>
  <si>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</si>
  <si>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</si>
  <si>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</si>
  <si>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</si>
  <si>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</si>
  <si>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</si>
  <si>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</si>
  <si>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</si>
  <si>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</si>
  <si>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</si>
  <si>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</si>
  <si>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</si>
  <si>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</si>
  <si>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</si>
  <si>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</si>
  <si>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</si>
  <si>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</si>
  <si>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</si>
  <si>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</si>
  <si>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</si>
  <si>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</si>
  <si>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</si>
  <si>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</si>
  <si>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</si>
  <si>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</si>
  <si>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</si>
  <si>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</si>
  <si>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</si>
  <si>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</si>
  <si>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</si>
  <si>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</si>
  <si>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</si>
  <si>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</si>
  <si>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</si>
  <si>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</si>
  <si>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</si>
  <si>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</si>
  <si>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</si>
  <si>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</si>
  <si>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</si>
  <si>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</si>
  <si>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</si>
  <si>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</si>
  <si>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</si>
  <si>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</si>
  <si>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</si>
  <si>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</si>
  <si>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</si>
  <si>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</si>
  <si>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</si>
  <si>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</si>
  <si>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</si>
  <si>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</si>
  <si>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</si>
  <si>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</si>
  <si>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</si>
  <si>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</si>
  <si>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</si>
  <si>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</si>
  <si>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</si>
  <si>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</si>
  <si>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</si>
  <si>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</si>
  <si>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</si>
  <si>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</si>
  <si>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</si>
  <si>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</si>
  <si>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</si>
  <si>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</si>
  <si>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</si>
  <si>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</si>
  <si>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</si>
  <si>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</si>
  <si>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</si>
  <si>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</si>
  <si>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</si>
  <si>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</si>
  <si>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</si>
  <si>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</si>
  <si>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</si>
  <si>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</si>
  <si>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</si>
  <si>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</si>
  <si>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</si>
  <si>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</si>
  <si>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</si>
  <si>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</si>
  <si>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</si>
  <si>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</si>
  <si>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</si>
  <si>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</si>
  <si>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</si>
  <si>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</si>
  <si>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</si>
  <si>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</si>
  <si>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</si>
  <si>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</si>
  <si>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</si>
  <si>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</si>
  <si>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</si>
  <si>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</si>
  <si>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</si>
  <si>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</si>
  <si>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</si>
  <si>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</si>
  <si>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</si>
  <si>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</si>
  <si>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</si>
  <si>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</si>
  <si>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</si>
  <si>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</si>
  <si>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</si>
  <si>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</si>
  <si>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</si>
  <si>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</si>
  <si>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</si>
  <si>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</si>
  <si>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</si>
  <si>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</si>
  <si>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</si>
  <si>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</si>
  <si>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</si>
  <si>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</si>
  <si>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</si>
  <si>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</si>
  <si>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</si>
  <si>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</si>
  <si>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</si>
  <si>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</si>
  <si>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</si>
  <si>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</si>
  <si>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</si>
  <si>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</si>
  <si>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</si>
  <si>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</si>
  <si>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</si>
  <si>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</si>
  <si>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</si>
  <si>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</si>
  <si>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</si>
  <si>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</si>
  <si>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</si>
  <si>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</si>
  <si>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</si>
  <si>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</si>
  <si>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</si>
  <si>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</si>
  <si>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</si>
  <si>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</si>
  <si>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</si>
  <si>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</si>
  <si>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</si>
  <si>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</si>
  <si>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</si>
  <si>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</si>
  <si>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</si>
  <si>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</si>
  <si>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</si>
  <si>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</si>
  <si>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</si>
  <si>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</si>
  <si>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</si>
  <si>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</si>
  <si>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</si>
  <si>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</si>
  <si>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</si>
  <si>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</si>
  <si>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</si>
  <si>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</si>
  <si>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</si>
  <si>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</si>
  <si>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</si>
  <si>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</si>
  <si>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</si>
  <si>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</si>
  <si>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</si>
  <si>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</si>
  <si>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</si>
  <si>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</si>
  <si>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</si>
  <si>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</si>
  <si>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</si>
  <si>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</si>
  <si>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</si>
  <si>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</si>
  <si>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</si>
  <si>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</si>
  <si>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</si>
  <si>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</si>
  <si>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</si>
  <si>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</si>
  <si>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</si>
  <si>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</si>
  <si>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</si>
  <si>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</si>
  <si>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</si>
  <si>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</si>
  <si>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</si>
  <si>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</si>
  <si>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</si>
  <si>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</si>
  <si>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</si>
  <si>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</si>
  <si>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</si>
  <si>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</si>
  <si>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</si>
  <si>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</si>
  <si>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</si>
  <si>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</si>
  <si>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</si>
  <si>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</si>
  <si>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</si>
  <si>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</si>
  <si>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</si>
  <si>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</si>
  <si>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</si>
  <si>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</si>
  <si>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</si>
  <si>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</si>
  <si>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</si>
  <si>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</si>
  <si>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</si>
  <si>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</si>
  <si>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</si>
  <si>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</si>
  <si>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</si>
  <si>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</si>
  <si>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</si>
  <si>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</si>
  <si>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</si>
  <si>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</si>
  <si>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</si>
  <si>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</si>
  <si>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</si>
  <si>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</si>
  <si>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</si>
  <si>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</si>
  <si>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</si>
  <si>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</si>
  <si>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</si>
  <si>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</si>
  <si>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</si>
  <si>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</si>
  <si>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</si>
  <si>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</si>
  <si>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</si>
  <si>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</si>
  <si>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</si>
  <si>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</si>
  <si>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</si>
  <si>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</si>
  <si>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</si>
  <si>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</si>
  <si>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</si>
  <si>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</si>
  <si>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</si>
  <si>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</si>
  <si>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</si>
  <si>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</si>
  <si>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</si>
  <si>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</si>
  <si>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</si>
  <si>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</si>
  <si>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</si>
  <si>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</si>
  <si>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</si>
  <si>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</si>
  <si>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</si>
  <si>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</si>
  <si>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</si>
  <si>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</si>
  <si>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</si>
  <si>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</si>
  <si>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</si>
  <si>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</si>
  <si>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</si>
  <si>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</si>
  <si>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</si>
  <si>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</si>
  <si>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</si>
  <si>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</si>
  <si>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</si>
  <si>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</si>
  <si>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</si>
  <si>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</si>
  <si>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</si>
  <si>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</si>
  <si>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</si>
  <si>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</si>
  <si>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</si>
  <si>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</si>
  <si>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</si>
  <si>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</si>
  <si>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</si>
  <si>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</si>
  <si>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</si>
  <si>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</si>
  <si>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</si>
  <si>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</si>
  <si>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</si>
  <si>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</si>
  <si>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</si>
  <si>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</si>
  <si>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</si>
  <si>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</si>
  <si>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</si>
  <si>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</si>
  <si>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</si>
  <si>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</si>
  <si>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</si>
  <si>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</si>
  <si>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</si>
  <si>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</si>
  <si>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</si>
  <si>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</si>
  <si>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</si>
  <si>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</si>
  <si>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</si>
  <si>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</si>
  <si>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</si>
  <si>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</si>
  <si>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</si>
  <si>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</si>
  <si>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</si>
  <si>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</si>
  <si>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</si>
  <si>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</si>
  <si>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</si>
  <si>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</si>
  <si>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</si>
  <si>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</si>
  <si>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</si>
  <si>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</si>
  <si>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</si>
  <si>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</si>
  <si>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</si>
  <si>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</si>
  <si>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</si>
  <si>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</si>
  <si>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</si>
  <si>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</si>
  <si>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</si>
  <si>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</si>
  <si>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</si>
  <si>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</si>
  <si>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</si>
  <si>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</si>
  <si>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</si>
  <si>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</si>
  <si>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</si>
  <si>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</si>
  <si>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</si>
  <si>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</si>
  <si>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</si>
  <si>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</si>
  <si>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</si>
  <si>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</si>
  <si>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</si>
  <si>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</si>
  <si>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</si>
  <si>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</si>
  <si>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</si>
  <si>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</si>
  <si>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</si>
  <si>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</si>
  <si>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</si>
  <si>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</si>
  <si>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</si>
  <si>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</si>
  <si>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</si>
  <si>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</si>
  <si>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</si>
  <si>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</si>
  <si>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</si>
  <si>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</si>
  <si>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</si>
  <si>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</si>
  <si>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</si>
  <si>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</si>
  <si>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</si>
  <si>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</si>
  <si>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</si>
  <si>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</si>
  <si>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</si>
  <si>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</si>
  <si>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</si>
  <si>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</si>
  <si>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</si>
  <si>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</si>
  <si>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</si>
  <si>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</si>
  <si>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</si>
  <si>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</si>
  <si>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</si>
  <si>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</si>
  <si>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</si>
  <si>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</si>
  <si>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</si>
  <si>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</si>
  <si>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</si>
  <si>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</si>
  <si>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</si>
  <si>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</si>
  <si>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</si>
  <si>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</si>
  <si>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</si>
  <si>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</si>
  <si>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</si>
  <si>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</si>
  <si>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</si>
  <si>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</si>
  <si>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</si>
  <si>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</si>
  <si>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</si>
  <si>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</si>
  <si>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</si>
  <si>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</si>
  <si>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</si>
  <si>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</si>
  <si>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</si>
  <si>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</si>
  <si>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</si>
  <si>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</si>
  <si>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</si>
  <si>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</si>
  <si>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</si>
  <si>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</si>
  <si>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</si>
  <si>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</si>
  <si>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</si>
  <si>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</si>
  <si>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</si>
  <si>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</si>
  <si>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</si>
  <si>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</si>
  <si>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</si>
  <si>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</si>
  <si>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</si>
  <si>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</si>
  <si>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</si>
  <si>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</si>
  <si>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</si>
  <si>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</si>
  <si>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</si>
  <si>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</si>
  <si>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</si>
  <si>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</si>
  <si>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</si>
  <si>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</si>
  <si>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</si>
  <si>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</si>
  <si>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</si>
  <si>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</si>
  <si>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</si>
  <si>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</si>
  <si>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</si>
  <si>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</si>
  <si>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</si>
  <si>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</si>
  <si>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</si>
  <si>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</si>
  <si>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</si>
  <si>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</si>
  <si>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</si>
  <si>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</si>
  <si>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</si>
  <si>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</si>
  <si>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</si>
  <si>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</si>
  <si>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</si>
  <si>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</si>
  <si>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</si>
  <si>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</si>
  <si>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</si>
  <si>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</si>
  <si>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</si>
  <si>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</si>
  <si>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</si>
  <si>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</si>
  <si>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</si>
  <si>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</si>
  <si>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</si>
  <si>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</si>
  <si>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</si>
  <si>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</si>
  <si>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</si>
  <si>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</si>
  <si>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</si>
  <si>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</si>
  <si>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</si>
  <si>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</si>
  <si>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</si>
  <si>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</si>
  <si>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</si>
  <si>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</si>
  <si>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</si>
  <si>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</si>
  <si>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</si>
  <si>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</si>
  <si>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</si>
  <si>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</si>
  <si>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</si>
  <si>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</si>
  <si>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</si>
  <si>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</si>
  <si>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</si>
  <si>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</si>
  <si>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</si>
  <si>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</si>
  <si>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</si>
  <si>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</si>
  <si>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</si>
  <si>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</si>
  <si>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</si>
  <si>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</si>
  <si>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</si>
  <si>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</si>
  <si>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</si>
  <si>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</si>
  <si>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</si>
  <si>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</si>
  <si>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</si>
  <si>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</si>
  <si>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</si>
  <si>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</si>
  <si>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</si>
  <si>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</si>
  <si>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</si>
  <si>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</si>
  <si>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</si>
  <si>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</si>
  <si>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</si>
  <si>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</si>
  <si>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50-082-1150-02</t>
  </si>
  <si>
    <t>C. J. Schlosser &amp; Company, L.L.C.</t>
  </si>
  <si>
    <t>St. Clair</t>
  </si>
  <si>
    <t>Kevin Tepen</t>
  </si>
  <si>
    <t>Whiteside School District No. 115</t>
  </si>
  <si>
    <t>233 East Center Drive</t>
  </si>
  <si>
    <t>111 Warriors Way</t>
  </si>
  <si>
    <t>Alton</t>
  </si>
  <si>
    <t>IL</t>
  </si>
  <si>
    <t>Belleville</t>
  </si>
  <si>
    <t>(618) 465-7717</t>
  </si>
  <si>
    <t>(618) 465-7710</t>
  </si>
  <si>
    <t>066-003590</t>
  </si>
  <si>
    <t>ktepen@cjsco.com</t>
  </si>
  <si>
    <t>GO Life Safety Bonds, Series 2009</t>
  </si>
  <si>
    <t>GO Bonds, Series 2014</t>
  </si>
  <si>
    <t>ED - Food Service - Food</t>
  </si>
  <si>
    <t>Belleville Dist #118</t>
  </si>
  <si>
    <t>Belleville Area Special Services Cooperative</t>
  </si>
  <si>
    <t>Note 1:  Basis of Presentation</t>
  </si>
  <si>
    <r>
      <t>The accompanying Schedule of Expenditures of Federal Awards includes the federal grant activity of Whiteside School District #115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</si>
  <si>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Note 2:  Indirect Facilities &amp; Administration costs</t>
  </si>
  <si>
    <t>The following amounts were expended in the form of non-cash assistance by Whiteside School District #115 and should be included in the Schedule of Expenditures of Federal Awards:</t>
  </si>
  <si>
    <t>Of the federal expenditures presented in the schedule, Whiteside School District #115 did not provide any federal awards to subrecipients.</t>
  </si>
  <si>
    <t>None</t>
  </si>
  <si>
    <t>Unmodified</t>
  </si>
  <si>
    <t>1.  FINDING NUMBER:</t>
  </si>
  <si>
    <t>5. Context</t>
  </si>
  <si>
    <t>9.  Management's response</t>
  </si>
  <si>
    <t>1. FINDING NUMBER:</t>
  </si>
  <si>
    <t>9. Condition</t>
  </si>
  <si>
    <t>10. Questioned Costs</t>
  </si>
  <si>
    <t>11. Context</t>
  </si>
  <si>
    <t>15. Management's response</t>
  </si>
  <si>
    <t>Current Status</t>
  </si>
  <si>
    <t>SUMMARY SCHEDULE OF PRIOR AUDIT FINDINGS</t>
  </si>
  <si>
    <r>
      <t>(Unmodified, Qualified, Adverse, Disclaimer</t>
    </r>
    <r>
      <rPr>
        <sz val="8"/>
        <rFont val="Calibri"/>
        <family val="2"/>
        <scheme val="minor"/>
      </rPr>
      <t>)</t>
    </r>
  </si>
  <si>
    <t>IDENTIFICATION OF MAJOR PROGRAMS:</t>
  </si>
  <si>
    <t>CFDA NUMBER(S)</t>
  </si>
  <si>
    <t>NAME OF FEDERAL PROGRAM or CLUSTER</t>
  </si>
  <si>
    <t>National School Lunch Program Cluster</t>
  </si>
  <si>
    <t>10-2560-300</t>
  </si>
  <si>
    <t>(Attachment to ISBE 62-18)</t>
  </si>
  <si>
    <t>COUNTY</t>
  </si>
  <si>
    <t>Springfield, Illinois  62777-0001</t>
  </si>
  <si>
    <t>ST. CLAIR        50-082-1150-02</t>
  </si>
  <si>
    <t>DISTRICT/JOINT AGREEMENT NAME</t>
  </si>
  <si>
    <t>LEA SCHEDULE OF EXPENDITURES OF FEDERAL AWARDS</t>
  </si>
  <si>
    <t>WHITESIDE SCHOOL DISTRICT 115</t>
  </si>
  <si>
    <t>Year Ended June 30, 2019</t>
  </si>
  <si>
    <t>Federal Grantor/Pass-Through</t>
  </si>
  <si>
    <t>ISBE Project</t>
  </si>
  <si>
    <t>Expenditure/Disbursements</t>
  </si>
  <si>
    <t>Grantor, Program Title</t>
  </si>
  <si>
    <t># or</t>
  </si>
  <si>
    <t>07-01-17 to</t>
  </si>
  <si>
    <t>07-01-18 to</t>
  </si>
  <si>
    <t>Final</t>
  </si>
  <si>
    <t>and Major Program Designation</t>
  </si>
  <si>
    <t>Number</t>
  </si>
  <si>
    <t>Contract #</t>
  </si>
  <si>
    <t>06-30-18</t>
  </si>
  <si>
    <t>06-30-19</t>
  </si>
  <si>
    <t>Encumbrances</t>
  </si>
  <si>
    <t xml:space="preserve"> (C)</t>
  </si>
  <si>
    <t>Department of Education</t>
  </si>
  <si>
    <t>Passed Through ISBE:</t>
  </si>
  <si>
    <t>84.010A</t>
  </si>
  <si>
    <t>19-4300-00</t>
  </si>
  <si>
    <t>18-4300-00</t>
  </si>
  <si>
    <t>84.367A</t>
  </si>
  <si>
    <t>19-4932-00</t>
  </si>
  <si>
    <t>18-4932-00</t>
  </si>
  <si>
    <t>Special Education Cluster:</t>
  </si>
  <si>
    <t>Passed Through Belleville Area Special Services Cooperative:</t>
  </si>
  <si>
    <t>IDEA Flow Through</t>
  </si>
  <si>
    <t>84.027A</t>
  </si>
  <si>
    <t>19-4620-00</t>
  </si>
  <si>
    <t>18-4620-00</t>
  </si>
  <si>
    <t>Room &amp; Board</t>
  </si>
  <si>
    <t>18-4625-XC</t>
  </si>
  <si>
    <t>N/A</t>
  </si>
  <si>
    <t>Direct:</t>
  </si>
  <si>
    <t>P.L. 81-874</t>
  </si>
  <si>
    <t>23-IL-2017-1414</t>
  </si>
  <si>
    <t>23-IL-2018-1414</t>
  </si>
  <si>
    <t>23-IL-2019-1414</t>
  </si>
  <si>
    <t>Total Department of Education</t>
  </si>
  <si>
    <t>Department of Health and Human Services</t>
  </si>
  <si>
    <t>Passed Through State of Illinois Department</t>
  </si>
  <si>
    <t>of Healthcare and Family Services:</t>
  </si>
  <si>
    <t>Medicaid Outreach</t>
  </si>
  <si>
    <t>19-4991-00</t>
  </si>
  <si>
    <t>Department of Agriculture</t>
  </si>
  <si>
    <t>National School Lunch Program Cluster (M):</t>
  </si>
  <si>
    <t>Federal School Lunch Program:</t>
  </si>
  <si>
    <t>Regular - Free and Reduced</t>
  </si>
  <si>
    <t>19-4210-00</t>
  </si>
  <si>
    <t>18-4210-00</t>
  </si>
  <si>
    <t>Commodities (Non-Cash)</t>
  </si>
  <si>
    <t>Department of Defense Fresh Fruits and Vegetables</t>
  </si>
  <si>
    <t>Federal School Breakfast Program:</t>
  </si>
  <si>
    <t>19-4220-00</t>
  </si>
  <si>
    <t>18-4220-00</t>
  </si>
  <si>
    <t>Total Department of Agriculture</t>
  </si>
  <si>
    <t>Total Federal Award Programs</t>
  </si>
  <si>
    <t>(M) Tested as major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</si>
</sst>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8"/>
      <name val="Times New Roman"/>
      <family val="1"/>
    </font>
    <font>
      <b/>
      <sz val="8"/>
      <name val="Times New Roman"/>
      <family val="1"/>
    </font>
    <font>
      <u/>
      <sz val="8"/>
      <name val="Times New Roman"/>
      <family val="1"/>
    </font>
    <font>
      <u val="singleAccounting"/>
      <sz val="8"/>
      <name val="Times New Roman"/>
      <family val="1"/>
    </font>
    <font>
      <u val="doubleAccounting"/>
      <sz val="8"/>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44" fillId="0" borderId="0"/>
    <xf numFmtId="43" fontId="44" fillId="0" borderId="0" applyFont="0" applyFill="0" applyBorder="0" applyAlignment="0" applyProtection="0"/>
  </cellStyleXfs>
  <cellXfs count="256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0"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0"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3" fillId="0" borderId="141" xfId="17" applyFont="1" applyBorder="1" applyAlignment="1">
      <alignment horizontal="center" vertical="top"/>
    </xf>
    <xf numFmtId="0" fontId="123" fillId="0" borderId="142"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2" fillId="23" borderId="156" xfId="17" applyFont="1" applyFill="1" applyBorder="1" applyAlignment="1">
      <alignment horizontal="center" vertical="center" wrapText="1"/>
    </xf>
    <xf numFmtId="38" fontId="122"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4" fillId="20" borderId="157" xfId="17" applyFont="1" applyFill="1" applyBorder="1" applyAlignment="1" applyProtection="1">
      <alignment horizontal="left" vertical="top" wrapText="1"/>
    </xf>
    <xf numFmtId="49" fontId="124" fillId="20" borderId="157" xfId="17" applyNumberFormat="1" applyFont="1" applyFill="1" applyBorder="1" applyAlignment="1" applyProtection="1">
      <alignment horizontal="center" vertical="top"/>
    </xf>
    <xf numFmtId="0" fontId="124" fillId="20" borderId="157" xfId="17" applyFont="1" applyFill="1" applyBorder="1" applyAlignment="1" applyProtection="1">
      <alignment vertical="top"/>
    </xf>
    <xf numFmtId="38" fontId="124" fillId="20" borderId="157" xfId="17" applyNumberFormat="1" applyFont="1" applyFill="1" applyBorder="1" applyAlignment="1" applyProtection="1">
      <alignment horizontal="right" vertical="top"/>
    </xf>
    <xf numFmtId="38" fontId="124"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29"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4" fillId="16" borderId="157" xfId="17" applyNumberFormat="1" applyFont="1" applyFill="1" applyBorder="1" applyAlignment="1" applyProtection="1">
      <alignment horizontal="right" vertical="top"/>
    </xf>
    <xf numFmtId="0" fontId="123" fillId="0" borderId="149" xfId="17" applyFont="1" applyFill="1" applyBorder="1" applyAlignment="1">
      <alignment vertical="center"/>
    </xf>
    <xf numFmtId="0" fontId="123" fillId="0" borderId="76" xfId="17" applyFont="1" applyFill="1" applyBorder="1" applyAlignment="1">
      <alignment vertical="center"/>
    </xf>
    <xf numFmtId="0" fontId="123"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178" fontId="64" fillId="0" borderId="0" xfId="3" applyNumberFormat="1" applyFont="1" applyBorder="1" applyAlignment="1" applyProtection="1">
      <alignment horizontal="left"/>
      <protection locked="0"/>
    </xf>
    <xf numFmtId="178" fontId="64" fillId="0" borderId="0" xfId="3" applyNumberFormat="1" applyFont="1" applyBorder="1" applyAlignment="1" applyProtection="1">
      <alignment horizontal="center"/>
      <protection locked="0"/>
    </xf>
    <xf numFmtId="0" fontId="136" fillId="0" borderId="0" xfId="19" applyFont="1"/>
    <xf numFmtId="0" fontId="136" fillId="0" borderId="140" xfId="19" applyFont="1" applyBorder="1" applyAlignment="1">
      <alignment horizontal="left"/>
    </xf>
    <xf numFmtId="0" fontId="136" fillId="0" borderId="141" xfId="19" applyFont="1" applyBorder="1"/>
    <xf numFmtId="0" fontId="136" fillId="0" borderId="142" xfId="19" applyFont="1" applyBorder="1"/>
    <xf numFmtId="0" fontId="136" fillId="0" borderId="78" xfId="19" applyFont="1" applyBorder="1"/>
    <xf numFmtId="0" fontId="136" fillId="0" borderId="99" xfId="19" applyFont="1" applyBorder="1"/>
    <xf numFmtId="0" fontId="136" fillId="0" borderId="0" xfId="19" applyFont="1" applyBorder="1"/>
    <xf numFmtId="0" fontId="136" fillId="0" borderId="97" xfId="19" applyFont="1" applyBorder="1"/>
    <xf numFmtId="0" fontId="136" fillId="0" borderId="98" xfId="19" quotePrefix="1" applyFont="1" applyBorder="1" applyAlignment="1">
      <alignment horizontal="left"/>
    </xf>
    <xf numFmtId="0" fontId="136" fillId="0" borderId="0" xfId="19" applyFont="1" applyBorder="1" applyAlignment="1">
      <alignment horizontal="center"/>
    </xf>
    <xf numFmtId="0" fontId="136" fillId="0" borderId="140" xfId="19" applyFont="1" applyBorder="1"/>
    <xf numFmtId="0" fontId="136" fillId="0" borderId="156" xfId="19" applyFont="1" applyBorder="1"/>
    <xf numFmtId="0" fontId="136" fillId="0" borderId="165" xfId="19" applyFont="1" applyBorder="1" applyAlignment="1">
      <alignment horizontal="center"/>
    </xf>
    <xf numFmtId="0" fontId="136" fillId="0" borderId="96" xfId="19" applyFont="1" applyBorder="1" applyAlignment="1">
      <alignment horizontal="center"/>
    </xf>
    <xf numFmtId="0" fontId="136" fillId="0" borderId="0" xfId="19" applyFont="1" applyAlignment="1">
      <alignment horizontal="center"/>
    </xf>
    <xf numFmtId="0" fontId="136" fillId="0" borderId="97" xfId="19" applyFont="1" applyBorder="1" applyAlignment="1">
      <alignment horizontal="center"/>
    </xf>
    <xf numFmtId="0" fontId="136" fillId="0" borderId="0" xfId="19" quotePrefix="1" applyFont="1" applyAlignment="1">
      <alignment horizontal="center"/>
    </xf>
    <xf numFmtId="14" fontId="136" fillId="0" borderId="96" xfId="19" quotePrefix="1" applyNumberFormat="1" applyFont="1" applyBorder="1" applyAlignment="1">
      <alignment horizontal="center"/>
    </xf>
    <xf numFmtId="14" fontId="136" fillId="0" borderId="0" xfId="19" applyNumberFormat="1" applyFont="1" applyBorder="1" applyAlignment="1">
      <alignment horizontal="center"/>
    </xf>
    <xf numFmtId="14" fontId="136" fillId="0" borderId="96" xfId="19" applyNumberFormat="1" applyFont="1" applyBorder="1" applyAlignment="1">
      <alignment horizontal="center"/>
    </xf>
    <xf numFmtId="0" fontId="136" fillId="0" borderId="98" xfId="19" applyFont="1" applyBorder="1"/>
    <xf numFmtId="0" fontId="136" fillId="0" borderId="158" xfId="19" applyFont="1" applyBorder="1" applyAlignment="1">
      <alignment horizontal="center"/>
    </xf>
    <xf numFmtId="0" fontId="136" fillId="0" borderId="98" xfId="19" applyFont="1" applyBorder="1" applyAlignment="1">
      <alignment horizontal="center"/>
    </xf>
    <xf numFmtId="0" fontId="136" fillId="0" borderId="78" xfId="19" applyFont="1" applyBorder="1" applyAlignment="1">
      <alignment horizontal="center"/>
    </xf>
    <xf numFmtId="0" fontId="136" fillId="0" borderId="99" xfId="19" applyFont="1" applyBorder="1" applyAlignment="1">
      <alignment horizontal="center"/>
    </xf>
    <xf numFmtId="0" fontId="138" fillId="0" borderId="0" xfId="19" applyFont="1"/>
    <xf numFmtId="0" fontId="136" fillId="0" borderId="0" xfId="19" applyFont="1" applyFill="1"/>
    <xf numFmtId="41" fontId="136" fillId="0" borderId="0" xfId="19" applyNumberFormat="1" applyFont="1" applyFill="1"/>
    <xf numFmtId="0" fontId="136" fillId="0" borderId="0" xfId="19" applyFont="1" applyFill="1" applyAlignment="1">
      <alignment vertical="top"/>
    </xf>
    <xf numFmtId="0" fontId="136" fillId="0" borderId="0" xfId="19" applyFont="1" applyAlignment="1">
      <alignment vertical="top"/>
    </xf>
    <xf numFmtId="169" fontId="136" fillId="0" borderId="0" xfId="19" applyNumberFormat="1" applyFont="1" applyFill="1" applyAlignment="1">
      <alignment horizontal="center" vertical="top" wrapText="1"/>
    </xf>
    <xf numFmtId="49" fontId="136" fillId="0" borderId="0" xfId="19" applyNumberFormat="1" applyFont="1" applyFill="1" applyAlignment="1">
      <alignment horizontal="center" vertical="top"/>
    </xf>
    <xf numFmtId="41" fontId="136" fillId="0" borderId="0" xfId="20" applyNumberFormat="1" applyFont="1" applyFill="1" applyAlignment="1">
      <alignment vertical="top"/>
    </xf>
    <xf numFmtId="181" fontId="136" fillId="0" borderId="0" xfId="20" applyNumberFormat="1" applyFont="1" applyFill="1" applyAlignment="1">
      <alignment vertical="top"/>
    </xf>
    <xf numFmtId="41" fontId="136" fillId="0" borderId="0" xfId="19" applyNumberFormat="1" applyFont="1" applyAlignment="1">
      <alignment vertical="top"/>
    </xf>
    <xf numFmtId="41" fontId="139" fillId="0" borderId="0" xfId="20" applyNumberFormat="1" applyFont="1" applyFill="1" applyBorder="1" applyAlignment="1">
      <alignment vertical="top"/>
    </xf>
    <xf numFmtId="169" fontId="136" fillId="0" borderId="0" xfId="19" applyNumberFormat="1" applyFont="1" applyFill="1" applyAlignment="1">
      <alignment horizontal="center" wrapText="1"/>
    </xf>
    <xf numFmtId="49" fontId="136" fillId="0" borderId="0" xfId="19" applyNumberFormat="1" applyFont="1" applyFill="1" applyAlignment="1">
      <alignment horizontal="center"/>
    </xf>
    <xf numFmtId="41" fontId="139" fillId="0" borderId="0" xfId="20" applyNumberFormat="1" applyFont="1" applyFill="1" applyBorder="1"/>
    <xf numFmtId="41" fontId="139" fillId="0" borderId="0" xfId="19" applyNumberFormat="1" applyFont="1" applyFill="1" applyBorder="1"/>
    <xf numFmtId="181" fontId="136" fillId="0" borderId="0" xfId="20" applyNumberFormat="1" applyFont="1" applyFill="1"/>
    <xf numFmtId="41" fontId="136" fillId="0" borderId="0" xfId="20" applyNumberFormat="1" applyFont="1" applyFill="1"/>
    <xf numFmtId="41" fontId="136" fillId="0" borderId="0" xfId="19" applyNumberFormat="1" applyFont="1" applyFill="1" applyAlignment="1">
      <alignment horizontal="right"/>
    </xf>
    <xf numFmtId="0" fontId="136" fillId="0" borderId="0" xfId="19" applyFont="1" applyFill="1" applyAlignment="1">
      <alignment horizontal="center"/>
    </xf>
    <xf numFmtId="0" fontId="138" fillId="0" borderId="0" xfId="19" applyFont="1" applyFill="1"/>
    <xf numFmtId="41" fontId="136" fillId="0" borderId="0" xfId="19" applyNumberFormat="1" applyFont="1" applyFill="1" applyBorder="1"/>
    <xf numFmtId="41" fontId="136" fillId="0" borderId="0" xfId="19" applyNumberFormat="1" applyFont="1" applyFill="1" applyAlignment="1">
      <alignment horizontal="center"/>
    </xf>
    <xf numFmtId="169" fontId="136" fillId="0" borderId="0" xfId="19" applyNumberFormat="1" applyFont="1" applyFill="1" applyAlignment="1">
      <alignment horizontal="left" wrapText="1" indent="1"/>
    </xf>
    <xf numFmtId="41" fontId="136" fillId="0" borderId="0" xfId="20" applyNumberFormat="1" applyFont="1" applyFill="1" applyBorder="1"/>
    <xf numFmtId="41" fontId="136" fillId="0" borderId="0" xfId="19" applyNumberFormat="1" applyFont="1"/>
    <xf numFmtId="41" fontId="139" fillId="0" borderId="0" xfId="19" applyNumberFormat="1" applyFont="1" applyFill="1"/>
    <xf numFmtId="49" fontId="136" fillId="0" borderId="0" xfId="19" applyNumberFormat="1" applyFont="1" applyFill="1" applyBorder="1" applyAlignment="1">
      <alignment horizontal="center"/>
    </xf>
    <xf numFmtId="0" fontId="136" fillId="0" borderId="0" xfId="19" applyFont="1" applyFill="1" applyBorder="1"/>
    <xf numFmtId="42" fontId="140" fillId="0" borderId="0" xfId="19" applyNumberFormat="1" applyFont="1" applyFill="1" applyBorder="1"/>
    <xf numFmtId="0" fontId="136" fillId="0" borderId="0" xfId="19" quotePrefix="1" applyFont="1" applyFill="1" applyAlignment="1">
      <alignment horizontal="left"/>
    </xf>
    <xf numFmtId="0" fontId="136" fillId="0" borderId="0" xfId="19" applyFont="1" applyFill="1" applyAlignment="1">
      <alignment horizontal="left"/>
    </xf>
    <xf numFmtId="42" fontId="136" fillId="0" borderId="0" xfId="19" applyNumberFormat="1" applyFont="1"/>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0" xfId="17" applyFont="1" applyFill="1" applyBorder="1" applyAlignment="1">
      <alignment horizontal="center" vertical="center"/>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36" fillId="0" borderId="96" xfId="19" applyFont="1" applyBorder="1" applyAlignment="1">
      <alignment horizontal="center"/>
    </xf>
    <xf numFmtId="0" fontId="136" fillId="0" borderId="0" xfId="19" applyFont="1" applyBorder="1" applyAlignment="1">
      <alignment horizontal="center"/>
    </xf>
    <xf numFmtId="0" fontId="136" fillId="0" borderId="97" xfId="19" applyFont="1" applyBorder="1" applyAlignment="1">
      <alignment horizontal="center"/>
    </xf>
    <xf numFmtId="0" fontId="137" fillId="0" borderId="0" xfId="19" applyFont="1" applyAlignment="1">
      <alignment horizontal="center"/>
    </xf>
    <xf numFmtId="0" fontId="136" fillId="0" borderId="96" xfId="19" applyFont="1" applyBorder="1" applyAlignment="1">
      <alignment horizontal="left"/>
    </xf>
    <xf numFmtId="0" fontId="136" fillId="0" borderId="0" xfId="19" applyFont="1" applyBorder="1" applyAlignment="1">
      <alignment horizontal="left"/>
    </xf>
    <xf numFmtId="0" fontId="136" fillId="0" borderId="97" xfId="19" applyFont="1" applyBorder="1" applyAlignment="1">
      <alignment horizontal="left"/>
    </xf>
    <xf numFmtId="0" fontId="136" fillId="0" borderId="98" xfId="19" applyFont="1" applyBorder="1" applyAlignment="1">
      <alignment horizontal="center"/>
    </xf>
    <xf numFmtId="0" fontId="136" fillId="0" borderId="78" xfId="19" applyFont="1" applyBorder="1" applyAlignment="1">
      <alignment horizontal="center"/>
    </xf>
    <xf numFmtId="0" fontId="136" fillId="0" borderId="99" xfId="19" applyFont="1" applyBorder="1" applyAlignment="1">
      <alignment horizontal="center"/>
    </xf>
    <xf numFmtId="0" fontId="136" fillId="0" borderId="0" xfId="19" applyFont="1" applyAlignment="1">
      <alignment horizontal="center"/>
    </xf>
    <xf numFmtId="0" fontId="136" fillId="0" borderId="98" xfId="19" applyFont="1" applyBorder="1" applyAlignment="1">
      <alignment horizontal="left"/>
    </xf>
    <xf numFmtId="0" fontId="136" fillId="0" borderId="78" xfId="19" applyFont="1" applyBorder="1" applyAlignment="1">
      <alignment horizontal="left"/>
    </xf>
    <xf numFmtId="0" fontId="136" fillId="0" borderId="140" xfId="19" applyFont="1" applyBorder="1" applyAlignment="1">
      <alignment horizontal="left"/>
    </xf>
    <xf numFmtId="0" fontId="136" fillId="0" borderId="141" xfId="19" applyFont="1" applyBorder="1" applyAlignment="1">
      <alignment horizontal="left"/>
    </xf>
    <xf numFmtId="0" fontId="54" fillId="0" borderId="0" xfId="3" applyFont="1" applyAlignment="1" applyProtection="1">
      <alignment horizontal="left" vertical="center" wrapText="1"/>
      <protection locked="0"/>
    </xf>
    <xf numFmtId="0" fontId="54" fillId="0" borderId="0" xfId="3" applyFont="1" applyAlignment="1" applyProtection="1">
      <alignment horizontal="justify"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3" xfId="19" xr:uid="{00000000-0005-0000-0000-000009000000}"/>
    <cellStyle name="Normal 4" xfId="16" xr:uid="{00000000-0005-0000-0000-00000A000000}"/>
    <cellStyle name="Normal 5" xfId="17"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000" t="s">
        <v>665</v>
      </c>
      <c r="B3" s="2001"/>
      <c r="C3" s="2001"/>
      <c r="D3" s="2002"/>
    </row>
    <row r="4" spans="1:4" x14ac:dyDescent="0.2">
      <c r="A4" s="1152" t="s">
        <v>1692</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011" t="s">
        <v>1504</v>
      </c>
      <c r="D7" s="2012"/>
    </row>
    <row r="8" spans="1:4" s="668" customFormat="1" ht="12.75" x14ac:dyDescent="0.2">
      <c r="A8" s="1138"/>
      <c r="B8" s="1093"/>
      <c r="C8" s="1096" t="s">
        <v>1503</v>
      </c>
      <c r="D8" s="1097"/>
    </row>
    <row r="9" spans="1:4" s="668" customFormat="1" ht="14.25" customHeight="1" x14ac:dyDescent="0.2">
      <c r="A9" s="1138"/>
      <c r="B9" s="1093">
        <f>B7+1</f>
        <v>4</v>
      </c>
      <c r="C9" s="1094" t="s">
        <v>1892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003" t="s">
        <v>1008</v>
      </c>
      <c r="B15" s="2004"/>
      <c r="C15" s="2004"/>
      <c r="D15" s="2005"/>
    </row>
    <row r="16" spans="1:4" s="668" customFormat="1" ht="24" customHeight="1" x14ac:dyDescent="0.2">
      <c r="A16" s="2006" t="s">
        <v>663</v>
      </c>
      <c r="B16" s="2007"/>
      <c r="C16" s="2007"/>
      <c r="D16" s="200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015" t="s">
        <v>314</v>
      </c>
      <c r="D21" s="2016"/>
    </row>
    <row r="22" spans="1:10" ht="12.75" x14ac:dyDescent="0.2">
      <c r="A22" s="1139"/>
      <c r="B22" s="1140">
        <v>2</v>
      </c>
      <c r="C22" s="2013" t="s">
        <v>1524</v>
      </c>
      <c r="D22" s="201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017" t="s">
        <v>536</v>
      </c>
      <c r="D43" s="201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009" t="s">
        <v>784</v>
      </c>
      <c r="D56" s="201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1893</v>
      </c>
      <c r="D66" s="1125"/>
    </row>
    <row r="67" spans="1:4" x14ac:dyDescent="0.2">
      <c r="A67" s="1119"/>
      <c r="B67" s="1140"/>
      <c r="C67" s="1147" t="s">
        <v>1021</v>
      </c>
      <c r="D67" s="1125"/>
    </row>
    <row r="68" spans="1:4" x14ac:dyDescent="0.2">
      <c r="A68" s="1100"/>
      <c r="B68" s="1110"/>
      <c r="C68" s="1102" t="s">
        <v>1894</v>
      </c>
      <c r="D68" s="1124" t="str">
        <f>IF('Short-Term Long-Term Debt 24'!F49=SUM(,'Acct Summary 7-8'!C33:K33),"OK","ERROR!")</f>
        <v>OK</v>
      </c>
    </row>
    <row r="69" spans="1:4" x14ac:dyDescent="0.2">
      <c r="A69" s="1100"/>
      <c r="B69" s="1110"/>
      <c r="C69" s="1102" t="s">
        <v>1895</v>
      </c>
      <c r="D69" s="1124" t="str">
        <f>IF('Expenditures 15-22'!H170&lt;&gt;'Short-Term Long-Term Debt 24'!H49,"ERROR!","OK")</f>
        <v>OK</v>
      </c>
    </row>
    <row r="70" spans="1:4" x14ac:dyDescent="0.2">
      <c r="A70" s="1098"/>
      <c r="B70" s="1120">
        <f>B66+1</f>
        <v>9</v>
      </c>
      <c r="C70" s="2009" t="s">
        <v>1696</v>
      </c>
      <c r="D70" s="201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1896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1897</v>
      </c>
      <c r="D78" s="1124" t="str">
        <f>IF(ISNUMBER('Acct Summary 7-8'!C9),"OK","ENTRY IS REQUIRED!")</f>
        <v>OK</v>
      </c>
    </row>
    <row r="79" spans="1:4" x14ac:dyDescent="0.2">
      <c r="A79" s="1119"/>
      <c r="B79" s="1120">
        <f>B74+1+1</f>
        <v>12</v>
      </c>
      <c r="C79" s="1130" t="s">
        <v>1882</v>
      </c>
      <c r="D79" s="1131" t="str">
        <f>IF(OR(COVER!$B$6="X",'PCTC-OEPP 27-28'!F78&gt;0),"OK","PLEASE ENTER 9 MO ADA.")</f>
        <v>OK</v>
      </c>
    </row>
    <row r="80" spans="1:4" x14ac:dyDescent="0.2">
      <c r="A80" s="1098"/>
      <c r="B80" s="1120">
        <v>13</v>
      </c>
      <c r="C80" s="1130" t="s">
        <v>1898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2061" t="s">
        <v>405</v>
      </c>
      <c r="J1" s="2062"/>
      <c r="K1" s="2062"/>
      <c r="L1" s="2062"/>
      <c r="M1" s="2062"/>
      <c r="N1" s="2062"/>
      <c r="O1" s="2062"/>
      <c r="P1" s="2062"/>
      <c r="Q1" s="2062"/>
      <c r="R1" s="2062"/>
      <c r="S1" s="2062"/>
    </row>
    <row r="2" spans="1:28" ht="12" customHeight="1" x14ac:dyDescent="0.2">
      <c r="A2" s="47" t="s">
        <v>1970</v>
      </c>
      <c r="D2" s="48"/>
      <c r="I2" s="2063" t="s">
        <v>979</v>
      </c>
      <c r="J2" s="2062"/>
      <c r="K2" s="2062"/>
      <c r="L2" s="2062"/>
      <c r="M2" s="2062"/>
      <c r="N2" s="2062"/>
      <c r="O2" s="2062"/>
      <c r="P2" s="2062"/>
      <c r="Q2" s="2062"/>
      <c r="R2" s="2062"/>
      <c r="S2" s="2062"/>
    </row>
    <row r="3" spans="1:28" ht="12" customHeight="1" x14ac:dyDescent="0.2">
      <c r="A3" s="155" t="s">
        <v>1923</v>
      </c>
      <c r="B3" s="156"/>
      <c r="C3" s="156"/>
      <c r="D3" s="157"/>
      <c r="I3" s="2063" t="s">
        <v>52</v>
      </c>
      <c r="J3" s="2062"/>
      <c r="K3" s="2062"/>
      <c r="L3" s="2062"/>
      <c r="M3" s="2062"/>
      <c r="N3" s="2062"/>
      <c r="O3" s="2062"/>
      <c r="P3" s="2062"/>
      <c r="Q3" s="2062"/>
      <c r="R3" s="2062"/>
      <c r="S3" s="2062"/>
    </row>
    <row r="4" spans="1:28" ht="12" customHeight="1" x14ac:dyDescent="0.2">
      <c r="A4" s="37"/>
      <c r="I4" s="2063" t="s">
        <v>524</v>
      </c>
      <c r="J4" s="2062"/>
      <c r="K4" s="2062"/>
      <c r="L4" s="2062"/>
      <c r="M4" s="2062"/>
      <c r="N4" s="2062"/>
      <c r="O4" s="2062"/>
      <c r="P4" s="2062"/>
      <c r="Q4" s="2062"/>
      <c r="R4" s="2062"/>
      <c r="S4" s="2062"/>
    </row>
    <row r="5" spans="1:28" ht="14.1" customHeight="1" x14ac:dyDescent="0.2">
      <c r="B5" s="104" t="s">
        <v>2044</v>
      </c>
      <c r="C5" s="26" t="s">
        <v>910</v>
      </c>
      <c r="D5" s="84"/>
      <c r="E5" s="84"/>
      <c r="H5" s="38"/>
      <c r="I5" s="2071" t="s">
        <v>680</v>
      </c>
      <c r="J5" s="2070"/>
      <c r="K5" s="2070"/>
      <c r="L5" s="2070"/>
      <c r="M5" s="2070"/>
      <c r="N5" s="2070"/>
      <c r="O5" s="2070"/>
      <c r="P5" s="2070"/>
      <c r="Q5" s="2070"/>
      <c r="R5" s="2070"/>
      <c r="S5" s="2070"/>
    </row>
    <row r="6" spans="1:28" ht="14.1" customHeight="1" x14ac:dyDescent="0.2">
      <c r="B6" s="104"/>
      <c r="C6" s="26" t="s">
        <v>911</v>
      </c>
      <c r="D6" s="84"/>
      <c r="E6" s="84"/>
      <c r="I6" s="2069" t="s">
        <v>883</v>
      </c>
      <c r="J6" s="2070"/>
      <c r="K6" s="2070"/>
      <c r="L6" s="2070"/>
      <c r="M6" s="2070"/>
      <c r="N6" s="2070"/>
      <c r="O6" s="2070"/>
      <c r="P6" s="2070"/>
      <c r="Q6" s="2070"/>
      <c r="R6" s="2070"/>
      <c r="S6" s="2070"/>
    </row>
    <row r="7" spans="1:28" ht="12.2" customHeight="1" x14ac:dyDescent="0.2">
      <c r="I7" s="2064">
        <v>43646</v>
      </c>
      <c r="J7" s="2065"/>
      <c r="K7" s="2065"/>
      <c r="L7" s="2065"/>
      <c r="M7" s="2065"/>
      <c r="N7" s="2065"/>
      <c r="O7" s="2065"/>
      <c r="P7" s="2065"/>
      <c r="Q7" s="2065"/>
      <c r="R7" s="2065"/>
      <c r="S7" s="206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6" t="s">
        <v>674</v>
      </c>
      <c r="J9" s="2067"/>
      <c r="K9" s="2067"/>
      <c r="L9" s="2067"/>
      <c r="M9" s="2067"/>
      <c r="N9" s="2067"/>
      <c r="O9" s="2067"/>
      <c r="P9" s="2067"/>
      <c r="Q9" s="2067"/>
      <c r="R9" s="2067"/>
      <c r="S9" s="2068"/>
      <c r="T9" s="2082" t="s">
        <v>533</v>
      </c>
      <c r="U9" s="2083"/>
      <c r="V9" s="2083"/>
      <c r="W9" s="2083"/>
      <c r="X9" s="2083"/>
      <c r="Y9" s="2083"/>
      <c r="Z9" s="2083"/>
      <c r="AA9" s="2084"/>
    </row>
    <row r="10" spans="1:28" ht="13.5" customHeight="1" x14ac:dyDescent="0.2">
      <c r="A10" s="2089" t="s">
        <v>675</v>
      </c>
      <c r="B10" s="2090"/>
      <c r="C10" s="2090"/>
      <c r="D10" s="2090"/>
      <c r="E10" s="2090"/>
      <c r="F10" s="2090"/>
      <c r="G10" s="2090"/>
      <c r="H10" s="2091"/>
      <c r="I10" s="29"/>
      <c r="J10" s="30"/>
      <c r="K10" s="28"/>
      <c r="R10" s="30"/>
      <c r="S10" s="30"/>
      <c r="T10" s="2085"/>
      <c r="U10" s="2070"/>
      <c r="V10" s="2070"/>
      <c r="W10" s="2070"/>
      <c r="X10" s="2070"/>
      <c r="Y10" s="2070"/>
      <c r="Z10" s="2070"/>
      <c r="AA10" s="2076"/>
    </row>
    <row r="11" spans="1:28" ht="14.25" customHeight="1" x14ac:dyDescent="0.2">
      <c r="A11" s="2092" t="s">
        <v>955</v>
      </c>
      <c r="B11" s="2093"/>
      <c r="C11" s="2093"/>
      <c r="D11" s="2093"/>
      <c r="E11" s="2093"/>
      <c r="F11" s="2093"/>
      <c r="G11" s="2093"/>
      <c r="H11" s="2094"/>
      <c r="I11" s="27"/>
      <c r="J11" s="74"/>
      <c r="K11" s="27"/>
      <c r="O11" s="148" t="s">
        <v>2044</v>
      </c>
      <c r="P11" s="100" t="s">
        <v>201</v>
      </c>
      <c r="Q11" s="30"/>
      <c r="R11" s="28"/>
      <c r="S11" s="27"/>
      <c r="T11" s="2086"/>
      <c r="U11" s="2087"/>
      <c r="V11" s="2087"/>
      <c r="W11" s="2087"/>
      <c r="X11" s="2087"/>
      <c r="Y11" s="2087"/>
      <c r="Z11" s="2087"/>
      <c r="AA11" s="208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6" t="s">
        <v>2045</v>
      </c>
      <c r="B13" s="2097"/>
      <c r="C13" s="2097"/>
      <c r="D13" s="2097"/>
      <c r="E13" s="2097"/>
      <c r="F13" s="2097"/>
      <c r="G13" s="2097"/>
      <c r="H13" s="2098"/>
      <c r="I13" s="31"/>
      <c r="J13" s="30"/>
      <c r="K13" s="28"/>
      <c r="L13" s="30"/>
      <c r="M13" s="30"/>
      <c r="N13" s="30"/>
      <c r="O13" s="30"/>
      <c r="P13" s="30"/>
      <c r="Q13" s="30"/>
      <c r="R13" s="30"/>
      <c r="S13" s="30"/>
      <c r="T13" s="2101" t="s">
        <v>2046</v>
      </c>
      <c r="U13" s="2102"/>
      <c r="V13" s="2102"/>
      <c r="W13" s="2102"/>
      <c r="X13" s="2102"/>
      <c r="Y13" s="2103"/>
      <c r="Z13" s="2103"/>
      <c r="AA13" s="210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5" t="s">
        <v>2047</v>
      </c>
      <c r="B15" s="2099"/>
      <c r="C15" s="2099"/>
      <c r="D15" s="2099"/>
      <c r="E15" s="2099"/>
      <c r="F15" s="2099"/>
      <c r="G15" s="2099"/>
      <c r="H15" s="2100"/>
      <c r="T15" s="2105" t="s">
        <v>2048</v>
      </c>
      <c r="U15" s="2049"/>
      <c r="V15" s="2049"/>
      <c r="W15" s="2049"/>
      <c r="X15" s="2049"/>
      <c r="Y15" s="2106"/>
      <c r="Z15" s="2106"/>
      <c r="AA15" s="210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5" t="s">
        <v>2049</v>
      </c>
      <c r="B17" s="2056"/>
      <c r="C17" s="2056"/>
      <c r="D17" s="2056"/>
      <c r="E17" s="2056"/>
      <c r="F17" s="2056"/>
      <c r="G17" s="2056"/>
      <c r="H17" s="2081"/>
      <c r="T17" s="2112" t="s">
        <v>2050</v>
      </c>
      <c r="U17" s="2113"/>
      <c r="V17" s="2113"/>
      <c r="W17" s="2113"/>
      <c r="X17" s="2113"/>
      <c r="Y17" s="2113"/>
      <c r="Z17" s="2113"/>
      <c r="AA17" s="2114"/>
    </row>
    <row r="18" spans="1:27" ht="13.5" customHeight="1" x14ac:dyDescent="0.2">
      <c r="A18" s="85" t="s">
        <v>530</v>
      </c>
      <c r="B18" s="76"/>
      <c r="C18" s="72"/>
      <c r="D18" s="76"/>
      <c r="E18" s="76"/>
      <c r="F18" s="76"/>
      <c r="G18" s="76"/>
      <c r="H18" s="56"/>
      <c r="I18" s="2080" t="s">
        <v>676</v>
      </c>
      <c r="J18" s="2031"/>
      <c r="K18" s="2031"/>
      <c r="L18" s="2031"/>
      <c r="M18" s="2031"/>
      <c r="N18" s="2031"/>
      <c r="O18" s="2031"/>
      <c r="P18" s="2031"/>
      <c r="Q18" s="2031"/>
      <c r="R18" s="2031"/>
      <c r="S18" s="2032"/>
      <c r="T18" s="85" t="s">
        <v>711</v>
      </c>
      <c r="U18" s="51"/>
      <c r="V18" s="72"/>
      <c r="W18" s="50"/>
      <c r="X18" s="85" t="s">
        <v>266</v>
      </c>
      <c r="Y18" s="81"/>
      <c r="Z18" s="159" t="s">
        <v>677</v>
      </c>
      <c r="AA18" s="46"/>
    </row>
    <row r="19" spans="1:27" ht="13.5" customHeight="1" x14ac:dyDescent="0.2">
      <c r="A19" s="2095" t="s">
        <v>2051</v>
      </c>
      <c r="B19" s="2041"/>
      <c r="C19" s="2041"/>
      <c r="D19" s="2041"/>
      <c r="E19" s="2041"/>
      <c r="F19" s="2041"/>
      <c r="G19" s="2041"/>
      <c r="H19" s="2021"/>
      <c r="I19" s="30"/>
      <c r="J19" s="99"/>
      <c r="K19" s="40"/>
      <c r="L19" s="38"/>
      <c r="M19" s="112" t="s">
        <v>315</v>
      </c>
      <c r="P19" s="27"/>
      <c r="Q19" s="27"/>
      <c r="R19" s="27"/>
      <c r="S19" s="31"/>
      <c r="T19" s="2095" t="s">
        <v>2052</v>
      </c>
      <c r="U19" s="2020"/>
      <c r="V19" s="2020"/>
      <c r="W19" s="2021"/>
      <c r="X19" s="2110" t="s">
        <v>2053</v>
      </c>
      <c r="Y19" s="2111"/>
      <c r="Z19" s="2108">
        <v>62002</v>
      </c>
      <c r="AA19" s="210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9" t="s">
        <v>2054</v>
      </c>
      <c r="B21" s="2020"/>
      <c r="C21" s="2020"/>
      <c r="D21" s="2020"/>
      <c r="E21" s="2020"/>
      <c r="F21" s="2020"/>
      <c r="G21" s="2020"/>
      <c r="H21" s="2021"/>
      <c r="I21" s="2075" t="s">
        <v>678</v>
      </c>
      <c r="J21" s="2070"/>
      <c r="K21" s="2070"/>
      <c r="L21" s="2070"/>
      <c r="M21" s="2070"/>
      <c r="N21" s="2070"/>
      <c r="O21" s="2070"/>
      <c r="P21" s="2070"/>
      <c r="Q21" s="2070"/>
      <c r="R21" s="2070"/>
      <c r="S21" s="2076"/>
      <c r="T21" s="2119" t="s">
        <v>2055</v>
      </c>
      <c r="U21" s="2120"/>
      <c r="V21" s="2120"/>
      <c r="W21" s="2120"/>
      <c r="X21" s="2125" t="s">
        <v>2056</v>
      </c>
      <c r="Y21" s="2126"/>
      <c r="Z21" s="2126"/>
      <c r="AA21" s="2127"/>
    </row>
    <row r="22" spans="1:27" ht="13.5" customHeight="1" x14ac:dyDescent="0.2">
      <c r="A22" s="87" t="s">
        <v>531</v>
      </c>
      <c r="B22" s="59"/>
      <c r="C22" s="59"/>
      <c r="D22" s="59"/>
      <c r="E22" s="59"/>
      <c r="F22" s="59"/>
      <c r="G22" s="59"/>
      <c r="H22" s="60"/>
      <c r="I22" s="2077" t="s">
        <v>1429</v>
      </c>
      <c r="J22" s="2078"/>
      <c r="K22" s="2078"/>
      <c r="L22" s="2078"/>
      <c r="M22" s="2078"/>
      <c r="N22" s="2078"/>
      <c r="O22" s="2078"/>
      <c r="P22" s="2078"/>
      <c r="Q22" s="2078"/>
      <c r="R22" s="2078"/>
      <c r="S22" s="2079"/>
      <c r="T22" s="85" t="s">
        <v>1516</v>
      </c>
      <c r="U22" s="51"/>
      <c r="V22" s="72"/>
      <c r="W22" s="51"/>
      <c r="X22" s="160" t="s">
        <v>1318</v>
      </c>
      <c r="Z22" s="45"/>
      <c r="AA22" s="46"/>
    </row>
    <row r="23" spans="1:27" ht="13.5" customHeight="1" x14ac:dyDescent="0.2">
      <c r="A23" s="2072"/>
      <c r="B23" s="2073"/>
      <c r="C23" s="2073"/>
      <c r="D23" s="2073"/>
      <c r="E23" s="2073"/>
      <c r="F23" s="2073"/>
      <c r="G23" s="2073"/>
      <c r="H23" s="2074"/>
      <c r="T23" s="2055" t="s">
        <v>2057</v>
      </c>
      <c r="U23" s="2118"/>
      <c r="V23" s="2118"/>
      <c r="W23" s="2118"/>
      <c r="X23" s="2122">
        <v>44530</v>
      </c>
      <c r="Y23" s="2123"/>
      <c r="Z23" s="2123"/>
      <c r="AA23" s="2124"/>
    </row>
    <row r="24" spans="1:27" ht="14.1" customHeight="1" x14ac:dyDescent="0.2">
      <c r="A24" s="88" t="s">
        <v>677</v>
      </c>
      <c r="B24" s="49"/>
      <c r="C24" s="49"/>
      <c r="D24" s="49"/>
      <c r="E24" s="49"/>
      <c r="F24" s="49"/>
      <c r="G24" s="49"/>
      <c r="H24" s="61"/>
      <c r="J24" s="2042">
        <f>IF(B5="x",IF(AUDITCHECK!D29="AFR form Incomplete.","",IF(AUDITCHECK!D29="Deficit reduction plan is required.","School District must complete a deficit reduction plan in the 2019-2020 Budget",)),"")</f>
        <v>0</v>
      </c>
      <c r="K24" s="2042"/>
      <c r="L24" s="2042"/>
      <c r="M24" s="2042"/>
      <c r="N24" s="2042"/>
      <c r="O24" s="2042"/>
      <c r="P24" s="2042"/>
      <c r="Q24" s="2042"/>
      <c r="R24" s="2042"/>
      <c r="S24" s="2043"/>
      <c r="T24" s="105" t="s">
        <v>531</v>
      </c>
      <c r="U24" s="106"/>
      <c r="V24" s="106"/>
      <c r="W24" s="106"/>
      <c r="X24" s="107"/>
      <c r="Y24" s="107"/>
      <c r="Z24" s="107"/>
      <c r="AA24" s="108"/>
    </row>
    <row r="25" spans="1:27" ht="14.1" customHeight="1" x14ac:dyDescent="0.2">
      <c r="A25" s="2019">
        <v>62221</v>
      </c>
      <c r="B25" s="2020"/>
      <c r="C25" s="2020"/>
      <c r="D25" s="2020"/>
      <c r="E25" s="2020"/>
      <c r="F25" s="2020"/>
      <c r="G25" s="2020"/>
      <c r="H25" s="2021"/>
      <c r="I25" s="113"/>
      <c r="J25" s="2044"/>
      <c r="K25" s="2044"/>
      <c r="L25" s="2044"/>
      <c r="M25" s="2044"/>
      <c r="N25" s="2044"/>
      <c r="O25" s="2044"/>
      <c r="P25" s="2044"/>
      <c r="Q25" s="2044"/>
      <c r="R25" s="2044"/>
      <c r="S25" s="2045"/>
      <c r="T25" s="2115" t="s">
        <v>2058</v>
      </c>
      <c r="U25" s="2116"/>
      <c r="V25" s="2116"/>
      <c r="W25" s="2116"/>
      <c r="X25" s="2116"/>
      <c r="Y25" s="2116"/>
      <c r="Z25" s="2116"/>
      <c r="AA25" s="211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0" t="s">
        <v>1511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2044</v>
      </c>
      <c r="F29" s="141" t="s">
        <v>1316</v>
      </c>
      <c r="G29" s="114"/>
      <c r="I29" s="54"/>
      <c r="J29" s="148" t="s">
        <v>2044</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2044</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1"/>
      <c r="Q35" s="2020"/>
      <c r="R35" s="202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5"/>
      <c r="B38" s="2056"/>
      <c r="C38" s="2056"/>
      <c r="D38" s="2056"/>
      <c r="E38" s="2056"/>
      <c r="F38" s="2020"/>
      <c r="G38" s="2020"/>
      <c r="H38" s="2021"/>
      <c r="I38" s="2048"/>
      <c r="J38" s="2049"/>
      <c r="K38" s="2049"/>
      <c r="L38" s="2049"/>
      <c r="M38" s="2049"/>
      <c r="N38" s="2049"/>
      <c r="O38" s="2049"/>
      <c r="P38" s="2050"/>
      <c r="Q38" s="2050"/>
      <c r="R38" s="2050"/>
      <c r="S38" s="2051"/>
      <c r="T38" s="2105"/>
      <c r="U38" s="2049"/>
      <c r="V38" s="2049"/>
      <c r="W38" s="2049"/>
      <c r="X38" s="2050"/>
      <c r="Y38" s="2050"/>
      <c r="Z38" s="2050"/>
      <c r="AA38" s="2051"/>
    </row>
    <row r="39" spans="1:27" ht="12" customHeight="1" x14ac:dyDescent="0.2">
      <c r="A39" s="2025" t="s">
        <v>531</v>
      </c>
      <c r="B39" s="2026"/>
      <c r="C39" s="72"/>
      <c r="D39" s="69"/>
      <c r="E39" s="69"/>
      <c r="F39" s="79"/>
      <c r="G39" s="69"/>
      <c r="H39" s="56"/>
      <c r="I39" s="2025" t="s">
        <v>531</v>
      </c>
      <c r="J39" s="2026"/>
      <c r="K39" s="2026"/>
      <c r="L39" s="2026"/>
      <c r="M39" s="2026"/>
      <c r="N39" s="67"/>
      <c r="O39" s="72"/>
      <c r="P39" s="72"/>
      <c r="Q39" s="78"/>
      <c r="R39" s="72"/>
      <c r="S39" s="56"/>
      <c r="T39" s="72" t="s">
        <v>531</v>
      </c>
      <c r="U39" s="51"/>
      <c r="V39" s="72"/>
      <c r="W39" s="50"/>
      <c r="X39" s="78"/>
      <c r="Y39" s="45"/>
      <c r="Z39" s="45"/>
      <c r="AA39" s="46"/>
    </row>
    <row r="40" spans="1:27" ht="13.5" customHeight="1" x14ac:dyDescent="0.2">
      <c r="A40" s="2033"/>
      <c r="B40" s="2034"/>
      <c r="C40" s="2035"/>
      <c r="D40" s="2035"/>
      <c r="E40" s="2035"/>
      <c r="F40" s="2036"/>
      <c r="G40" s="2036"/>
      <c r="H40" s="2037"/>
      <c r="I40" s="2058"/>
      <c r="J40" s="2059"/>
      <c r="K40" s="2059"/>
      <c r="L40" s="2059"/>
      <c r="M40" s="2059"/>
      <c r="N40" s="2059"/>
      <c r="O40" s="2059"/>
      <c r="P40" s="2059"/>
      <c r="Q40" s="2059"/>
      <c r="R40" s="2059"/>
      <c r="S40" s="2060"/>
      <c r="T40" s="2058"/>
      <c r="U40" s="2121"/>
      <c r="V40" s="2059"/>
      <c r="W40" s="2059"/>
      <c r="X40" s="2059"/>
      <c r="Y40" s="2059"/>
      <c r="Z40" s="2059"/>
      <c r="AA40" s="20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c r="B42" s="2039"/>
      <c r="C42" s="2040"/>
      <c r="D42" s="2038"/>
      <c r="E42" s="2039"/>
      <c r="F42" s="2039"/>
      <c r="G42" s="2039"/>
      <c r="H42" s="2040"/>
      <c r="I42" s="2022"/>
      <c r="J42" s="2023"/>
      <c r="K42" s="2023"/>
      <c r="L42" s="2023"/>
      <c r="M42" s="2023"/>
      <c r="N42" s="2023"/>
      <c r="O42" s="2024"/>
      <c r="P42" s="2057"/>
      <c r="Q42" s="2023"/>
      <c r="R42" s="2023"/>
      <c r="S42" s="2024"/>
      <c r="T42" s="2022"/>
      <c r="U42" s="2023"/>
      <c r="V42" s="2023"/>
      <c r="W42" s="2024"/>
      <c r="X42" s="2057"/>
      <c r="Y42" s="2023"/>
      <c r="Z42" s="2023"/>
      <c r="AA42" s="202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1922</v>
      </c>
      <c r="D46" s="41"/>
      <c r="E46" s="41"/>
      <c r="F46" s="41"/>
      <c r="G46" s="41"/>
      <c r="Q46" s="29" t="s">
        <v>1420</v>
      </c>
      <c r="R46" s="41"/>
      <c r="S46" s="41"/>
      <c r="T46" s="41"/>
      <c r="U46" s="41"/>
      <c r="V46" s="41"/>
      <c r="W46" s="41"/>
      <c r="X46" s="41"/>
      <c r="Y46" s="41"/>
      <c r="Z46" s="41"/>
      <c r="AA46" s="41"/>
    </row>
    <row r="47" spans="1:27" x14ac:dyDescent="0.2">
      <c r="A47" s="137"/>
      <c r="Q47" s="41" t="s">
        <v>1905</v>
      </c>
      <c r="R47" s="41"/>
      <c r="S47" s="41"/>
      <c r="T47" s="41"/>
      <c r="U47" s="41"/>
      <c r="V47" s="41"/>
      <c r="W47" s="41"/>
      <c r="X47" s="41"/>
      <c r="Y47" s="41"/>
      <c r="Z47" s="41"/>
      <c r="AA47" s="41"/>
    </row>
    <row r="48" spans="1:27" x14ac:dyDescent="0.2">
      <c r="Q48" s="41" t="s">
        <v>1906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37"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1838</v>
      </c>
      <c r="C4" s="162" t="s">
        <v>1169</v>
      </c>
      <c r="D4" s="169" t="s">
        <v>10</v>
      </c>
      <c r="E4" s="170" t="s">
        <v>22</v>
      </c>
    </row>
    <row r="5" spans="1:5" x14ac:dyDescent="0.2">
      <c r="A5" s="168" t="s">
        <v>1840</v>
      </c>
      <c r="C5" s="162" t="s">
        <v>1169</v>
      </c>
      <c r="D5" s="169" t="s">
        <v>10</v>
      </c>
      <c r="E5" s="170" t="s">
        <v>22</v>
      </c>
    </row>
    <row r="6" spans="1:5" x14ac:dyDescent="0.2">
      <c r="A6" s="168" t="s">
        <v>1839</v>
      </c>
      <c r="C6" s="162" t="s">
        <v>1169</v>
      </c>
      <c r="D6" s="167" t="s">
        <v>11</v>
      </c>
      <c r="E6" s="170" t="s">
        <v>941</v>
      </c>
    </row>
    <row r="7" spans="1:5" x14ac:dyDescent="0.2">
      <c r="A7" s="168" t="s">
        <v>1841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1842</v>
      </c>
      <c r="C11" s="162" t="s">
        <v>1169</v>
      </c>
      <c r="D11" s="169" t="s">
        <v>14</v>
      </c>
      <c r="E11" s="170" t="s">
        <v>1156</v>
      </c>
    </row>
    <row r="12" spans="1:5" x14ac:dyDescent="0.2">
      <c r="B12" s="169" t="s">
        <v>1843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1844</v>
      </c>
      <c r="C15" s="162" t="s">
        <v>1169</v>
      </c>
      <c r="D15" s="169" t="s">
        <v>17</v>
      </c>
      <c r="E15" s="170" t="s">
        <v>636</v>
      </c>
    </row>
    <row r="16" spans="1:5" x14ac:dyDescent="0.2">
      <c r="A16" s="172"/>
      <c r="B16" s="162" t="s">
        <v>1845</v>
      </c>
      <c r="C16" s="162" t="s">
        <v>1169</v>
      </c>
      <c r="D16" s="169" t="s">
        <v>681</v>
      </c>
      <c r="E16" s="170" t="s">
        <v>1040</v>
      </c>
    </row>
    <row r="17" spans="1:5" x14ac:dyDescent="0.2">
      <c r="B17" s="167" t="s">
        <v>988</v>
      </c>
      <c r="C17" s="162" t="s">
        <v>1169</v>
      </c>
    </row>
    <row r="18" spans="1:5" x14ac:dyDescent="0.2">
      <c r="B18" s="167" t="s">
        <v>1851</v>
      </c>
      <c r="D18" s="169" t="s">
        <v>18</v>
      </c>
      <c r="E18" s="170" t="s">
        <v>1041</v>
      </c>
    </row>
    <row r="19" spans="1:5" x14ac:dyDescent="0.2">
      <c r="A19" s="168" t="s">
        <v>1099</v>
      </c>
      <c r="C19" s="162" t="s">
        <v>1169</v>
      </c>
      <c r="D19" s="169"/>
      <c r="E19" s="171"/>
    </row>
    <row r="20" spans="1:5" x14ac:dyDescent="0.2">
      <c r="B20" s="167" t="s">
        <v>1846</v>
      </c>
      <c r="C20" s="162" t="s">
        <v>1169</v>
      </c>
      <c r="D20" s="169" t="s">
        <v>19</v>
      </c>
      <c r="E20" s="170" t="s">
        <v>51</v>
      </c>
    </row>
    <row r="21" spans="1:5" x14ac:dyDescent="0.2">
      <c r="B21" s="167" t="s">
        <v>1847</v>
      </c>
      <c r="C21" s="162" t="s">
        <v>1169</v>
      </c>
      <c r="D21" s="169" t="s">
        <v>20</v>
      </c>
      <c r="E21" s="170" t="s">
        <v>1610</v>
      </c>
    </row>
    <row r="22" spans="1:5" x14ac:dyDescent="0.2">
      <c r="A22" s="168"/>
      <c r="B22" s="162" t="s">
        <v>1835</v>
      </c>
      <c r="C22" s="162" t="s">
        <v>1169</v>
      </c>
      <c r="D22" s="167" t="s">
        <v>1837</v>
      </c>
      <c r="E22" s="1834" t="s">
        <v>1611</v>
      </c>
    </row>
    <row r="23" spans="1:5" x14ac:dyDescent="0.2">
      <c r="A23" s="168"/>
      <c r="B23" s="162" t="s">
        <v>1836</v>
      </c>
      <c r="D23" s="167" t="s">
        <v>637</v>
      </c>
      <c r="E23" s="1834" t="s">
        <v>959</v>
      </c>
    </row>
    <row r="24" spans="1:5" x14ac:dyDescent="0.2">
      <c r="A24" s="168" t="s">
        <v>1609</v>
      </c>
      <c r="C24" s="162" t="s">
        <v>1169</v>
      </c>
      <c r="D24" s="167" t="s">
        <v>1393</v>
      </c>
      <c r="E24" s="170" t="s">
        <v>960</v>
      </c>
    </row>
    <row r="25" spans="1:5" x14ac:dyDescent="0.2">
      <c r="A25" s="168" t="s">
        <v>1848</v>
      </c>
      <c r="C25" s="162" t="s">
        <v>1169</v>
      </c>
      <c r="D25" s="169" t="s">
        <v>21</v>
      </c>
      <c r="E25" s="170" t="s">
        <v>1042</v>
      </c>
    </row>
    <row r="26" spans="1:5" x14ac:dyDescent="0.2">
      <c r="A26" s="168" t="s">
        <v>1849</v>
      </c>
      <c r="C26" s="162" t="s">
        <v>1169</v>
      </c>
      <c r="D26" s="169" t="s">
        <v>563</v>
      </c>
      <c r="E26" s="170" t="s">
        <v>1043</v>
      </c>
    </row>
    <row r="27" spans="1:5" x14ac:dyDescent="0.2">
      <c r="A27" s="168" t="s">
        <v>1850</v>
      </c>
      <c r="C27" s="162" t="s">
        <v>1169</v>
      </c>
      <c r="D27" s="169" t="s">
        <v>557</v>
      </c>
      <c r="E27" s="170" t="s">
        <v>683</v>
      </c>
    </row>
    <row r="28" spans="1:5" x14ac:dyDescent="0.2">
      <c r="A28" s="168" t="s">
        <v>1852</v>
      </c>
      <c r="D28" s="169" t="s">
        <v>684</v>
      </c>
      <c r="E28" s="170" t="s">
        <v>1366</v>
      </c>
    </row>
    <row r="29" spans="1:5" x14ac:dyDescent="0.2">
      <c r="A29" s="168" t="s">
        <v>1853</v>
      </c>
      <c r="D29" s="169" t="s">
        <v>1394</v>
      </c>
      <c r="E29" s="170" t="s">
        <v>1375</v>
      </c>
    </row>
    <row r="30" spans="1:5" x14ac:dyDescent="0.2">
      <c r="A30" s="173" t="s">
        <v>1854</v>
      </c>
      <c r="C30" s="162" t="s">
        <v>1169</v>
      </c>
      <c r="D30" s="169" t="s">
        <v>40</v>
      </c>
      <c r="E30" s="170" t="s">
        <v>982</v>
      </c>
    </row>
    <row r="31" spans="1:5" x14ac:dyDescent="0.2">
      <c r="A31" s="168" t="s">
        <v>1521</v>
      </c>
      <c r="C31" s="162" t="s">
        <v>1169</v>
      </c>
      <c r="D31" s="167"/>
      <c r="E31" s="171"/>
    </row>
    <row r="32" spans="1:5" x14ac:dyDescent="0.2">
      <c r="B32" s="167" t="s">
        <v>1855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31" t="s">
        <v>1065</v>
      </c>
      <c r="B35" s="2131"/>
      <c r="C35" s="2131"/>
      <c r="D35" s="2131"/>
      <c r="E35" s="213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8" t="s">
        <v>691</v>
      </c>
      <c r="B40" s="2128"/>
      <c r="C40" s="2128"/>
      <c r="D40" s="2128"/>
      <c r="E40" s="2128"/>
    </row>
    <row r="41" spans="1:5" x14ac:dyDescent="0.2">
      <c r="A41" s="2129" t="s">
        <v>1608</v>
      </c>
      <c r="B41" s="2129"/>
      <c r="C41" s="2129"/>
      <c r="D41" s="2129"/>
      <c r="E41" s="2129"/>
    </row>
    <row r="42" spans="1:5" ht="12.75" customHeight="1" x14ac:dyDescent="0.2">
      <c r="A42" s="2130" t="s">
        <v>1022</v>
      </c>
      <c r="B42" s="2130"/>
      <c r="C42" s="2130"/>
      <c r="D42" s="2130"/>
      <c r="E42" s="2130"/>
    </row>
    <row r="43" spans="1:5" ht="6.75" customHeight="1" x14ac:dyDescent="0.2">
      <c r="A43" s="167"/>
      <c r="B43" s="176"/>
    </row>
    <row r="44" spans="1:5" x14ac:dyDescent="0.2">
      <c r="A44" s="185" t="s">
        <v>983</v>
      </c>
      <c r="B44" s="186" t="s">
        <v>1881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83" t="s">
        <v>1756</v>
      </c>
    </row>
    <row r="60" spans="1:3" x14ac:dyDescent="0.2">
      <c r="A60" s="196"/>
      <c r="B60" s="1483" t="s">
        <v>1757</v>
      </c>
    </row>
    <row r="61" spans="1:3" ht="6" customHeight="1" x14ac:dyDescent="0.2">
      <c r="A61" s="197"/>
      <c r="B61" s="189"/>
    </row>
    <row r="62" spans="1:3" x14ac:dyDescent="0.2">
      <c r="A62" s="169" t="s">
        <v>1616</v>
      </c>
      <c r="B62" s="198" t="s">
        <v>1753</v>
      </c>
    </row>
    <row r="63" spans="1:3" x14ac:dyDescent="0.2">
      <c r="A63" s="188"/>
      <c r="B63" s="169" t="s">
        <v>1768</v>
      </c>
    </row>
    <row r="64" spans="1:3" x14ac:dyDescent="0.2">
      <c r="A64" s="195"/>
      <c r="B64" s="1485"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84" t="s">
        <v>1619</v>
      </c>
    </row>
    <row r="72" spans="1:9" ht="9" customHeight="1" x14ac:dyDescent="0.2">
      <c r="A72" s="192"/>
      <c r="B72" s="199"/>
    </row>
    <row r="73" spans="1:9" x14ac:dyDescent="0.2">
      <c r="A73" s="189" t="s">
        <v>1620</v>
      </c>
      <c r="B73" s="169" t="s">
        <v>1764</v>
      </c>
    </row>
    <row r="74" spans="1:9" x14ac:dyDescent="0.2">
      <c r="A74" s="189"/>
      <c r="B74" s="169" t="s">
        <v>1763</v>
      </c>
    </row>
    <row r="75" spans="1:9" ht="8.25" customHeight="1" x14ac:dyDescent="0.2">
      <c r="A75" s="189"/>
      <c r="B75" s="189"/>
    </row>
    <row r="76" spans="1:9" ht="12.2" customHeight="1" x14ac:dyDescent="0.2">
      <c r="A76" s="189" t="s">
        <v>1621</v>
      </c>
      <c r="B76" s="198" t="s">
        <v>1765</v>
      </c>
    </row>
    <row r="77" spans="1:9" ht="12.2" customHeight="1" x14ac:dyDescent="0.2">
      <c r="A77" s="190"/>
      <c r="B77" s="169" t="s">
        <v>1622</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9" colorId="8" zoomScale="110" zoomScaleNormal="110" workbookViewId="0">
      <selection activeCell="E125" sqref="E1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2" t="s">
        <v>1168</v>
      </c>
      <c r="B2" s="2132"/>
      <c r="C2" s="2132"/>
      <c r="D2" s="2132"/>
      <c r="E2" s="2132"/>
      <c r="F2" s="2132"/>
      <c r="G2" s="2132"/>
      <c r="H2" s="2132"/>
      <c r="I2" s="2132"/>
      <c r="J2" s="213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6" t="s">
        <v>1633</v>
      </c>
      <c r="B35" s="2147"/>
      <c r="C35" s="2147"/>
      <c r="D35" s="2147"/>
      <c r="E35" s="2148"/>
      <c r="F35" s="2148"/>
      <c r="G35" s="2148"/>
      <c r="H35" s="2148"/>
      <c r="I35" s="214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6" t="s">
        <v>313</v>
      </c>
      <c r="B47" s="2149"/>
      <c r="C47" s="2149"/>
      <c r="D47" s="2149"/>
      <c r="E47" s="2150"/>
      <c r="F47" s="2150"/>
      <c r="G47" s="2150"/>
      <c r="H47" s="2150"/>
      <c r="I47" s="215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3"/>
      <c r="C57" s="2154"/>
      <c r="D57" s="2154"/>
      <c r="E57" s="2154"/>
      <c r="F57" s="2154"/>
      <c r="G57" s="2154"/>
      <c r="H57" s="2154"/>
      <c r="I57" s="2154"/>
      <c r="J57" s="2155"/>
    </row>
    <row r="58" spans="1:10" s="181" customFormat="1" x14ac:dyDescent="0.2">
      <c r="A58" s="253"/>
      <c r="B58" s="2156"/>
      <c r="C58" s="2157"/>
      <c r="D58" s="2157"/>
      <c r="E58" s="2157"/>
      <c r="F58" s="2157"/>
      <c r="G58" s="2157"/>
      <c r="H58" s="2157"/>
      <c r="I58" s="2157"/>
      <c r="J58" s="2158"/>
    </row>
    <row r="59" spans="1:10" s="181" customFormat="1" x14ac:dyDescent="0.2">
      <c r="A59" s="253"/>
      <c r="B59" s="2156"/>
      <c r="C59" s="2157"/>
      <c r="D59" s="2157"/>
      <c r="E59" s="2157"/>
      <c r="F59" s="2157"/>
      <c r="G59" s="2157"/>
      <c r="H59" s="2157"/>
      <c r="I59" s="2157"/>
      <c r="J59" s="2158"/>
    </row>
    <row r="60" spans="1:10" s="181" customFormat="1" x14ac:dyDescent="0.2">
      <c r="A60" s="253"/>
      <c r="B60" s="2156"/>
      <c r="C60" s="2157"/>
      <c r="D60" s="2157"/>
      <c r="E60" s="2157"/>
      <c r="F60" s="2157"/>
      <c r="G60" s="2157"/>
      <c r="H60" s="2157"/>
      <c r="I60" s="2157"/>
      <c r="J60" s="2158"/>
    </row>
    <row r="61" spans="1:10" s="181" customFormat="1" x14ac:dyDescent="0.2">
      <c r="A61" s="253"/>
      <c r="B61" s="2156"/>
      <c r="C61" s="2157"/>
      <c r="D61" s="2157"/>
      <c r="E61" s="2157"/>
      <c r="F61" s="2157"/>
      <c r="G61" s="2157"/>
      <c r="H61" s="2157"/>
      <c r="I61" s="2157"/>
      <c r="J61" s="2158"/>
    </row>
    <row r="62" spans="1:10" s="181" customFormat="1" x14ac:dyDescent="0.2">
      <c r="A62" s="253"/>
      <c r="B62" s="2156"/>
      <c r="C62" s="2157"/>
      <c r="D62" s="2157"/>
      <c r="E62" s="2157"/>
      <c r="F62" s="2157"/>
      <c r="G62" s="2157"/>
      <c r="H62" s="2157"/>
      <c r="I62" s="2157"/>
      <c r="J62" s="2158"/>
    </row>
    <row r="63" spans="1:10" s="181" customFormat="1" x14ac:dyDescent="0.2">
      <c r="A63" s="253"/>
      <c r="B63" s="2156"/>
      <c r="C63" s="2157"/>
      <c r="D63" s="2157"/>
      <c r="E63" s="2157"/>
      <c r="F63" s="2157"/>
      <c r="G63" s="2157"/>
      <c r="H63" s="2157"/>
      <c r="I63" s="2157"/>
      <c r="J63" s="2158"/>
    </row>
    <row r="64" spans="1:10" s="181" customFormat="1" x14ac:dyDescent="0.2">
      <c r="A64" s="253"/>
      <c r="B64" s="2156"/>
      <c r="C64" s="2157"/>
      <c r="D64" s="2157"/>
      <c r="E64" s="2157"/>
      <c r="F64" s="2157"/>
      <c r="G64" s="2157"/>
      <c r="H64" s="2157"/>
      <c r="I64" s="2157"/>
      <c r="J64" s="2158"/>
    </row>
    <row r="65" spans="1:10" s="181" customFormat="1" x14ac:dyDescent="0.2">
      <c r="A65" s="253"/>
      <c r="B65" s="2156"/>
      <c r="C65" s="2157"/>
      <c r="D65" s="2157"/>
      <c r="E65" s="2157"/>
      <c r="F65" s="2157"/>
      <c r="G65" s="2157"/>
      <c r="H65" s="2157"/>
      <c r="I65" s="2157"/>
      <c r="J65" s="2158"/>
    </row>
    <row r="66" spans="1:10" s="181" customFormat="1" x14ac:dyDescent="0.2">
      <c r="A66" s="253"/>
      <c r="B66" s="2156"/>
      <c r="C66" s="2157"/>
      <c r="D66" s="2157"/>
      <c r="E66" s="2157"/>
      <c r="F66" s="2157"/>
      <c r="G66" s="2157"/>
      <c r="H66" s="2157"/>
      <c r="I66" s="2157"/>
      <c r="J66" s="2158"/>
    </row>
    <row r="67" spans="1:10" s="181" customFormat="1" ht="9" customHeight="1" x14ac:dyDescent="0.2">
      <c r="A67" s="254"/>
      <c r="B67" s="2159"/>
      <c r="C67" s="2160"/>
      <c r="D67" s="2160"/>
      <c r="E67" s="2160"/>
      <c r="F67" s="2160"/>
      <c r="G67" s="2160"/>
      <c r="H67" s="2160"/>
      <c r="I67" s="2160"/>
      <c r="J67" s="216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6" t="s">
        <v>1323</v>
      </c>
      <c r="B70" s="2149"/>
      <c r="C70" s="2149"/>
      <c r="D70" s="2149"/>
      <c r="E70" s="2150"/>
      <c r="F70" s="2150"/>
      <c r="G70" s="2150"/>
      <c r="H70" s="2150"/>
      <c r="I70" s="215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1884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1" t="s">
        <v>1320</v>
      </c>
      <c r="B83" s="2151"/>
      <c r="C83" s="2151"/>
      <c r="D83" s="215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1907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1907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1908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3"/>
      <c r="C102" s="2134"/>
      <c r="D102" s="2134"/>
      <c r="E102" s="2134"/>
      <c r="F102" s="2134"/>
      <c r="G102" s="2134"/>
      <c r="H102" s="2134"/>
      <c r="I102" s="2135"/>
    </row>
    <row r="103" spans="1:9" s="181" customFormat="1" ht="11.25" customHeight="1" x14ac:dyDescent="0.2">
      <c r="A103" s="316"/>
      <c r="B103" s="2136"/>
      <c r="C103" s="2137"/>
      <c r="D103" s="2137"/>
      <c r="E103" s="2137"/>
      <c r="F103" s="2137"/>
      <c r="G103" s="2137"/>
      <c r="H103" s="2137"/>
      <c r="I103" s="2138"/>
    </row>
    <row r="104" spans="1:9" s="181" customFormat="1" ht="11.25" customHeight="1" x14ac:dyDescent="0.2">
      <c r="A104" s="316"/>
      <c r="B104" s="2136"/>
      <c r="C104" s="2137"/>
      <c r="D104" s="2137"/>
      <c r="E104" s="2137"/>
      <c r="F104" s="2137"/>
      <c r="G104" s="2137"/>
      <c r="H104" s="2137"/>
      <c r="I104" s="2138"/>
    </row>
    <row r="105" spans="1:9" s="181" customFormat="1" x14ac:dyDescent="0.2">
      <c r="A105" s="316"/>
      <c r="B105" s="2136"/>
      <c r="C105" s="2137"/>
      <c r="D105" s="2137"/>
      <c r="E105" s="2137"/>
      <c r="F105" s="2137"/>
      <c r="G105" s="2137"/>
      <c r="H105" s="2137"/>
      <c r="I105" s="2138"/>
    </row>
    <row r="106" spans="1:9" s="181" customFormat="1" ht="11.25" customHeight="1" x14ac:dyDescent="0.2">
      <c r="A106" s="316"/>
      <c r="B106" s="2136"/>
      <c r="C106" s="2137"/>
      <c r="D106" s="2137"/>
      <c r="E106" s="2137"/>
      <c r="F106" s="2137"/>
      <c r="G106" s="2137"/>
      <c r="H106" s="2137"/>
      <c r="I106" s="2138"/>
    </row>
    <row r="107" spans="1:9" s="181" customFormat="1" ht="11.25" customHeight="1" x14ac:dyDescent="0.2">
      <c r="A107" s="316"/>
      <c r="B107" s="2136"/>
      <c r="C107" s="2137"/>
      <c r="D107" s="2137"/>
      <c r="E107" s="2137"/>
      <c r="F107" s="2137"/>
      <c r="G107" s="2137"/>
      <c r="H107" s="2137"/>
      <c r="I107" s="2138"/>
    </row>
    <row r="108" spans="1:9" s="181" customFormat="1" ht="11.25" customHeight="1" x14ac:dyDescent="0.2">
      <c r="A108" s="316"/>
      <c r="B108" s="2136"/>
      <c r="C108" s="2137"/>
      <c r="D108" s="2137"/>
      <c r="E108" s="2137"/>
      <c r="F108" s="2137"/>
      <c r="G108" s="2137"/>
      <c r="H108" s="2137"/>
      <c r="I108" s="2138"/>
    </row>
    <row r="109" spans="1:9" s="181" customFormat="1" ht="11.25" customHeight="1" x14ac:dyDescent="0.2">
      <c r="A109" s="316"/>
      <c r="B109" s="2136"/>
      <c r="C109" s="2137"/>
      <c r="D109" s="2137"/>
      <c r="E109" s="2137"/>
      <c r="F109" s="2137"/>
      <c r="G109" s="2137"/>
      <c r="H109" s="2137"/>
      <c r="I109" s="2138"/>
    </row>
    <row r="110" spans="1:9" s="181" customFormat="1" ht="11.25" customHeight="1" x14ac:dyDescent="0.2">
      <c r="A110" s="316"/>
      <c r="B110" s="2136"/>
      <c r="C110" s="2137"/>
      <c r="D110" s="2137"/>
      <c r="E110" s="2137"/>
      <c r="F110" s="2137"/>
      <c r="G110" s="2137"/>
      <c r="H110" s="2137"/>
      <c r="I110" s="2138"/>
    </row>
    <row r="111" spans="1:9" s="181" customFormat="1" ht="11.25" customHeight="1" x14ac:dyDescent="0.2">
      <c r="A111" s="316"/>
      <c r="B111" s="2136"/>
      <c r="C111" s="2137"/>
      <c r="D111" s="2137"/>
      <c r="E111" s="2137"/>
      <c r="F111" s="2137"/>
      <c r="G111" s="2137"/>
      <c r="H111" s="2137"/>
      <c r="I111" s="2138"/>
    </row>
    <row r="112" spans="1:9" s="181" customFormat="1" ht="11.25" customHeight="1" x14ac:dyDescent="0.2">
      <c r="A112" s="316"/>
      <c r="B112" s="2139"/>
      <c r="C112" s="2140"/>
      <c r="D112" s="2140"/>
      <c r="E112" s="2140"/>
      <c r="F112" s="2140"/>
      <c r="G112" s="2140"/>
      <c r="H112" s="2140"/>
      <c r="I112" s="214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2" t="s">
        <v>2046</v>
      </c>
      <c r="D114" s="214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3" t="s">
        <v>1330</v>
      </c>
      <c r="D117" s="2144"/>
      <c r="E117" s="2145"/>
      <c r="F117" s="2145"/>
      <c r="G117" s="2145"/>
      <c r="H117" s="2145"/>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1885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48" sqref="H4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2" t="s">
        <v>386</v>
      </c>
      <c r="B1" s="2162"/>
      <c r="C1" s="2162"/>
      <c r="D1" s="2162"/>
      <c r="E1" s="2162"/>
      <c r="F1" s="2162"/>
      <c r="G1" s="2162"/>
      <c r="H1" s="2162"/>
      <c r="I1" s="2162"/>
      <c r="J1" s="2162"/>
      <c r="K1" s="2162"/>
      <c r="L1" s="2162"/>
      <c r="M1" s="216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235656843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1.5699999999999999E-2</v>
      </c>
      <c r="E10" s="356" t="s">
        <v>1005</v>
      </c>
      <c r="F10" s="355">
        <v>2.5000000000000001E-3</v>
      </c>
      <c r="G10" s="356" t="s">
        <v>1005</v>
      </c>
      <c r="H10" s="355">
        <v>1.1999999999999999E-3</v>
      </c>
      <c r="I10" s="356" t="s">
        <v>1006</v>
      </c>
      <c r="J10" s="1730">
        <f>ROUND(D10+F10+H10,5)</f>
        <v>1.9400000000000001E-2</v>
      </c>
      <c r="K10" s="222"/>
      <c r="L10" s="355">
        <v>5.0000000000000001E-4</v>
      </c>
      <c r="M10" s="222"/>
    </row>
    <row r="11" spans="1:14" ht="7.5" customHeight="1" x14ac:dyDescent="0.2">
      <c r="B11" s="222"/>
      <c r="C11" s="222"/>
      <c r="D11" s="2172" t="str">
        <f>IF(SUM(J10)&lt;=0.0999999,"","Enter the Tax Rates by moving the decimal two places to the left.")</f>
        <v/>
      </c>
      <c r="E11" s="2173"/>
      <c r="F11" s="2173"/>
      <c r="G11" s="2173"/>
      <c r="H11" s="2173"/>
      <c r="I11" s="2173"/>
      <c r="J11" s="217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10395327</v>
      </c>
      <c r="E16" s="356"/>
      <c r="F16" s="1731">
        <f>SUM('Acct Summary 7-8'!C17,'Acct Summary 7-8'!D17,'Acct Summary 7-8'!F17)</f>
        <v>10953242</v>
      </c>
      <c r="G16" s="356"/>
      <c r="H16" s="1731">
        <f>SUM(D16-F16)</f>
        <v>-557915</v>
      </c>
      <c r="I16" s="222"/>
      <c r="J16" s="1731">
        <f>SUM('Acct Summary 7-8'!C81,'Acct Summary 7-8'!D81,'Acct Summary 7-8'!F81,'Acct Summary 7-8'!I81)</f>
        <v>1888882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2044</v>
      </c>
      <c r="C31" s="367" t="s">
        <v>586</v>
      </c>
      <c r="D31" s="237" t="s">
        <v>1072</v>
      </c>
      <c r="E31" s="222"/>
      <c r="F31" s="222"/>
      <c r="G31" s="363"/>
      <c r="H31" s="1733">
        <f>IF(B31="X",(J7*0.069),IF(B32="X",(J7*0.138),"Enter x in a.or b."))</f>
        <v>16260322.167000001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205000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3"/>
      <c r="C54" s="2164"/>
      <c r="D54" s="2164"/>
      <c r="E54" s="2164"/>
      <c r="F54" s="2164"/>
      <c r="G54" s="2164"/>
      <c r="H54" s="2164"/>
      <c r="I54" s="2164"/>
      <c r="J54" s="2164"/>
      <c r="K54" s="2164"/>
      <c r="L54" s="2165"/>
      <c r="M54" s="380"/>
    </row>
    <row r="55" spans="1:13" ht="12.75" customHeight="1" x14ac:dyDescent="0.2">
      <c r="B55" s="2166"/>
      <c r="C55" s="2167"/>
      <c r="D55" s="2167"/>
      <c r="E55" s="2167"/>
      <c r="F55" s="2167"/>
      <c r="G55" s="2167"/>
      <c r="H55" s="2167"/>
      <c r="I55" s="2167"/>
      <c r="J55" s="2167"/>
      <c r="K55" s="2167"/>
      <c r="L55" s="2168"/>
      <c r="M55" s="380"/>
    </row>
    <row r="56" spans="1:13" ht="12.75" customHeight="1" x14ac:dyDescent="0.2">
      <c r="B56" s="2166"/>
      <c r="C56" s="2167"/>
      <c r="D56" s="2167"/>
      <c r="E56" s="2167"/>
      <c r="F56" s="2167"/>
      <c r="G56" s="2167"/>
      <c r="H56" s="2167"/>
      <c r="I56" s="2167"/>
      <c r="J56" s="2167"/>
      <c r="K56" s="2167"/>
      <c r="L56" s="2168"/>
      <c r="M56" s="222"/>
    </row>
    <row r="57" spans="1:13" ht="12.75" customHeight="1" x14ac:dyDescent="0.2">
      <c r="B57" s="2166"/>
      <c r="C57" s="2167"/>
      <c r="D57" s="2167"/>
      <c r="E57" s="2167"/>
      <c r="F57" s="2167"/>
      <c r="G57" s="2167"/>
      <c r="H57" s="2167"/>
      <c r="I57" s="2167"/>
      <c r="J57" s="2167"/>
      <c r="K57" s="2167"/>
      <c r="L57" s="2168"/>
      <c r="M57" s="222"/>
    </row>
    <row r="58" spans="1:13" x14ac:dyDescent="0.2">
      <c r="B58" s="2169"/>
      <c r="C58" s="2170"/>
      <c r="D58" s="2170"/>
      <c r="E58" s="2170"/>
      <c r="F58" s="2170"/>
      <c r="G58" s="2170"/>
      <c r="H58" s="2170"/>
      <c r="I58" s="2170"/>
      <c r="J58" s="2170"/>
      <c r="K58" s="2170"/>
      <c r="L58" s="217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4"/>
      <c r="D61" s="217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7"/>
      <c r="B1" s="2178"/>
      <c r="C1" s="2178"/>
      <c r="D1" s="384"/>
      <c r="E1" s="384"/>
      <c r="F1" s="384"/>
      <c r="G1" s="384"/>
      <c r="H1" s="384"/>
      <c r="I1" s="384"/>
      <c r="J1" s="384"/>
      <c r="K1" s="384"/>
      <c r="L1" s="384"/>
      <c r="M1" s="384"/>
      <c r="N1" s="384"/>
      <c r="O1" s="2177"/>
      <c r="P1" s="2178"/>
      <c r="Q1" s="2178"/>
    </row>
    <row r="2" spans="1:18" ht="15" x14ac:dyDescent="0.2">
      <c r="A2" s="2181" t="s">
        <v>556</v>
      </c>
      <c r="B2" s="2181"/>
      <c r="C2" s="2181"/>
      <c r="D2" s="2181"/>
      <c r="E2" s="2181"/>
      <c r="F2" s="2181"/>
      <c r="G2" s="2181"/>
      <c r="H2" s="2181"/>
      <c r="I2" s="2181"/>
      <c r="J2" s="2181"/>
      <c r="K2" s="2181"/>
      <c r="L2" s="2181"/>
      <c r="M2" s="2181"/>
      <c r="N2" s="2181"/>
      <c r="O2" s="2181"/>
      <c r="P2" s="2181"/>
      <c r="Q2" s="2181"/>
      <c r="R2" s="2181"/>
    </row>
    <row r="3" spans="1:18" ht="12.75" x14ac:dyDescent="0.2">
      <c r="A3" s="2182" t="s">
        <v>1413</v>
      </c>
      <c r="B3" s="2182"/>
      <c r="C3" s="2182"/>
      <c r="D3" s="2182"/>
      <c r="E3" s="2182"/>
      <c r="F3" s="2182"/>
      <c r="G3" s="2182"/>
      <c r="H3" s="2182"/>
      <c r="I3" s="2182"/>
      <c r="J3" s="2182"/>
      <c r="K3" s="2182"/>
      <c r="L3" s="2182"/>
      <c r="M3" s="2182"/>
      <c r="N3" s="2182"/>
      <c r="O3" s="2182"/>
      <c r="P3" s="2182"/>
      <c r="Q3" s="2182"/>
      <c r="R3" s="2182"/>
    </row>
    <row r="4" spans="1:18" x14ac:dyDescent="0.2">
      <c r="A4" s="2183" t="s">
        <v>1554</v>
      </c>
      <c r="B4" s="2183"/>
      <c r="C4" s="2183"/>
      <c r="D4" s="2183"/>
      <c r="E4" s="2183"/>
      <c r="F4" s="2183"/>
      <c r="G4" s="2183"/>
      <c r="H4" s="2183"/>
      <c r="I4" s="2183"/>
      <c r="J4" s="2183"/>
      <c r="K4" s="2183"/>
      <c r="L4" s="2183"/>
      <c r="M4" s="2183"/>
      <c r="N4" s="2183"/>
      <c r="O4" s="2183"/>
      <c r="P4" s="2183"/>
      <c r="Q4" s="2183"/>
      <c r="R4" s="218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Whiteside School District No. 115</v>
      </c>
      <c r="E7" s="391"/>
      <c r="G7" s="252"/>
      <c r="H7" s="387"/>
      <c r="I7" s="387"/>
      <c r="J7" s="387"/>
      <c r="K7" s="387"/>
      <c r="L7" s="329"/>
      <c r="M7" s="329"/>
      <c r="N7" s="329"/>
      <c r="O7" s="329"/>
      <c r="P7" s="329"/>
    </row>
    <row r="8" spans="1:18" ht="12.75" x14ac:dyDescent="0.2">
      <c r="A8" s="329"/>
      <c r="B8" s="329"/>
      <c r="C8" s="389" t="s">
        <v>1125</v>
      </c>
      <c r="D8" s="392" t="str">
        <f>COVER!A13</f>
        <v>50-082-1150-02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1888882</v>
      </c>
      <c r="I12" s="404"/>
      <c r="J12" s="404"/>
      <c r="K12" s="405">
        <f>TRUNC((H12/H13*100000),5)/100000</f>
        <v>0.18170491409999998</v>
      </c>
      <c r="L12" s="406"/>
      <c r="M12" s="360" t="s">
        <v>1144</v>
      </c>
      <c r="N12" s="360"/>
      <c r="O12" s="407">
        <v>0.35</v>
      </c>
      <c r="P12" s="218"/>
      <c r="Q12" s="218"/>
    </row>
    <row r="13" spans="1:18" s="408" customFormat="1" ht="12.75" x14ac:dyDescent="0.2">
      <c r="A13" s="218"/>
      <c r="B13" s="401"/>
      <c r="C13" s="2179" t="s">
        <v>1324</v>
      </c>
      <c r="D13" s="2180"/>
      <c r="E13" s="218"/>
      <c r="F13" s="409" t="s">
        <v>793</v>
      </c>
      <c r="G13" s="402"/>
      <c r="H13" s="403">
        <f>SUM('Acct Summary 7-8'!C8+'Acct Summary 7-8'!D8+'Acct Summary 7-8'!F8+'Acct Summary 7-8'!I8)+H14</f>
        <v>10395327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10953242</v>
      </c>
      <c r="I17" s="404"/>
      <c r="J17" s="416"/>
      <c r="K17" s="405">
        <f>TRUNC((H17/H18*100000),5)/100000</f>
        <v>1.0536697882999999</v>
      </c>
      <c r="L17" s="406"/>
      <c r="M17" s="417" t="s">
        <v>1171</v>
      </c>
      <c r="O17" s="418" t="str">
        <f>IF(AND(O16="2", J20 &gt; 2),"1",IF(AND(O16 = "1", J20 &gt; 2),"2",IF(AND(O16="1", J20 &gt;1),"1","0")))</f>
        <v>0</v>
      </c>
      <c r="P17" s="218"/>
    </row>
    <row r="18" spans="1:18" s="408" customFormat="1" ht="11.25" x14ac:dyDescent="0.2">
      <c r="A18" s="218"/>
      <c r="B18" s="401"/>
      <c r="C18" s="2179" t="s">
        <v>1317</v>
      </c>
      <c r="D18" s="2180"/>
      <c r="E18" s="218"/>
      <c r="F18" s="419" t="s">
        <v>794</v>
      </c>
      <c r="G18" s="402"/>
      <c r="H18" s="403">
        <f>SUM('Acct Summary 7-8'!C8+'Acct Summary 7-8'!D8+'Acct Summary 7-8'!F8+'Acct Summary 7-8'!I8)+H19</f>
        <v>10395327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1.5223632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76" t="s">
        <v>1412</v>
      </c>
      <c r="D24" s="2176"/>
      <c r="E24" s="218"/>
      <c r="F24" s="218" t="s">
        <v>445</v>
      </c>
      <c r="G24" s="402"/>
      <c r="H24" s="403">
        <f>SUM('Assets-Liab 5-6'!C4+'Assets-Liab 5-6'!D4+'Assets-Liab 5-6'!F4+'Assets-Liab 5-6'!I4+'Assets-Liab 5-6'!C5+'Assets-Liab 5-6'!D5+'Assets-Liab 5-6'!F5+'Assets-Liab 5-6'!I5)</f>
        <v>1888882</v>
      </c>
      <c r="I24" s="422"/>
      <c r="J24" s="422"/>
      <c r="K24" s="423">
        <f>TRUNC(((H24/H25*100000)/100000),2)</f>
        <v>62.08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30425.67222</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1910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3885981.3410700001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205000</v>
      </c>
      <c r="I32" s="420"/>
      <c r="J32" s="420"/>
      <c r="K32" s="423">
        <f>TRUNC(100-((((H32/H33*100))*100)/100),2)</f>
        <v>98.73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16260322.167000001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3.0999999999999996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6" activePane="bottomLeft" state="frozen"/>
      <selection pane="bottomLeft" activeCell="E47" sqref="E4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8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6" t="s">
        <v>973</v>
      </c>
      <c r="B3" s="2187"/>
      <c r="C3" s="1557"/>
      <c r="D3" s="1558"/>
      <c r="E3" s="1558"/>
      <c r="F3" s="1558"/>
      <c r="G3" s="1558"/>
      <c r="H3" s="1558"/>
      <c r="I3" s="1558"/>
      <c r="J3" s="1558"/>
      <c r="K3" s="1558"/>
      <c r="L3" s="1558"/>
      <c r="M3" s="1559"/>
      <c r="N3" s="1560"/>
    </row>
    <row r="4" spans="1:14" ht="13.5" customHeight="1" x14ac:dyDescent="0.2">
      <c r="A4" s="463" t="s">
        <v>1651</v>
      </c>
      <c r="B4" s="464"/>
      <c r="C4" s="465">
        <v>200</v>
      </c>
      <c r="D4" s="466"/>
      <c r="E4" s="466"/>
      <c r="F4" s="466"/>
      <c r="G4" s="466"/>
      <c r="H4" s="466"/>
      <c r="I4" s="466"/>
      <c r="J4" s="467"/>
      <c r="K4" s="466"/>
      <c r="L4" s="466"/>
      <c r="M4" s="468"/>
      <c r="N4" s="469"/>
    </row>
    <row r="5" spans="1:14" x14ac:dyDescent="0.2">
      <c r="A5" s="463" t="s">
        <v>992</v>
      </c>
      <c r="B5" s="470">
        <v>120</v>
      </c>
      <c r="C5" s="465">
        <f>263979+10024</f>
        <v>274003</v>
      </c>
      <c r="D5" s="466">
        <v>137640</v>
      </c>
      <c r="E5" s="466">
        <v>356496</v>
      </c>
      <c r="F5" s="466">
        <f>15000-12094</f>
        <v>2906</v>
      </c>
      <c r="G5" s="466">
        <f>193128-66905</f>
        <v>126223</v>
      </c>
      <c r="H5" s="466"/>
      <c r="I5" s="466">
        <f>1489133-15000</f>
        <v>1474133</v>
      </c>
      <c r="J5" s="467">
        <v>214350</v>
      </c>
      <c r="K5" s="471">
        <v>399625</v>
      </c>
      <c r="L5" s="472">
        <v>21447</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f>50178+63562+15000</f>
        <v>128740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274203</v>
      </c>
      <c r="D13" s="1735">
        <f t="shared" ref="D13:L13" si="0">SUM(D4:D12)</f>
        <v>137640</v>
      </c>
      <c r="E13" s="1735">
        <f t="shared" si="0"/>
        <v>356496</v>
      </c>
      <c r="F13" s="1735">
        <f t="shared" si="0"/>
        <v>2906</v>
      </c>
      <c r="G13" s="1735">
        <f t="shared" si="0"/>
        <v>126223</v>
      </c>
      <c r="H13" s="1735">
        <f t="shared" si="0"/>
        <v>0</v>
      </c>
      <c r="I13" s="1735">
        <f t="shared" si="0"/>
        <v>1602873</v>
      </c>
      <c r="J13" s="1735">
        <f t="shared" si="0"/>
        <v>214350</v>
      </c>
      <c r="K13" s="1735">
        <f t="shared" si="0"/>
        <v>399625</v>
      </c>
      <c r="L13" s="1735">
        <f t="shared" si="0"/>
        <v>21447</v>
      </c>
      <c r="M13" s="468"/>
      <c r="N13" s="469"/>
    </row>
    <row r="14" spans="1:14" ht="18" customHeight="1" thickTop="1" x14ac:dyDescent="0.2">
      <c r="A14" s="2188" t="s">
        <v>147</v>
      </c>
      <c r="B14" s="2189"/>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631291</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15236228</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1858835</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f>
        <v>1558608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205000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4" t="s">
        <v>643</v>
      </c>
      <c r="B23" s="1739"/>
      <c r="C23" s="468"/>
      <c r="D23" s="468"/>
      <c r="E23" s="468"/>
      <c r="F23" s="468"/>
      <c r="G23" s="468"/>
      <c r="H23" s="468"/>
      <c r="I23" s="468"/>
      <c r="J23" s="468"/>
      <c r="K23" s="468"/>
      <c r="L23" s="468"/>
      <c r="M23" s="1686">
        <f>SUM(M15:M22)</f>
        <v>19284962</v>
      </c>
      <c r="N23" s="1686">
        <f>SUM(N21:N22)</f>
        <v>205000</v>
      </c>
    </row>
    <row r="24" spans="1:14" ht="18" customHeight="1" thickTop="1" x14ac:dyDescent="0.2">
      <c r="A24" s="2190" t="s">
        <v>598</v>
      </c>
      <c r="B24" s="2191"/>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v>63562</v>
      </c>
      <c r="E27" s="467"/>
      <c r="F27" s="467">
        <f>50178+15000</f>
        <v>65178</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v>69</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21447</v>
      </c>
      <c r="M33" s="468"/>
      <c r="N33" s="469"/>
    </row>
    <row r="34" spans="1:14" ht="13.5" customHeight="1" thickBot="1" x14ac:dyDescent="0.25">
      <c r="A34" s="1736" t="s">
        <v>654</v>
      </c>
      <c r="B34" s="1737"/>
      <c r="C34" s="1738">
        <f>SUM(C25:C33)</f>
        <v>0</v>
      </c>
      <c r="D34" s="1738">
        <f t="shared" ref="D34:K34" si="1">SUM(D25:D33)</f>
        <v>63562</v>
      </c>
      <c r="E34" s="1738">
        <f t="shared" si="1"/>
        <v>0</v>
      </c>
      <c r="F34" s="1738">
        <f t="shared" si="1"/>
        <v>65178</v>
      </c>
      <c r="G34" s="1738">
        <f t="shared" si="1"/>
        <v>69</v>
      </c>
      <c r="H34" s="1738">
        <f t="shared" si="1"/>
        <v>0</v>
      </c>
      <c r="I34" s="1738">
        <f t="shared" si="1"/>
        <v>0</v>
      </c>
      <c r="J34" s="1738">
        <f t="shared" si="1"/>
        <v>0</v>
      </c>
      <c r="K34" s="1738">
        <f t="shared" si="1"/>
        <v>0</v>
      </c>
      <c r="L34" s="1719">
        <f>SUM(L33)</f>
        <v>21447</v>
      </c>
      <c r="M34" s="468"/>
      <c r="N34" s="480"/>
    </row>
    <row r="35" spans="1:14" ht="18" customHeight="1" thickTop="1" x14ac:dyDescent="0.2">
      <c r="A35" s="2192" t="s">
        <v>529</v>
      </c>
      <c r="B35" s="2193"/>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205000</v>
      </c>
    </row>
    <row r="37" spans="1:14" ht="13.5" thickBot="1" x14ac:dyDescent="0.25">
      <c r="A37" s="1734" t="s">
        <v>653</v>
      </c>
      <c r="B37" s="1739"/>
      <c r="C37" s="477"/>
      <c r="D37" s="477"/>
      <c r="E37" s="477"/>
      <c r="F37" s="477"/>
      <c r="G37" s="477"/>
      <c r="H37" s="477"/>
      <c r="I37" s="477"/>
      <c r="J37" s="477"/>
      <c r="K37" s="477"/>
      <c r="L37" s="480"/>
      <c r="M37" s="468"/>
      <c r="N37" s="1686">
        <f>SUM(N36:N36)</f>
        <v>205000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274203</v>
      </c>
      <c r="D39" s="466">
        <f>+D13-D34</f>
        <v>74078</v>
      </c>
      <c r="E39" s="466">
        <v>356496</v>
      </c>
      <c r="F39" s="466">
        <f>+F13-F34</f>
        <v>-62272</v>
      </c>
      <c r="G39" s="466">
        <f>126223-69</f>
        <v>126154</v>
      </c>
      <c r="H39" s="466"/>
      <c r="I39" s="466">
        <v>1602873</v>
      </c>
      <c r="J39" s="467">
        <v>214350</v>
      </c>
      <c r="K39" s="466">
        <v>399625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19284962</v>
      </c>
      <c r="N40" s="497"/>
    </row>
    <row r="41" spans="1:14" ht="13.5" customHeight="1" thickBot="1" x14ac:dyDescent="0.25">
      <c r="A41" s="1734" t="s">
        <v>655</v>
      </c>
      <c r="B41" s="1704"/>
      <c r="C41" s="1686">
        <f>(SUM(C34,C37,C38,C39))</f>
        <v>274203</v>
      </c>
      <c r="D41" s="1686">
        <f t="shared" ref="D41:L41" si="2">SUM(D34,D37,D38:D39)</f>
        <v>137640</v>
      </c>
      <c r="E41" s="1686">
        <f t="shared" si="2"/>
        <v>356496</v>
      </c>
      <c r="F41" s="1686">
        <f t="shared" si="2"/>
        <v>2906</v>
      </c>
      <c r="G41" s="1686">
        <f t="shared" si="2"/>
        <v>126223</v>
      </c>
      <c r="H41" s="1686">
        <f t="shared" si="2"/>
        <v>0</v>
      </c>
      <c r="I41" s="1686">
        <f t="shared" si="2"/>
        <v>1602873</v>
      </c>
      <c r="J41" s="1686">
        <f t="shared" si="2"/>
        <v>214350</v>
      </c>
      <c r="K41" s="1686">
        <f t="shared" si="2"/>
        <v>399625</v>
      </c>
      <c r="L41" s="1686">
        <f t="shared" si="2"/>
        <v>21447</v>
      </c>
      <c r="M41" s="1686">
        <f>SUM(M40)</f>
        <v>19284962</v>
      </c>
      <c r="N41" s="1686">
        <f>SUM(N37)</f>
        <v>205000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0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20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214" t="s">
        <v>1175</v>
      </c>
      <c r="B3" s="2215"/>
      <c r="C3" s="1571"/>
      <c r="D3" s="1572"/>
      <c r="E3" s="1572"/>
      <c r="F3" s="1572"/>
      <c r="G3" s="1572"/>
      <c r="H3" s="1572"/>
      <c r="I3" s="1572"/>
      <c r="J3" s="1572"/>
      <c r="K3" s="1573"/>
      <c r="L3" s="506"/>
    </row>
    <row r="4" spans="1:13" ht="15.75" customHeight="1" x14ac:dyDescent="0.2">
      <c r="A4" s="1926" t="s">
        <v>1499</v>
      </c>
      <c r="B4" s="1927">
        <v>1000</v>
      </c>
      <c r="C4" s="1740">
        <f>'Revenues 9-14'!C109</f>
        <v>4308330</v>
      </c>
      <c r="D4" s="1740">
        <f>'Revenues 9-14'!D109</f>
        <v>601906</v>
      </c>
      <c r="E4" s="1740">
        <f>'Revenues 9-14'!E109</f>
        <v>617701</v>
      </c>
      <c r="F4" s="1740">
        <f>'Revenues 9-14'!F109</f>
        <v>277596</v>
      </c>
      <c r="G4" s="1740">
        <f>'Revenues 9-14'!G109</f>
        <v>323898</v>
      </c>
      <c r="H4" s="1740">
        <f>'Revenues 9-14'!H109</f>
        <v>0</v>
      </c>
      <c r="I4" s="1740">
        <f>'Revenues 9-14'!I109</f>
        <v>118029</v>
      </c>
      <c r="J4" s="1740">
        <f>'Revenues 9-14'!J109</f>
        <v>508515</v>
      </c>
      <c r="K4" s="1740">
        <f>'Revenues 9-14'!K109</f>
        <v>110955</v>
      </c>
      <c r="L4" s="347"/>
    </row>
    <row r="5" spans="1:13" ht="15.75" customHeight="1" x14ac:dyDescent="0.2">
      <c r="A5" s="1574" t="s">
        <v>1500</v>
      </c>
      <c r="B5" s="1575">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4" t="s">
        <v>1501</v>
      </c>
      <c r="B6" s="1576">
        <v>3000</v>
      </c>
      <c r="C6" s="1741">
        <f>'Revenues 9-14'!C170</f>
        <v>3550826</v>
      </c>
      <c r="D6" s="1741">
        <f>'Revenues 9-14'!D170</f>
        <v>0</v>
      </c>
      <c r="E6" s="1741">
        <f>'Revenues 9-14'!E170</f>
        <v>0</v>
      </c>
      <c r="F6" s="1741">
        <f>'Revenues 9-14'!F170</f>
        <v>377067</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1502</v>
      </c>
      <c r="B7" s="1576">
        <v>4000</v>
      </c>
      <c r="C7" s="1741">
        <f>'Revenues 9-14'!C267</f>
        <v>1161573</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9020729</v>
      </c>
      <c r="D8" s="1686">
        <f t="shared" ref="D8:K8" si="0">SUM(D4:D7)</f>
        <v>601906</v>
      </c>
      <c r="E8" s="1686">
        <f t="shared" si="0"/>
        <v>617701</v>
      </c>
      <c r="F8" s="1686">
        <f t="shared" si="0"/>
        <v>654663</v>
      </c>
      <c r="G8" s="1686">
        <f t="shared" si="0"/>
        <v>323898</v>
      </c>
      <c r="H8" s="1686">
        <f t="shared" si="0"/>
        <v>0</v>
      </c>
      <c r="I8" s="1686">
        <f t="shared" si="0"/>
        <v>118029</v>
      </c>
      <c r="J8" s="1686">
        <f t="shared" si="0"/>
        <v>508515</v>
      </c>
      <c r="K8" s="1686">
        <f t="shared" si="0"/>
        <v>110955</v>
      </c>
      <c r="L8" s="347"/>
    </row>
    <row r="9" spans="1:13" ht="15.75" thickTop="1" x14ac:dyDescent="0.2">
      <c r="A9" s="514" t="s">
        <v>1653</v>
      </c>
      <c r="B9" s="515">
        <v>3998</v>
      </c>
      <c r="C9" s="481">
        <v>5498146</v>
      </c>
      <c r="D9" s="516"/>
      <c r="E9" s="481"/>
      <c r="F9" s="481"/>
      <c r="G9" s="517"/>
      <c r="H9" s="481"/>
      <c r="I9" s="509" t="s">
        <v>1169</v>
      </c>
      <c r="J9" s="478"/>
      <c r="K9" s="481"/>
      <c r="L9" s="347"/>
    </row>
    <row r="10" spans="1:13" s="519" customFormat="1" ht="13.5" thickBot="1" x14ac:dyDescent="0.25">
      <c r="A10" s="1734" t="s">
        <v>1173</v>
      </c>
      <c r="B10" s="1707"/>
      <c r="C10" s="1686">
        <f>SUM(C8:C9)</f>
        <v>14518875</v>
      </c>
      <c r="D10" s="1686">
        <f t="shared" ref="D10:K10" si="1">SUM(D8:D9)</f>
        <v>601906</v>
      </c>
      <c r="E10" s="1686">
        <f t="shared" si="1"/>
        <v>617701</v>
      </c>
      <c r="F10" s="1686">
        <f t="shared" si="1"/>
        <v>654663</v>
      </c>
      <c r="G10" s="1686">
        <f t="shared" si="1"/>
        <v>323898</v>
      </c>
      <c r="H10" s="1686">
        <f t="shared" si="1"/>
        <v>0</v>
      </c>
      <c r="I10" s="1686">
        <f t="shared" si="1"/>
        <v>118029</v>
      </c>
      <c r="J10" s="1686">
        <f t="shared" si="1"/>
        <v>508515</v>
      </c>
      <c r="K10" s="1686">
        <f t="shared" si="1"/>
        <v>110955</v>
      </c>
      <c r="L10" s="518"/>
    </row>
    <row r="11" spans="1:13" s="519" customFormat="1" ht="16.7" customHeight="1" thickTop="1" x14ac:dyDescent="0.2">
      <c r="A11" s="2188" t="s">
        <v>1176</v>
      </c>
      <c r="B11" s="2189"/>
      <c r="C11" s="1568"/>
      <c r="D11" s="1569"/>
      <c r="E11" s="1569"/>
      <c r="F11" s="1569"/>
      <c r="G11" s="1569"/>
      <c r="H11" s="1569"/>
      <c r="I11" s="1569"/>
      <c r="J11" s="1569"/>
      <c r="K11" s="1570"/>
      <c r="L11" s="518"/>
    </row>
    <row r="12" spans="1:13" ht="15.75" customHeight="1" x14ac:dyDescent="0.2">
      <c r="A12" s="1574" t="s">
        <v>456</v>
      </c>
      <c r="B12" s="1576">
        <v>1000</v>
      </c>
      <c r="C12" s="1740">
        <f>'Expenditures 15-22'!K33</f>
        <v>6618479</v>
      </c>
      <c r="D12" s="520" t="s">
        <v>1169</v>
      </c>
      <c r="E12" s="468" t="s">
        <v>1169</v>
      </c>
      <c r="F12" s="468" t="s">
        <v>1169</v>
      </c>
      <c r="G12" s="1740">
        <f>'Expenditures 15-22'!K229</f>
        <v>177191</v>
      </c>
      <c r="H12" s="521"/>
      <c r="I12" s="468" t="s">
        <v>1169</v>
      </c>
      <c r="J12" s="468" t="s">
        <v>1169</v>
      </c>
      <c r="K12" s="521" t="s">
        <v>1169</v>
      </c>
      <c r="L12" s="347"/>
    </row>
    <row r="13" spans="1:13" ht="15.75" customHeight="1" x14ac:dyDescent="0.2">
      <c r="A13" s="1574" t="s">
        <v>457</v>
      </c>
      <c r="B13" s="1576">
        <v>2000</v>
      </c>
      <c r="C13" s="1741">
        <f>'Expenditures 15-22'!K74</f>
        <v>2402510</v>
      </c>
      <c r="D13" s="1741">
        <f>'Expenditures 15-22'!K129</f>
        <v>642513</v>
      </c>
      <c r="E13" s="469" t="s">
        <v>1169</v>
      </c>
      <c r="F13" s="1741">
        <f>'Expenditures 15-22'!K184</f>
        <v>8695</v>
      </c>
      <c r="G13" s="1741">
        <f>'Expenditures 15-22'!K279</f>
        <v>193624</v>
      </c>
      <c r="H13" s="1741">
        <f>'Expenditures 15-22'!K303</f>
        <v>0</v>
      </c>
      <c r="I13" s="468" t="s">
        <v>1169</v>
      </c>
      <c r="J13" s="1741">
        <f>'Expenditures 15-22'!K330</f>
        <v>869028</v>
      </c>
      <c r="K13" s="1745">
        <f>'Expenditures 15-22'!K352</f>
        <v>187029</v>
      </c>
      <c r="L13" s="347"/>
    </row>
    <row r="14" spans="1:13" ht="15.75" customHeight="1" x14ac:dyDescent="0.2">
      <c r="A14" s="1574" t="s">
        <v>449</v>
      </c>
      <c r="B14" s="1576">
        <v>3000</v>
      </c>
      <c r="C14" s="1741">
        <f>'Expenditures 15-22'!K75</f>
        <v>161674</v>
      </c>
      <c r="D14" s="1741">
        <f>'Expenditures 15-22'!K130</f>
        <v>0</v>
      </c>
      <c r="E14" s="520" t="s">
        <v>1169</v>
      </c>
      <c r="F14" s="1741">
        <f>'Expenditures 15-22'!K185</f>
        <v>0</v>
      </c>
      <c r="G14" s="1741">
        <f>'Expenditures 15-22'!K280</f>
        <v>14654</v>
      </c>
      <c r="H14" s="512"/>
      <c r="I14" s="468" t="s">
        <v>1169</v>
      </c>
      <c r="J14" s="468" t="s">
        <v>1169</v>
      </c>
      <c r="K14" s="512" t="s">
        <v>1169</v>
      </c>
      <c r="L14" s="347"/>
    </row>
    <row r="15" spans="1:13" ht="15.75" customHeight="1" x14ac:dyDescent="0.2">
      <c r="A15" s="1574" t="s">
        <v>107</v>
      </c>
      <c r="B15" s="1576">
        <v>4000</v>
      </c>
      <c r="C15" s="1741">
        <f>'Expenditures 15-22'!K102</f>
        <v>380182</v>
      </c>
      <c r="D15" s="1741">
        <f>'Expenditures 15-22'!K139</f>
        <v>0</v>
      </c>
      <c r="E15" s="1741">
        <f>'Expenditures 15-22'!K160</f>
        <v>0</v>
      </c>
      <c r="F15" s="1741">
        <f>'Expenditures 15-22'!K196</f>
        <v>739189</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4" t="s">
        <v>450</v>
      </c>
      <c r="B16" s="1576">
        <v>5000</v>
      </c>
      <c r="C16" s="1741">
        <f>'Expenditures 15-22'!K112</f>
        <v>0</v>
      </c>
      <c r="D16" s="1741">
        <f>'Expenditures 15-22'!K149</f>
        <v>0</v>
      </c>
      <c r="E16" s="1741">
        <f>'Expenditures 15-22'!K172</f>
        <v>793280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9562845</v>
      </c>
      <c r="D17" s="1686">
        <f t="shared" si="2"/>
        <v>642513</v>
      </c>
      <c r="E17" s="1686">
        <f t="shared" si="2"/>
        <v>793280</v>
      </c>
      <c r="F17" s="1686">
        <f t="shared" si="2"/>
        <v>747884</v>
      </c>
      <c r="G17" s="1686">
        <f t="shared" si="2"/>
        <v>385469</v>
      </c>
      <c r="H17" s="1686">
        <f t="shared" si="2"/>
        <v>0</v>
      </c>
      <c r="I17" s="468"/>
      <c r="J17" s="1686">
        <f>SUM(J12:J16)</f>
        <v>869028</v>
      </c>
      <c r="K17" s="1686">
        <f>SUM(K12:K16)</f>
        <v>187029</v>
      </c>
      <c r="L17" s="347"/>
    </row>
    <row r="18" spans="1:12" ht="15" customHeight="1" thickTop="1" x14ac:dyDescent="0.2">
      <c r="A18" s="1742" t="s">
        <v>1654</v>
      </c>
      <c r="B18" s="1743">
        <v>4180</v>
      </c>
      <c r="C18" s="1740">
        <f t="shared" ref="C18:H18" si="3">C9</f>
        <v>5498146</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15060991</v>
      </c>
      <c r="D19" s="1686">
        <f t="shared" si="4"/>
        <v>642513</v>
      </c>
      <c r="E19" s="1686">
        <f t="shared" si="4"/>
        <v>793280</v>
      </c>
      <c r="F19" s="1686">
        <f t="shared" si="4"/>
        <v>747884</v>
      </c>
      <c r="G19" s="1686">
        <f t="shared" si="4"/>
        <v>385469</v>
      </c>
      <c r="H19" s="1686">
        <f t="shared" si="4"/>
        <v>0</v>
      </c>
      <c r="I19" s="468"/>
      <c r="J19" s="1686">
        <f>SUM(J17:J18)</f>
        <v>869028</v>
      </c>
      <c r="K19" s="1686">
        <f>SUM(K17:K18)</f>
        <v>187029</v>
      </c>
      <c r="L19" s="347"/>
    </row>
    <row r="20" spans="1:12" ht="16.5" thickTop="1" thickBot="1" x14ac:dyDescent="0.25">
      <c r="A20" s="2204" t="s">
        <v>1655</v>
      </c>
      <c r="B20" s="2205"/>
      <c r="C20" s="1744">
        <f>C8-C17</f>
        <v>-542116</v>
      </c>
      <c r="D20" s="1744">
        <f t="shared" ref="D20:K20" si="5">D8-D17</f>
        <v>-40607</v>
      </c>
      <c r="E20" s="1744">
        <f t="shared" si="5"/>
        <v>-175579</v>
      </c>
      <c r="F20" s="1744">
        <f t="shared" si="5"/>
        <v>-93221</v>
      </c>
      <c r="G20" s="1744">
        <f t="shared" si="5"/>
        <v>-61571</v>
      </c>
      <c r="H20" s="1744">
        <f t="shared" si="5"/>
        <v>0</v>
      </c>
      <c r="I20" s="1744">
        <f t="shared" si="5"/>
        <v>118029</v>
      </c>
      <c r="J20" s="1744">
        <f t="shared" si="5"/>
        <v>-360513</v>
      </c>
      <c r="K20" s="1744">
        <f t="shared" si="5"/>
        <v>-76074</v>
      </c>
      <c r="L20" s="347"/>
    </row>
    <row r="21" spans="1:12" ht="16.7" customHeight="1" thickTop="1" x14ac:dyDescent="0.2">
      <c r="A21" s="2216" t="s">
        <v>595</v>
      </c>
      <c r="B21" s="2217"/>
      <c r="C21" s="1568"/>
      <c r="D21" s="1569"/>
      <c r="E21" s="1569"/>
      <c r="F21" s="1569"/>
      <c r="G21" s="1569"/>
      <c r="H21" s="1569"/>
      <c r="I21" s="1569"/>
      <c r="J21" s="1569"/>
      <c r="K21" s="1570"/>
      <c r="L21" s="524"/>
    </row>
    <row r="22" spans="1:12" ht="15.75" customHeight="1" collapsed="1" x14ac:dyDescent="0.2">
      <c r="A22" s="2212" t="s">
        <v>596</v>
      </c>
      <c r="B22" s="2213"/>
      <c r="C22" s="477"/>
      <c r="D22" s="477"/>
      <c r="E22" s="477"/>
      <c r="F22" s="477"/>
      <c r="G22" s="477"/>
      <c r="H22" s="477"/>
      <c r="I22" s="477"/>
      <c r="J22" s="477"/>
      <c r="K22" s="477"/>
      <c r="L22" s="347"/>
    </row>
    <row r="23" spans="1:12" s="485" customFormat="1" ht="15.75" customHeight="1" x14ac:dyDescent="0.2">
      <c r="A23" s="2208" t="s">
        <v>293</v>
      </c>
      <c r="B23" s="2209"/>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v>108000</v>
      </c>
      <c r="D25" s="467">
        <v>21000</v>
      </c>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1774</v>
      </c>
      <c r="B30" s="527">
        <v>7160</v>
      </c>
      <c r="C30" s="477"/>
      <c r="D30" s="467"/>
      <c r="E30" s="477"/>
      <c r="F30" s="477"/>
      <c r="G30" s="477"/>
      <c r="H30" s="477"/>
      <c r="I30" s="477"/>
      <c r="J30" s="477"/>
      <c r="K30" s="477"/>
      <c r="L30" s="524"/>
    </row>
    <row r="31" spans="1:12" s="485" customFormat="1" ht="26.25" x14ac:dyDescent="0.2">
      <c r="A31" s="1487" t="s">
        <v>1778</v>
      </c>
      <c r="B31" s="527">
        <v>7170</v>
      </c>
      <c r="C31" s="477"/>
      <c r="D31" s="477"/>
      <c r="E31" s="474"/>
      <c r="F31" s="477"/>
      <c r="G31" s="477"/>
      <c r="H31" s="477"/>
      <c r="I31" s="477"/>
      <c r="J31" s="477"/>
      <c r="K31" s="477"/>
      <c r="L31" s="524"/>
    </row>
    <row r="32" spans="1:12" s="485" customFormat="1" ht="15.75" customHeight="1" x14ac:dyDescent="0.2">
      <c r="A32" s="2210" t="s">
        <v>981</v>
      </c>
      <c r="B32" s="2211"/>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1">
        <f>SUM(C54:D57,H54:H57)</f>
        <v>0</v>
      </c>
      <c r="F37" s="475"/>
      <c r="G37" s="475"/>
      <c r="H37" s="475"/>
      <c r="I37" s="477"/>
      <c r="J37" s="475"/>
      <c r="K37" s="475"/>
      <c r="L37" s="524"/>
    </row>
    <row r="38" spans="1:12" s="485" customFormat="1" x14ac:dyDescent="0.2">
      <c r="A38" s="1487" t="s">
        <v>442</v>
      </c>
      <c r="B38" s="525">
        <v>7500</v>
      </c>
      <c r="C38" s="477"/>
      <c r="D38" s="477"/>
      <c r="E38" s="1741">
        <f>SUM(C58:D61,H58:H61)</f>
        <v>0</v>
      </c>
      <c r="F38" s="477"/>
      <c r="G38" s="477"/>
      <c r="H38" s="477"/>
      <c r="I38" s="477"/>
      <c r="J38" s="477"/>
      <c r="K38" s="477"/>
      <c r="L38" s="524"/>
    </row>
    <row r="39" spans="1:12" s="485" customFormat="1" x14ac:dyDescent="0.2">
      <c r="A39" s="1487" t="s">
        <v>443</v>
      </c>
      <c r="B39" s="525">
        <v>7600</v>
      </c>
      <c r="C39" s="477"/>
      <c r="D39" s="477"/>
      <c r="E39" s="1741">
        <f>SUM(C62:D65)</f>
        <v>0</v>
      </c>
      <c r="F39" s="477"/>
      <c r="G39" s="477"/>
      <c r="H39" s="477"/>
      <c r="I39" s="477"/>
      <c r="J39" s="477"/>
      <c r="K39" s="477"/>
      <c r="L39" s="524"/>
    </row>
    <row r="40" spans="1:12" s="485" customFormat="1" ht="13.5" customHeight="1" x14ac:dyDescent="0.2">
      <c r="A40" s="1487" t="s">
        <v>642</v>
      </c>
      <c r="B40" s="483">
        <v>7700</v>
      </c>
      <c r="C40" s="477"/>
      <c r="D40" s="477"/>
      <c r="E40" s="1741">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1">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218" t="s">
        <v>374</v>
      </c>
      <c r="B44" s="2219"/>
      <c r="C44" s="1701">
        <f>SUM(C24:C43)</f>
        <v>108000</v>
      </c>
      <c r="D44" s="1701">
        <f t="shared" ref="D44:K44" si="6">SUM(D24:D43)</f>
        <v>21000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212" t="s">
        <v>108</v>
      </c>
      <c r="B45" s="2213"/>
      <c r="C45" s="528"/>
      <c r="D45" s="528"/>
      <c r="E45" s="528"/>
      <c r="F45" s="528"/>
      <c r="G45" s="528"/>
      <c r="H45" s="528"/>
      <c r="I45" s="528"/>
      <c r="J45" s="528"/>
      <c r="K45" s="528"/>
      <c r="L45" s="347"/>
    </row>
    <row r="46" spans="1:12" s="485" customFormat="1" ht="15.75" customHeight="1" x14ac:dyDescent="0.2">
      <c r="A46" s="2220" t="s">
        <v>109</v>
      </c>
      <c r="B46" s="2221"/>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1">
        <f>SUM(C24,C25:H25,J25:K25)</f>
        <v>129000</v>
      </c>
      <c r="J47" s="477"/>
      <c r="K47" s="477"/>
      <c r="L47" s="529"/>
    </row>
    <row r="48" spans="1:12" s="485" customFormat="1" ht="15" x14ac:dyDescent="0.2">
      <c r="A48" s="1488" t="s">
        <v>1660</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41">
        <f>SUM(D29)</f>
        <v>0</v>
      </c>
      <c r="I51" s="477"/>
      <c r="J51" s="475"/>
      <c r="K51" s="480"/>
      <c r="L51" s="524"/>
    </row>
    <row r="52" spans="1:12" s="485" customFormat="1" ht="26.25" x14ac:dyDescent="0.2">
      <c r="A52" s="1488" t="s">
        <v>1777</v>
      </c>
      <c r="B52" s="483">
        <v>8160</v>
      </c>
      <c r="C52" s="477"/>
      <c r="D52" s="477"/>
      <c r="E52" s="477"/>
      <c r="F52" s="477"/>
      <c r="G52" s="477"/>
      <c r="H52" s="477"/>
      <c r="I52" s="477"/>
      <c r="J52" s="477"/>
      <c r="K52" s="1741">
        <f>D30</f>
        <v>0</v>
      </c>
      <c r="L52" s="524"/>
    </row>
    <row r="53" spans="1:12" s="485" customFormat="1" ht="26.25" x14ac:dyDescent="0.2">
      <c r="A53" s="1488" t="s">
        <v>1776</v>
      </c>
      <c r="B53" s="483">
        <v>8170</v>
      </c>
      <c r="C53" s="480"/>
      <c r="D53" s="480"/>
      <c r="E53" s="477"/>
      <c r="F53" s="477"/>
      <c r="G53" s="477"/>
      <c r="H53" s="480"/>
      <c r="I53" s="477"/>
      <c r="J53" s="477"/>
      <c r="K53" s="1741">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94" t="s">
        <v>440</v>
      </c>
      <c r="B76" s="2195"/>
      <c r="C76" s="1701">
        <f t="shared" ref="C76:K76" si="7">SUM(C47:C75)</f>
        <v>0</v>
      </c>
      <c r="D76" s="1701">
        <f t="shared" si="7"/>
        <v>0</v>
      </c>
      <c r="E76" s="1701">
        <f t="shared" si="7"/>
        <v>0</v>
      </c>
      <c r="F76" s="1701">
        <f t="shared" si="7"/>
        <v>0</v>
      </c>
      <c r="G76" s="1701">
        <f t="shared" si="7"/>
        <v>0</v>
      </c>
      <c r="H76" s="1701">
        <f t="shared" si="7"/>
        <v>0</v>
      </c>
      <c r="I76" s="1701">
        <f t="shared" si="7"/>
        <v>129000</v>
      </c>
      <c r="J76" s="1701">
        <f t="shared" si="7"/>
        <v>0</v>
      </c>
      <c r="K76" s="1701">
        <f t="shared" si="7"/>
        <v>0</v>
      </c>
      <c r="L76" s="524"/>
    </row>
    <row r="77" spans="1:12" ht="14.25" thickTop="1" thickBot="1" x14ac:dyDescent="0.25">
      <c r="A77" s="2196" t="s">
        <v>1177</v>
      </c>
      <c r="B77" s="2197"/>
      <c r="C77" s="1701">
        <f t="shared" ref="C77:K77" si="8">C44-C76</f>
        <v>108000</v>
      </c>
      <c r="D77" s="1701">
        <f t="shared" si="8"/>
        <v>21000</v>
      </c>
      <c r="E77" s="1701">
        <f t="shared" si="8"/>
        <v>0</v>
      </c>
      <c r="F77" s="1701">
        <f t="shared" si="8"/>
        <v>0</v>
      </c>
      <c r="G77" s="1701">
        <f t="shared" si="8"/>
        <v>0</v>
      </c>
      <c r="H77" s="1701">
        <f t="shared" si="8"/>
        <v>0</v>
      </c>
      <c r="I77" s="1701">
        <f t="shared" si="8"/>
        <v>-129000</v>
      </c>
      <c r="J77" s="1701">
        <f t="shared" si="8"/>
        <v>0</v>
      </c>
      <c r="K77" s="1701">
        <f t="shared" si="8"/>
        <v>0</v>
      </c>
      <c r="L77" s="347"/>
    </row>
    <row r="78" spans="1:12" ht="21.75" customHeight="1" thickTop="1" thickBot="1" x14ac:dyDescent="0.25">
      <c r="A78" s="2200" t="s">
        <v>597</v>
      </c>
      <c r="B78" s="2201"/>
      <c r="C78" s="1700">
        <f t="shared" ref="C78:K78" si="9">C20+C77</f>
        <v>-434116</v>
      </c>
      <c r="D78" s="1700">
        <f t="shared" si="9"/>
        <v>-19607</v>
      </c>
      <c r="E78" s="1700">
        <f t="shared" si="9"/>
        <v>-175579</v>
      </c>
      <c r="F78" s="1700">
        <f t="shared" si="9"/>
        <v>-93221</v>
      </c>
      <c r="G78" s="1700">
        <f t="shared" si="9"/>
        <v>-61571</v>
      </c>
      <c r="H78" s="1700">
        <f t="shared" si="9"/>
        <v>0</v>
      </c>
      <c r="I78" s="1700">
        <f t="shared" si="9"/>
        <v>-10971</v>
      </c>
      <c r="J78" s="1700">
        <f t="shared" si="9"/>
        <v>-360513</v>
      </c>
      <c r="K78" s="1700">
        <f t="shared" si="9"/>
        <v>-76074</v>
      </c>
      <c r="L78" s="533"/>
    </row>
    <row r="79" spans="1:12" ht="13.5" thickTop="1" x14ac:dyDescent="0.2">
      <c r="A79" s="1492" t="s">
        <v>1927</v>
      </c>
      <c r="B79" s="534"/>
      <c r="C79" s="478">
        <v>708319</v>
      </c>
      <c r="D79" s="535">
        <v>93685</v>
      </c>
      <c r="E79" s="535">
        <v>532075</v>
      </c>
      <c r="F79" s="535">
        <v>30949</v>
      </c>
      <c r="G79" s="535">
        <v>187725</v>
      </c>
      <c r="H79" s="535"/>
      <c r="I79" s="535">
        <v>1613844</v>
      </c>
      <c r="J79" s="535">
        <v>574863</v>
      </c>
      <c r="K79" s="535">
        <v>475699</v>
      </c>
      <c r="L79" s="347"/>
    </row>
    <row r="80" spans="1:12" x14ac:dyDescent="0.2">
      <c r="A80" s="2206" t="s">
        <v>1775</v>
      </c>
      <c r="B80" s="2207"/>
      <c r="C80" s="467"/>
      <c r="D80" s="467"/>
      <c r="E80" s="467"/>
      <c r="F80" s="467"/>
      <c r="G80" s="467"/>
      <c r="H80" s="467"/>
      <c r="I80" s="467"/>
      <c r="J80" s="467"/>
      <c r="K80" s="467"/>
      <c r="L80" s="347"/>
    </row>
    <row r="81" spans="1:12" ht="13.5" thickBot="1" x14ac:dyDescent="0.25">
      <c r="A81" s="2198" t="s">
        <v>1928</v>
      </c>
      <c r="B81" s="2199"/>
      <c r="C81" s="1686">
        <f>(SUM(C78:C80))</f>
        <v>274203</v>
      </c>
      <c r="D81" s="1686">
        <f>SUM(D78:D80)</f>
        <v>74078</v>
      </c>
      <c r="E81" s="1686">
        <f t="shared" ref="E81:K81" si="10">SUM(E78:E80)</f>
        <v>356496</v>
      </c>
      <c r="F81" s="1686">
        <f t="shared" si="10"/>
        <v>-62272</v>
      </c>
      <c r="G81" s="1686">
        <f t="shared" si="10"/>
        <v>126154</v>
      </c>
      <c r="H81" s="1686">
        <f t="shared" si="10"/>
        <v>0</v>
      </c>
      <c r="I81" s="1686">
        <f t="shared" si="10"/>
        <v>1602873</v>
      </c>
      <c r="J81" s="1686">
        <f t="shared" si="10"/>
        <v>214350</v>
      </c>
      <c r="K81" s="1686">
        <f t="shared" si="10"/>
        <v>399625</v>
      </c>
      <c r="L81" s="347"/>
    </row>
    <row r="82" spans="1:12" ht="0.75" customHeight="1" thickTop="1" thickBot="1" x14ac:dyDescent="0.25">
      <c r="A82" s="536" t="s">
        <v>343</v>
      </c>
      <c r="B82" s="537"/>
      <c r="C82" s="538">
        <f>(C81-C79)</f>
        <v>-434116</v>
      </c>
      <c r="D82" s="538">
        <f t="shared" ref="D82:K82" si="11">(D81-D79)</f>
        <v>-19607</v>
      </c>
      <c r="E82" s="538">
        <f t="shared" si="11"/>
        <v>-175579</v>
      </c>
      <c r="F82" s="538">
        <f t="shared" si="11"/>
        <v>-93221</v>
      </c>
      <c r="G82" s="538">
        <f t="shared" si="11"/>
        <v>-61571</v>
      </c>
      <c r="H82" s="538">
        <f t="shared" si="11"/>
        <v>0</v>
      </c>
      <c r="I82" s="538">
        <f t="shared" si="11"/>
        <v>-10971</v>
      </c>
      <c r="J82" s="538">
        <f t="shared" si="11"/>
        <v>-360513</v>
      </c>
      <c r="K82" s="538">
        <f t="shared" si="11"/>
        <v>-76074</v>
      </c>
    </row>
    <row r="83" spans="1:12" ht="14.25" hidden="1" thickTop="1" thickBot="1" x14ac:dyDescent="0.25">
      <c r="A83" s="539" t="s">
        <v>344</v>
      </c>
      <c r="B83" s="464"/>
      <c r="C83" s="540">
        <f>C82/C81</f>
        <v>-1.5831920146752589</v>
      </c>
      <c r="D83" s="540">
        <f t="shared" ref="D83:K83" si="12">D82/D81</f>
        <v>-0.26468047193498745</v>
      </c>
      <c r="E83" s="540">
        <f t="shared" si="12"/>
        <v>-0.49251323998025226</v>
      </c>
      <c r="F83" s="540">
        <f t="shared" si="12"/>
        <v>1.496997045220966</v>
      </c>
      <c r="G83" s="540">
        <f t="shared" si="12"/>
        <v>-0.48806220968023212</v>
      </c>
      <c r="H83" s="540" t="e">
        <f t="shared" si="12"/>
        <v>#DIV/0!</v>
      </c>
      <c r="I83" s="540">
        <f t="shared" si="12"/>
        <v>-6.8445846926113302E-3</v>
      </c>
      <c r="J83" s="540">
        <f t="shared" si="12"/>
        <v>-1.6818894331700489</v>
      </c>
      <c r="K83" s="540">
        <f t="shared" si="12"/>
        <v>-0.19036346574913982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104" activePane="bottomLeft" state="frozen"/>
      <selection pane="bottomLeft" activeCell="C128" sqref="C12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202" t="s">
        <v>1782</v>
      </c>
      <c r="B1" s="452"/>
      <c r="C1" s="453" t="s">
        <v>425</v>
      </c>
      <c r="D1" s="453" t="s">
        <v>426</v>
      </c>
      <c r="E1" s="453" t="s">
        <v>427</v>
      </c>
      <c r="F1" s="453" t="s">
        <v>428</v>
      </c>
      <c r="G1" s="453" t="s">
        <v>429</v>
      </c>
      <c r="H1" s="453" t="s">
        <v>430</v>
      </c>
      <c r="I1" s="453" t="s">
        <v>431</v>
      </c>
      <c r="J1" s="453" t="s">
        <v>432</v>
      </c>
      <c r="K1" s="453" t="s">
        <v>756</v>
      </c>
    </row>
    <row r="2" spans="1:12" ht="36" x14ac:dyDescent="0.2">
      <c r="A2" s="220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481">
        <v>3625735</v>
      </c>
      <c r="D5" s="481">
        <v>577348</v>
      </c>
      <c r="E5" s="466">
        <v>613169</v>
      </c>
      <c r="F5" s="548">
        <v>277127</v>
      </c>
      <c r="G5" s="466">
        <v>109137</v>
      </c>
      <c r="H5" s="466"/>
      <c r="I5" s="466">
        <v>115467</v>
      </c>
      <c r="J5" s="467">
        <v>505943</v>
      </c>
      <c r="K5" s="466">
        <v>109137</v>
      </c>
    </row>
    <row r="6" spans="1:12" ht="15" x14ac:dyDescent="0.2">
      <c r="A6" s="463" t="s">
        <v>1662</v>
      </c>
      <c r="B6" s="470">
        <v>1130</v>
      </c>
      <c r="C6" s="466">
        <v>61830</v>
      </c>
      <c r="D6" s="466"/>
      <c r="E6" s="475"/>
      <c r="F6" s="475"/>
      <c r="G6" s="468"/>
      <c r="H6" s="468"/>
      <c r="I6" s="468"/>
      <c r="J6" s="468"/>
      <c r="K6" s="468"/>
    </row>
    <row r="7" spans="1:12" x14ac:dyDescent="0.2">
      <c r="A7" s="463" t="s">
        <v>110</v>
      </c>
      <c r="B7" s="549">
        <v>1140</v>
      </c>
      <c r="C7" s="466">
        <v>46187</v>
      </c>
      <c r="D7" s="466"/>
      <c r="E7" s="468"/>
      <c r="F7" s="467"/>
      <c r="G7" s="467"/>
      <c r="H7" s="467"/>
      <c r="I7" s="468"/>
      <c r="J7" s="468"/>
      <c r="K7" s="468"/>
    </row>
    <row r="8" spans="1:12" x14ac:dyDescent="0.2">
      <c r="A8" s="463" t="s">
        <v>413</v>
      </c>
      <c r="B8" s="470">
        <v>1150</v>
      </c>
      <c r="C8" s="475"/>
      <c r="D8" s="475"/>
      <c r="E8" s="477"/>
      <c r="F8" s="477"/>
      <c r="G8" s="481">
        <v>198480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3733752</v>
      </c>
      <c r="D12" s="1705">
        <f t="shared" si="0"/>
        <v>577348</v>
      </c>
      <c r="E12" s="1705">
        <f t="shared" si="0"/>
        <v>613169</v>
      </c>
      <c r="F12" s="1705">
        <f t="shared" si="0"/>
        <v>277127</v>
      </c>
      <c r="G12" s="1705">
        <f t="shared" si="0"/>
        <v>307617</v>
      </c>
      <c r="H12" s="1705">
        <f t="shared" si="0"/>
        <v>0</v>
      </c>
      <c r="I12" s="1705">
        <f t="shared" si="0"/>
        <v>115467</v>
      </c>
      <c r="J12" s="1705">
        <f t="shared" si="0"/>
        <v>505943</v>
      </c>
      <c r="K12" s="1686">
        <f t="shared" si="0"/>
        <v>109137</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3975</v>
      </c>
      <c r="D14" s="466">
        <v>618</v>
      </c>
      <c r="E14" s="466">
        <v>847</v>
      </c>
      <c r="F14" s="466">
        <v>297</v>
      </c>
      <c r="G14" s="466">
        <f>214+118</f>
        <v>332</v>
      </c>
      <c r="H14" s="466"/>
      <c r="I14" s="466">
        <v>124</v>
      </c>
      <c r="J14" s="467">
        <v>545</v>
      </c>
      <c r="K14" s="466">
        <v>118</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61951</v>
      </c>
      <c r="D16" s="466"/>
      <c r="E16" s="466"/>
      <c r="F16" s="466"/>
      <c r="G16" s="466">
        <v>15000</v>
      </c>
      <c r="H16" s="466"/>
      <c r="I16" s="466"/>
      <c r="J16" s="467"/>
      <c r="K16" s="466"/>
    </row>
    <row r="17" spans="1:11" ht="12.75" customHeight="1" x14ac:dyDescent="0.2">
      <c r="A17" s="463" t="s">
        <v>807</v>
      </c>
      <c r="B17" s="470">
        <v>1290</v>
      </c>
      <c r="C17" s="551">
        <v>18722</v>
      </c>
      <c r="D17" s="466"/>
      <c r="E17" s="466"/>
      <c r="F17" s="466"/>
      <c r="G17" s="466"/>
      <c r="H17" s="466"/>
      <c r="I17" s="466"/>
      <c r="J17" s="467"/>
      <c r="K17" s="466"/>
    </row>
    <row r="18" spans="1:11" ht="12.75" customHeight="1" thickBot="1" x14ac:dyDescent="0.25">
      <c r="A18" s="1706" t="s">
        <v>537</v>
      </c>
      <c r="B18" s="1707"/>
      <c r="C18" s="1708">
        <f>SUM(C14:C17)</f>
        <v>84648</v>
      </c>
      <c r="D18" s="1708">
        <f t="shared" ref="D18:K18" si="1">SUM(D14:D17)</f>
        <v>618</v>
      </c>
      <c r="E18" s="1708">
        <f t="shared" si="1"/>
        <v>847</v>
      </c>
      <c r="F18" s="1708">
        <f t="shared" si="1"/>
        <v>297</v>
      </c>
      <c r="G18" s="1708">
        <f t="shared" si="1"/>
        <v>15332</v>
      </c>
      <c r="H18" s="1708">
        <f t="shared" si="1"/>
        <v>0</v>
      </c>
      <c r="I18" s="1708">
        <f t="shared" si="1"/>
        <v>124</v>
      </c>
      <c r="J18" s="1708">
        <f t="shared" si="1"/>
        <v>545</v>
      </c>
      <c r="K18" s="1709">
        <f t="shared" si="1"/>
        <v>118</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94119</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6" t="s">
        <v>538</v>
      </c>
      <c r="B40" s="1707"/>
      <c r="C40" s="1686">
        <f>SUM(C20:C39)</f>
        <v>94119</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3831</v>
      </c>
      <c r="D65" s="466">
        <v>769</v>
      </c>
      <c r="E65" s="466">
        <v>3685</v>
      </c>
      <c r="F65" s="467">
        <v>172</v>
      </c>
      <c r="G65" s="466">
        <f>919+30</f>
        <v>949</v>
      </c>
      <c r="H65" s="466"/>
      <c r="I65" s="466">
        <v>2438</v>
      </c>
      <c r="J65" s="467">
        <v>2027</v>
      </c>
      <c r="K65" s="466">
        <v>1700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3831</v>
      </c>
      <c r="D67" s="1686">
        <f t="shared" ref="D67:K67" si="2">SUM(D65:D66)</f>
        <v>769</v>
      </c>
      <c r="E67" s="1686">
        <f t="shared" si="2"/>
        <v>3685</v>
      </c>
      <c r="F67" s="1686">
        <f t="shared" si="2"/>
        <v>172</v>
      </c>
      <c r="G67" s="1686">
        <f t="shared" si="2"/>
        <v>949</v>
      </c>
      <c r="H67" s="1686">
        <f t="shared" si="2"/>
        <v>0</v>
      </c>
      <c r="I67" s="1686">
        <f t="shared" si="2"/>
        <v>2438</v>
      </c>
      <c r="J67" s="1686">
        <f t="shared" si="2"/>
        <v>2027</v>
      </c>
      <c r="K67" s="1686">
        <f t="shared" si="2"/>
        <v>1700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141673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2926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144599</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4680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f>9097+210+8397+4513+1850+105+1140</f>
        <v>25312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29992</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39459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418</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39877</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v>7682</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400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f>133141+44419</f>
        <v>177560</v>
      </c>
      <c r="D106" s="489"/>
      <c r="E106" s="467"/>
      <c r="F106" s="467"/>
      <c r="G106" s="467"/>
      <c r="H106" s="467"/>
      <c r="I106" s="521"/>
      <c r="J106" s="467"/>
      <c r="K106" s="467"/>
    </row>
    <row r="107" spans="1:12" ht="12.75" customHeight="1" x14ac:dyDescent="0.2">
      <c r="A107" s="463" t="s">
        <v>78</v>
      </c>
      <c r="B107" s="470">
        <v>1999</v>
      </c>
      <c r="C107" s="551">
        <f>-469+21</f>
        <v>-448</v>
      </c>
      <c r="D107" s="466">
        <v>15489</v>
      </c>
      <c r="E107" s="466"/>
      <c r="F107" s="466"/>
      <c r="G107" s="466"/>
      <c r="H107" s="466"/>
      <c r="I107" s="466"/>
      <c r="J107" s="467"/>
      <c r="K107" s="466"/>
    </row>
    <row r="108" spans="1:12" ht="12.75" customHeight="1" thickBot="1" x14ac:dyDescent="0.25">
      <c r="A108" s="1706" t="s">
        <v>487</v>
      </c>
      <c r="B108" s="1710"/>
      <c r="C108" s="1705">
        <f>SUM(C95:C107)</f>
        <v>177512</v>
      </c>
      <c r="D108" s="1705">
        <f t="shared" ref="D108:K108" si="3">SUM(D95:D107)</f>
        <v>23171</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4308330</v>
      </c>
      <c r="D109" s="1713">
        <f t="shared" si="4"/>
        <v>601906</v>
      </c>
      <c r="E109" s="1713">
        <f t="shared" si="4"/>
        <v>617701</v>
      </c>
      <c r="F109" s="1713">
        <f t="shared" si="4"/>
        <v>277596</v>
      </c>
      <c r="G109" s="1713">
        <f t="shared" si="4"/>
        <v>323898</v>
      </c>
      <c r="H109" s="1713">
        <f t="shared" si="4"/>
        <v>0</v>
      </c>
      <c r="I109" s="1713">
        <f t="shared" si="4"/>
        <v>118029</v>
      </c>
      <c r="J109" s="1713">
        <f t="shared" si="4"/>
        <v>508515</v>
      </c>
      <c r="K109" s="1700">
        <f t="shared" si="4"/>
        <v>110955</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3198796</v>
      </c>
      <c r="D117" s="481"/>
      <c r="E117" s="466"/>
      <c r="F117" s="481"/>
      <c r="G117" s="481"/>
      <c r="H117" s="466"/>
      <c r="I117" s="468"/>
      <c r="J117" s="467"/>
      <c r="K117" s="466"/>
    </row>
    <row r="118" spans="1:11" ht="12.75" customHeight="1" x14ac:dyDescent="0.2">
      <c r="A118" s="463" t="s">
        <v>1779</v>
      </c>
      <c r="B118" s="562">
        <v>3002</v>
      </c>
      <c r="C118" s="551"/>
      <c r="D118" s="466"/>
      <c r="E118" s="466"/>
      <c r="F118" s="466"/>
      <c r="G118" s="466"/>
      <c r="H118" s="466"/>
      <c r="I118" s="468"/>
      <c r="J118" s="467"/>
      <c r="K118" s="466"/>
    </row>
    <row r="119" spans="1:11" ht="12.75" customHeight="1" x14ac:dyDescent="0.2">
      <c r="A119" s="463" t="s">
        <v>1780</v>
      </c>
      <c r="B119" s="562">
        <v>3005</v>
      </c>
      <c r="C119" s="551"/>
      <c r="D119" s="466"/>
      <c r="E119" s="466"/>
      <c r="F119" s="466"/>
      <c r="G119" s="466"/>
      <c r="H119" s="466"/>
      <c r="I119" s="468"/>
      <c r="J119" s="467"/>
      <c r="K119" s="466"/>
    </row>
    <row r="120" spans="1:11" ht="12.75" customHeight="1" x14ac:dyDescent="0.2">
      <c r="A120" s="1928" t="s">
        <v>1914</v>
      </c>
      <c r="B120" s="562">
        <v>3030</v>
      </c>
      <c r="C120" s="551"/>
      <c r="D120" s="466"/>
      <c r="E120" s="466"/>
      <c r="F120" s="466"/>
      <c r="G120" s="466"/>
      <c r="H120" s="466"/>
      <c r="I120" s="468"/>
      <c r="J120" s="467"/>
      <c r="K120" s="466"/>
    </row>
    <row r="121" spans="1:11" x14ac:dyDescent="0.2">
      <c r="A121" s="1494" t="s">
        <v>1781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3198796</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13538</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81341</v>
      </c>
      <c r="D128" s="561"/>
      <c r="E128" s="468"/>
      <c r="F128" s="466"/>
      <c r="G128" s="468"/>
      <c r="H128" s="468"/>
      <c r="I128" s="468"/>
      <c r="J128" s="468"/>
      <c r="K128" s="468"/>
    </row>
    <row r="129" spans="1:11" ht="12.75" customHeight="1" x14ac:dyDescent="0.2">
      <c r="A129" s="463" t="s">
        <v>1447</v>
      </c>
      <c r="B129" s="562">
        <v>3130</v>
      </c>
      <c r="C129" s="466">
        <v>1772</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96651</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1056</v>
      </c>
      <c r="B146" s="568">
        <v>3360</v>
      </c>
      <c r="C146" s="569">
        <v>8165</v>
      </c>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v>196002</v>
      </c>
      <c r="G152" s="467"/>
      <c r="H152" s="468"/>
      <c r="I152" s="468"/>
      <c r="J152" s="468"/>
      <c r="K152" s="468"/>
    </row>
    <row r="153" spans="1:11" ht="12.75" customHeight="1" x14ac:dyDescent="0.2">
      <c r="A153" s="463" t="s">
        <v>1057</v>
      </c>
      <c r="B153" s="562">
        <v>3510</v>
      </c>
      <c r="C153" s="551"/>
      <c r="D153" s="466"/>
      <c r="E153" s="561"/>
      <c r="F153" s="466">
        <v>181065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377067</v>
      </c>
      <c r="G155" s="1705">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v>246325</v>
      </c>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v>889</v>
      </c>
      <c r="D168" s="580"/>
      <c r="E168" s="580"/>
      <c r="F168" s="580"/>
      <c r="G168" s="581"/>
      <c r="H168" s="582"/>
      <c r="I168" s="581"/>
      <c r="J168" s="581"/>
      <c r="K168" s="582"/>
    </row>
    <row r="169" spans="1:11" ht="12.75" customHeight="1" thickTop="1" thickBot="1" x14ac:dyDescent="0.25">
      <c r="A169" s="2222" t="s">
        <v>398</v>
      </c>
      <c r="B169" s="2223"/>
      <c r="C169" s="1720">
        <f t="shared" ref="C169:K169" si="6">SUM(C132,C141,C145,C146:C150,C155,C156:C167,C168)</f>
        <v>352030</v>
      </c>
      <c r="D169" s="1720">
        <f t="shared" si="6"/>
        <v>0</v>
      </c>
      <c r="E169" s="1720">
        <f t="shared" si="6"/>
        <v>0</v>
      </c>
      <c r="F169" s="1720">
        <f t="shared" si="6"/>
        <v>377067</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3550826</v>
      </c>
      <c r="D170" s="1713">
        <f t="shared" si="7"/>
        <v>0</v>
      </c>
      <c r="E170" s="1713">
        <f t="shared" si="7"/>
        <v>0</v>
      </c>
      <c r="F170" s="1713">
        <f t="shared" si="7"/>
        <v>377067</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224" t="s">
        <v>1492</v>
      </c>
      <c r="B172" s="2225"/>
      <c r="C172" s="520"/>
      <c r="D172" s="520"/>
      <c r="E172" s="509"/>
      <c r="F172" s="468"/>
      <c r="G172" s="468"/>
      <c r="H172" s="468"/>
      <c r="I172" s="468"/>
      <c r="J172" s="468"/>
      <c r="K172" s="468"/>
    </row>
    <row r="173" spans="1:11" ht="12.6" customHeight="1" x14ac:dyDescent="0.2">
      <c r="A173" s="493" t="s">
        <v>1044</v>
      </c>
      <c r="B173" s="491">
        <v>4001</v>
      </c>
      <c r="C173" s="516">
        <v>30850</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228" t="s">
        <v>1665</v>
      </c>
      <c r="B175" s="2229"/>
      <c r="C175" s="1705">
        <f>SUM(C173:C174)</f>
        <v>30850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232" t="s">
        <v>1664</v>
      </c>
      <c r="B176" s="223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230" t="s">
        <v>785</v>
      </c>
      <c r="B181" s="2231"/>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226" t="s">
        <v>1783</v>
      </c>
      <c r="B182" s="2227"/>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v>110381</v>
      </c>
      <c r="D190" s="468"/>
      <c r="E190" s="561"/>
      <c r="F190" s="553"/>
      <c r="G190" s="585"/>
      <c r="H190" s="468"/>
      <c r="I190" s="468"/>
      <c r="J190" s="468"/>
      <c r="K190" s="468"/>
    </row>
    <row r="191" spans="1:11" ht="12.75" customHeight="1" x14ac:dyDescent="0.2">
      <c r="A191" s="463" t="s">
        <v>1058</v>
      </c>
      <c r="B191" s="470">
        <v>4210</v>
      </c>
      <c r="C191" s="466">
        <v>335376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445757</v>
      </c>
      <c r="D198" s="468"/>
      <c r="E198" s="468"/>
      <c r="F198" s="468"/>
      <c r="G198" s="1686">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324126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324126</v>
      </c>
      <c r="D204" s="1705">
        <f>SUM(D200:D203)</f>
        <v>0</v>
      </c>
      <c r="E204" s="468"/>
      <c r="F204" s="1705">
        <f>SUM(F200:F203)</f>
        <v>0</v>
      </c>
      <c r="G204" s="1705">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218685</v>
      </c>
      <c r="D213" s="466"/>
      <c r="E213" s="468"/>
      <c r="F213" s="466"/>
      <c r="G213" s="466"/>
      <c r="H213" s="468"/>
      <c r="I213" s="468"/>
      <c r="J213" s="468"/>
      <c r="K213" s="468"/>
    </row>
    <row r="214" spans="1:11" ht="12.75" customHeight="1" x14ac:dyDescent="0.2">
      <c r="A214" s="463" t="s">
        <v>1054</v>
      </c>
      <c r="B214" s="470">
        <v>4625</v>
      </c>
      <c r="C214" s="551">
        <v>23126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241811</v>
      </c>
      <c r="D217" s="1705">
        <f>SUM(D211:D216)</f>
        <v>0</v>
      </c>
      <c r="E217" s="468"/>
      <c r="F217" s="1705">
        <f>SUM(F211:F216)</f>
        <v>0</v>
      </c>
      <c r="G217" s="1705">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46917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1915</v>
      </c>
      <c r="B261" s="470">
        <v>4981</v>
      </c>
      <c r="C261" s="575"/>
      <c r="D261" s="576"/>
      <c r="E261" s="468"/>
      <c r="F261" s="576"/>
      <c r="G261" s="576"/>
      <c r="H261" s="468"/>
      <c r="I261" s="468"/>
      <c r="J261" s="468"/>
      <c r="K261" s="468"/>
    </row>
    <row r="262" spans="1:11" ht="12.75" customHeight="1" thickTop="1" thickBot="1" x14ac:dyDescent="0.25">
      <c r="A262" s="1929" t="s">
        <v>1916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10773</v>
      </c>
      <c r="D263" s="576"/>
      <c r="E263" s="468"/>
      <c r="F263" s="576"/>
      <c r="G263" s="576"/>
      <c r="H263" s="468"/>
      <c r="I263" s="468"/>
      <c r="J263" s="468"/>
      <c r="K263" s="468"/>
    </row>
    <row r="264" spans="1:11" ht="12.75" customHeight="1" thickTop="1" thickBot="1" x14ac:dyDescent="0.25">
      <c r="A264" s="463" t="s">
        <v>377</v>
      </c>
      <c r="B264" s="470">
        <v>4992</v>
      </c>
      <c r="C264" s="575">
        <v>61339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1130723</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1161573</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9020729</v>
      </c>
      <c r="D268" s="1713">
        <f t="shared" si="12"/>
        <v>601906</v>
      </c>
      <c r="E268" s="1713">
        <f t="shared" si="12"/>
        <v>617701</v>
      </c>
      <c r="F268" s="1713">
        <f t="shared" si="12"/>
        <v>654663</v>
      </c>
      <c r="G268" s="1713">
        <f t="shared" si="12"/>
        <v>323898</v>
      </c>
      <c r="H268" s="1713">
        <f t="shared" si="12"/>
        <v>0</v>
      </c>
      <c r="I268" s="1713">
        <f t="shared" si="12"/>
        <v>118029</v>
      </c>
      <c r="J268" s="1713">
        <f t="shared" si="12"/>
        <v>508515</v>
      </c>
      <c r="K268" s="1700">
        <f t="shared" si="12"/>
        <v>110955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84" activePane="bottomLeft" state="frozen"/>
      <selection pane="bottomLeft" activeCell="H86" sqref="H8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202"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23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242" t="s">
        <v>297</v>
      </c>
      <c r="B3" s="2243"/>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3617322</v>
      </c>
      <c r="D5" s="466">
        <v>402107</v>
      </c>
      <c r="E5" s="466">
        <v>123986</v>
      </c>
      <c r="F5" s="466">
        <v>91082</v>
      </c>
      <c r="G5" s="466"/>
      <c r="H5" s="466">
        <v>1066</v>
      </c>
      <c r="I5" s="467"/>
      <c r="J5" s="467"/>
      <c r="K5" s="1669">
        <f>SUM(C5:J5)</f>
        <v>4235563</v>
      </c>
      <c r="L5" s="466">
        <v>4228808</v>
      </c>
    </row>
    <row r="6" spans="1:14" x14ac:dyDescent="0.2">
      <c r="A6" s="1502" t="s">
        <v>1433</v>
      </c>
      <c r="B6" s="614" t="s">
        <v>1431</v>
      </c>
      <c r="C6" s="477"/>
      <c r="D6" s="477"/>
      <c r="E6" s="466"/>
      <c r="F6" s="477"/>
      <c r="G6" s="477"/>
      <c r="H6" s="477"/>
      <c r="I6" s="477"/>
      <c r="J6" s="477"/>
      <c r="K6" s="1669">
        <f>SUM(C6,E6)</f>
        <v>0</v>
      </c>
      <c r="L6" s="466"/>
    </row>
    <row r="7" spans="1:14" x14ac:dyDescent="0.2">
      <c r="A7" s="1502" t="s">
        <v>163</v>
      </c>
      <c r="B7" s="614" t="s">
        <v>967</v>
      </c>
      <c r="C7" s="467">
        <v>151246</v>
      </c>
      <c r="D7" s="467">
        <v>12255</v>
      </c>
      <c r="E7" s="467">
        <v>738</v>
      </c>
      <c r="F7" s="467">
        <v>5476</v>
      </c>
      <c r="G7" s="467"/>
      <c r="H7" s="467"/>
      <c r="I7" s="467"/>
      <c r="J7" s="467"/>
      <c r="K7" s="1669">
        <f t="shared" ref="K7:K32" si="0">SUM(C7:J7)</f>
        <v>169715</v>
      </c>
      <c r="L7" s="466">
        <v>175909</v>
      </c>
    </row>
    <row r="8" spans="1:14" x14ac:dyDescent="0.2">
      <c r="A8" s="1502" t="s">
        <v>164</v>
      </c>
      <c r="B8" s="614">
        <v>1200</v>
      </c>
      <c r="C8" s="466">
        <v>1521839</v>
      </c>
      <c r="D8" s="466">
        <v>180433</v>
      </c>
      <c r="E8" s="466">
        <v>3895</v>
      </c>
      <c r="F8" s="466">
        <v>4452</v>
      </c>
      <c r="G8" s="466"/>
      <c r="H8" s="466"/>
      <c r="I8" s="467"/>
      <c r="J8" s="467"/>
      <c r="K8" s="1669">
        <f t="shared" si="0"/>
        <v>1710619</v>
      </c>
      <c r="L8" s="466">
        <v>1733608</v>
      </c>
    </row>
    <row r="9" spans="1:14" x14ac:dyDescent="0.2">
      <c r="A9" s="1502" t="s">
        <v>721</v>
      </c>
      <c r="B9" s="614" t="s">
        <v>968</v>
      </c>
      <c r="C9" s="467"/>
      <c r="D9" s="467"/>
      <c r="E9" s="467"/>
      <c r="F9" s="467"/>
      <c r="G9" s="467"/>
      <c r="H9" s="467"/>
      <c r="I9" s="467"/>
      <c r="J9" s="467"/>
      <c r="K9" s="1669">
        <f t="shared" si="0"/>
        <v>0</v>
      </c>
      <c r="L9" s="466"/>
    </row>
    <row r="10" spans="1:14" x14ac:dyDescent="0.2">
      <c r="A10" s="1502" t="s">
        <v>722</v>
      </c>
      <c r="B10" s="614">
        <v>1250</v>
      </c>
      <c r="C10" s="466">
        <v>231744</v>
      </c>
      <c r="D10" s="466">
        <v>49296</v>
      </c>
      <c r="E10" s="466">
        <v>8584</v>
      </c>
      <c r="F10" s="466">
        <v>78280</v>
      </c>
      <c r="G10" s="466">
        <v>3147</v>
      </c>
      <c r="H10" s="466"/>
      <c r="I10" s="467"/>
      <c r="J10" s="467"/>
      <c r="K10" s="1669">
        <f t="shared" si="0"/>
        <v>371051</v>
      </c>
      <c r="L10" s="466">
        <v>373218</v>
      </c>
    </row>
    <row r="11" spans="1:14" x14ac:dyDescent="0.2">
      <c r="A11" s="1502" t="s">
        <v>1130</v>
      </c>
      <c r="B11" s="614" t="s">
        <v>161</v>
      </c>
      <c r="C11" s="467"/>
      <c r="D11" s="467"/>
      <c r="E11" s="467"/>
      <c r="F11" s="467"/>
      <c r="G11" s="467"/>
      <c r="H11" s="467"/>
      <c r="I11" s="467"/>
      <c r="J11" s="467"/>
      <c r="K11" s="1669">
        <f t="shared" si="0"/>
        <v>0</v>
      </c>
      <c r="L11" s="466"/>
    </row>
    <row r="12" spans="1:14" x14ac:dyDescent="0.2">
      <c r="A12" s="1502" t="s">
        <v>962</v>
      </c>
      <c r="B12" s="614">
        <v>1300</v>
      </c>
      <c r="C12" s="466"/>
      <c r="D12" s="466"/>
      <c r="E12" s="466"/>
      <c r="F12" s="466"/>
      <c r="G12" s="466"/>
      <c r="H12" s="466"/>
      <c r="I12" s="467"/>
      <c r="J12" s="467"/>
      <c r="K12" s="1669">
        <f t="shared" si="0"/>
        <v>0</v>
      </c>
      <c r="L12" s="466"/>
    </row>
    <row r="13" spans="1:14" x14ac:dyDescent="0.2">
      <c r="A13" s="1502" t="s">
        <v>723</v>
      </c>
      <c r="B13" s="614">
        <v>1400</v>
      </c>
      <c r="C13" s="466"/>
      <c r="D13" s="466"/>
      <c r="E13" s="466"/>
      <c r="F13" s="466"/>
      <c r="G13" s="466"/>
      <c r="H13" s="466"/>
      <c r="I13" s="467"/>
      <c r="J13" s="467"/>
      <c r="K13" s="1669">
        <f t="shared" si="0"/>
        <v>0</v>
      </c>
      <c r="L13" s="466"/>
    </row>
    <row r="14" spans="1:14" x14ac:dyDescent="0.2">
      <c r="A14" s="1502" t="s">
        <v>963</v>
      </c>
      <c r="B14" s="614">
        <v>1500</v>
      </c>
      <c r="C14" s="466">
        <v>61741</v>
      </c>
      <c r="D14" s="466">
        <v>888</v>
      </c>
      <c r="E14" s="466">
        <v>9990</v>
      </c>
      <c r="F14" s="466">
        <v>3802</v>
      </c>
      <c r="G14" s="466"/>
      <c r="H14" s="466">
        <v>1609</v>
      </c>
      <c r="I14" s="467"/>
      <c r="J14" s="467"/>
      <c r="K14" s="1669">
        <f t="shared" si="0"/>
        <v>78030</v>
      </c>
      <c r="L14" s="466">
        <v>78031</v>
      </c>
    </row>
    <row r="15" spans="1:14" x14ac:dyDescent="0.2">
      <c r="A15" s="1502" t="s">
        <v>964</v>
      </c>
      <c r="B15" s="614">
        <v>1600</v>
      </c>
      <c r="C15" s="466"/>
      <c r="D15" s="466"/>
      <c r="E15" s="466"/>
      <c r="F15" s="466"/>
      <c r="G15" s="466"/>
      <c r="H15" s="466"/>
      <c r="I15" s="467"/>
      <c r="J15" s="467"/>
      <c r="K15" s="1669">
        <f t="shared" si="0"/>
        <v>0</v>
      </c>
      <c r="L15" s="466"/>
    </row>
    <row r="16" spans="1:14" x14ac:dyDescent="0.2">
      <c r="A16" s="1502" t="s">
        <v>987</v>
      </c>
      <c r="B16" s="614" t="s">
        <v>424</v>
      </c>
      <c r="C16" s="466">
        <v>17572</v>
      </c>
      <c r="D16" s="466"/>
      <c r="E16" s="466">
        <v>119</v>
      </c>
      <c r="F16" s="466">
        <v>1714</v>
      </c>
      <c r="G16" s="466"/>
      <c r="H16" s="466"/>
      <c r="I16" s="467"/>
      <c r="J16" s="467"/>
      <c r="K16" s="1669">
        <f t="shared" si="0"/>
        <v>19405</v>
      </c>
      <c r="L16" s="466">
        <v>19405</v>
      </c>
    </row>
    <row r="17" spans="1:12" x14ac:dyDescent="0.2">
      <c r="A17" s="1502" t="s">
        <v>724</v>
      </c>
      <c r="B17" s="614" t="s">
        <v>162</v>
      </c>
      <c r="C17" s="467"/>
      <c r="D17" s="467"/>
      <c r="E17" s="467"/>
      <c r="F17" s="467"/>
      <c r="G17" s="467"/>
      <c r="H17" s="467"/>
      <c r="I17" s="467"/>
      <c r="J17" s="467"/>
      <c r="K17" s="1669">
        <f t="shared" si="0"/>
        <v>0</v>
      </c>
      <c r="L17" s="466"/>
    </row>
    <row r="18" spans="1:12" x14ac:dyDescent="0.2">
      <c r="A18" s="1502" t="s">
        <v>1087</v>
      </c>
      <c r="B18" s="614">
        <v>1800</v>
      </c>
      <c r="C18" s="466"/>
      <c r="D18" s="466"/>
      <c r="E18" s="466"/>
      <c r="F18" s="466"/>
      <c r="G18" s="466"/>
      <c r="H18" s="466"/>
      <c r="I18" s="467"/>
      <c r="J18" s="467"/>
      <c r="K18" s="1669">
        <f t="shared" si="0"/>
        <v>0</v>
      </c>
      <c r="L18" s="466"/>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738</v>
      </c>
      <c r="B20" s="602" t="s">
        <v>725</v>
      </c>
      <c r="C20" s="477"/>
      <c r="D20" s="477"/>
      <c r="E20" s="477"/>
      <c r="F20" s="477"/>
      <c r="G20" s="477"/>
      <c r="H20" s="474"/>
      <c r="I20" s="616"/>
      <c r="J20" s="475"/>
      <c r="K20" s="1669">
        <f t="shared" si="0"/>
        <v>0</v>
      </c>
      <c r="L20" s="471"/>
    </row>
    <row r="21" spans="1:12" x14ac:dyDescent="0.2">
      <c r="A21" s="1503" t="s">
        <v>739</v>
      </c>
      <c r="B21" s="602" t="s">
        <v>726</v>
      </c>
      <c r="C21" s="477"/>
      <c r="D21" s="477"/>
      <c r="E21" s="477"/>
      <c r="F21" s="477"/>
      <c r="G21" s="477"/>
      <c r="H21" s="474"/>
      <c r="I21" s="616"/>
      <c r="J21" s="477"/>
      <c r="K21" s="1669">
        <f t="shared" si="0"/>
        <v>0</v>
      </c>
      <c r="L21" s="471"/>
    </row>
    <row r="22" spans="1:12" x14ac:dyDescent="0.2">
      <c r="A22" s="1503" t="s">
        <v>740</v>
      </c>
      <c r="B22" s="602" t="s">
        <v>727</v>
      </c>
      <c r="C22" s="477"/>
      <c r="D22" s="477"/>
      <c r="E22" s="477"/>
      <c r="F22" s="477"/>
      <c r="G22" s="477"/>
      <c r="H22" s="474">
        <v>34096</v>
      </c>
      <c r="I22" s="616"/>
      <c r="J22" s="477"/>
      <c r="K22" s="1669">
        <f t="shared" si="0"/>
        <v>34096</v>
      </c>
      <c r="L22" s="471">
        <v>30426</v>
      </c>
    </row>
    <row r="23" spans="1:12" x14ac:dyDescent="0.2">
      <c r="A23" s="1503" t="s">
        <v>741</v>
      </c>
      <c r="B23" s="602" t="s">
        <v>728</v>
      </c>
      <c r="C23" s="477"/>
      <c r="D23" s="477"/>
      <c r="E23" s="477"/>
      <c r="F23" s="477"/>
      <c r="G23" s="477"/>
      <c r="H23" s="474"/>
      <c r="I23" s="616"/>
      <c r="J23" s="477"/>
      <c r="K23" s="1669">
        <f t="shared" si="0"/>
        <v>0</v>
      </c>
      <c r="L23" s="471"/>
    </row>
    <row r="24" spans="1:12" ht="12.75" customHeight="1" x14ac:dyDescent="0.2">
      <c r="A24" s="1503" t="s">
        <v>742</v>
      </c>
      <c r="B24" s="602" t="s">
        <v>729</v>
      </c>
      <c r="C24" s="477"/>
      <c r="D24" s="477"/>
      <c r="E24" s="477"/>
      <c r="F24" s="477"/>
      <c r="G24" s="477"/>
      <c r="H24" s="474"/>
      <c r="I24" s="616"/>
      <c r="J24" s="477"/>
      <c r="K24" s="1669">
        <f t="shared" si="0"/>
        <v>0</v>
      </c>
      <c r="L24" s="471"/>
    </row>
    <row r="25" spans="1:12" ht="12.75" customHeight="1" x14ac:dyDescent="0.2">
      <c r="A25" s="1503" t="s">
        <v>802</v>
      </c>
      <c r="B25" s="602" t="s">
        <v>730</v>
      </c>
      <c r="C25" s="477"/>
      <c r="D25" s="477"/>
      <c r="E25" s="477"/>
      <c r="F25" s="477"/>
      <c r="G25" s="477"/>
      <c r="H25" s="474"/>
      <c r="I25" s="616"/>
      <c r="J25" s="477"/>
      <c r="K25" s="1669">
        <f t="shared" si="0"/>
        <v>0</v>
      </c>
      <c r="L25" s="471"/>
    </row>
    <row r="26" spans="1:12" x14ac:dyDescent="0.2">
      <c r="A26" s="1503" t="s">
        <v>622</v>
      </c>
      <c r="B26" s="602" t="s">
        <v>731</v>
      </c>
      <c r="C26" s="477"/>
      <c r="D26" s="477"/>
      <c r="E26" s="477"/>
      <c r="F26" s="477"/>
      <c r="G26" s="477"/>
      <c r="H26" s="474"/>
      <c r="I26" s="616"/>
      <c r="J26" s="477"/>
      <c r="K26" s="1669">
        <f t="shared" si="0"/>
        <v>0</v>
      </c>
      <c r="L26" s="471"/>
    </row>
    <row r="27" spans="1:12" x14ac:dyDescent="0.2">
      <c r="A27" s="1503" t="s">
        <v>623</v>
      </c>
      <c r="B27" s="602" t="s">
        <v>732</v>
      </c>
      <c r="C27" s="477"/>
      <c r="D27" s="477"/>
      <c r="E27" s="477"/>
      <c r="F27" s="477"/>
      <c r="G27" s="477"/>
      <c r="H27" s="474"/>
      <c r="I27" s="616"/>
      <c r="J27" s="477"/>
      <c r="K27" s="1669">
        <f t="shared" si="0"/>
        <v>0</v>
      </c>
      <c r="L27" s="471"/>
    </row>
    <row r="28" spans="1:12" x14ac:dyDescent="0.2">
      <c r="A28" s="1503" t="s">
        <v>150</v>
      </c>
      <c r="B28" s="602" t="s">
        <v>733</v>
      </c>
      <c r="C28" s="477"/>
      <c r="D28" s="477"/>
      <c r="E28" s="477"/>
      <c r="F28" s="477"/>
      <c r="G28" s="477"/>
      <c r="H28" s="474"/>
      <c r="I28" s="616"/>
      <c r="J28" s="477"/>
      <c r="K28" s="1669">
        <f t="shared" si="0"/>
        <v>0</v>
      </c>
      <c r="L28" s="471"/>
    </row>
    <row r="29" spans="1:12" x14ac:dyDescent="0.2">
      <c r="A29" s="1503" t="s">
        <v>151</v>
      </c>
      <c r="B29" s="602" t="s">
        <v>734</v>
      </c>
      <c r="C29" s="477"/>
      <c r="D29" s="477"/>
      <c r="E29" s="477"/>
      <c r="F29" s="477"/>
      <c r="G29" s="477"/>
      <c r="H29" s="474"/>
      <c r="I29" s="616"/>
      <c r="J29" s="477"/>
      <c r="K29" s="1669">
        <f t="shared" si="0"/>
        <v>0</v>
      </c>
      <c r="L29" s="471"/>
    </row>
    <row r="30" spans="1:12" x14ac:dyDescent="0.2">
      <c r="A30" s="1503" t="s">
        <v>152</v>
      </c>
      <c r="B30" s="602" t="s">
        <v>735</v>
      </c>
      <c r="C30" s="477"/>
      <c r="D30" s="477"/>
      <c r="E30" s="477"/>
      <c r="F30" s="477"/>
      <c r="G30" s="477"/>
      <c r="H30" s="474"/>
      <c r="I30" s="616"/>
      <c r="J30" s="477"/>
      <c r="K30" s="1669">
        <f t="shared" si="0"/>
        <v>0</v>
      </c>
      <c r="L30" s="471"/>
    </row>
    <row r="31" spans="1:12" x14ac:dyDescent="0.2">
      <c r="A31" s="1503" t="s">
        <v>153</v>
      </c>
      <c r="B31" s="602" t="s">
        <v>736</v>
      </c>
      <c r="C31" s="477"/>
      <c r="D31" s="477"/>
      <c r="E31" s="477"/>
      <c r="F31" s="477"/>
      <c r="G31" s="477"/>
      <c r="H31" s="474"/>
      <c r="I31" s="616"/>
      <c r="J31" s="477"/>
      <c r="K31" s="1669">
        <f t="shared" si="0"/>
        <v>0</v>
      </c>
      <c r="L31" s="471"/>
    </row>
    <row r="32" spans="1:12" x14ac:dyDescent="0.2">
      <c r="A32" s="1504"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5601464</v>
      </c>
      <c r="D33" s="1668">
        <f t="shared" ref="D33:L33" si="1">SUM(D5:D32)</f>
        <v>644979</v>
      </c>
      <c r="E33" s="1668">
        <f t="shared" si="1"/>
        <v>147312</v>
      </c>
      <c r="F33" s="1668">
        <f t="shared" si="1"/>
        <v>184806</v>
      </c>
      <c r="G33" s="1668">
        <f t="shared" si="1"/>
        <v>3147</v>
      </c>
      <c r="H33" s="1668">
        <f t="shared" si="1"/>
        <v>36771</v>
      </c>
      <c r="I33" s="1668">
        <f t="shared" si="1"/>
        <v>0</v>
      </c>
      <c r="J33" s="1668">
        <f t="shared" si="1"/>
        <v>0</v>
      </c>
      <c r="K33" s="1668">
        <f t="shared" si="1"/>
        <v>6618479</v>
      </c>
      <c r="L33" s="1668">
        <f t="shared" si="1"/>
        <v>6639405</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f>115396+7400</f>
        <v>122796</v>
      </c>
      <c r="D36" s="481">
        <f>1670+60+18410</f>
        <v>20140</v>
      </c>
      <c r="E36" s="481">
        <v>60</v>
      </c>
      <c r="F36" s="481">
        <v>570</v>
      </c>
      <c r="G36" s="481"/>
      <c r="H36" s="481"/>
      <c r="I36" s="467"/>
      <c r="J36" s="467"/>
      <c r="K36" s="1669">
        <f t="shared" ref="K36:K41" si="2">SUM(C36:J36)</f>
        <v>143566</v>
      </c>
      <c r="L36" s="466">
        <v>150466</v>
      </c>
    </row>
    <row r="37" spans="1:14" x14ac:dyDescent="0.2">
      <c r="A37" s="1502" t="s">
        <v>1090</v>
      </c>
      <c r="B37" s="614">
        <v>2120</v>
      </c>
      <c r="C37" s="466"/>
      <c r="D37" s="466"/>
      <c r="E37" s="466"/>
      <c r="F37" s="466"/>
      <c r="G37" s="466"/>
      <c r="H37" s="466"/>
      <c r="I37" s="467"/>
      <c r="J37" s="467"/>
      <c r="K37" s="1669">
        <f t="shared" si="2"/>
        <v>0</v>
      </c>
      <c r="L37" s="466"/>
    </row>
    <row r="38" spans="1:14" x14ac:dyDescent="0.2">
      <c r="A38" s="1502" t="s">
        <v>198</v>
      </c>
      <c r="B38" s="614">
        <v>2130</v>
      </c>
      <c r="C38" s="466">
        <v>86247</v>
      </c>
      <c r="D38" s="466">
        <f>498+30+12097</f>
        <v>12625</v>
      </c>
      <c r="E38" s="466">
        <v>64763</v>
      </c>
      <c r="F38" s="466">
        <v>1997</v>
      </c>
      <c r="G38" s="466"/>
      <c r="H38" s="466"/>
      <c r="I38" s="467"/>
      <c r="J38" s="467"/>
      <c r="K38" s="1669">
        <f t="shared" si="2"/>
        <v>165632</v>
      </c>
      <c r="L38" s="466">
        <v>165642</v>
      </c>
    </row>
    <row r="39" spans="1:14" x14ac:dyDescent="0.2">
      <c r="A39" s="1502" t="s">
        <v>199</v>
      </c>
      <c r="B39" s="614">
        <v>2140</v>
      </c>
      <c r="C39" s="466">
        <v>70423</v>
      </c>
      <c r="D39" s="466">
        <v>10445</v>
      </c>
      <c r="E39" s="466"/>
      <c r="F39" s="466">
        <v>734</v>
      </c>
      <c r="G39" s="466"/>
      <c r="H39" s="466"/>
      <c r="I39" s="467"/>
      <c r="J39" s="467"/>
      <c r="K39" s="1669">
        <f t="shared" si="2"/>
        <v>81602</v>
      </c>
      <c r="L39" s="466">
        <v>81603</v>
      </c>
    </row>
    <row r="40" spans="1:14" x14ac:dyDescent="0.2">
      <c r="A40" s="1502" t="s">
        <v>200</v>
      </c>
      <c r="B40" s="614">
        <v>2150</v>
      </c>
      <c r="C40" s="466">
        <v>315960</v>
      </c>
      <c r="D40" s="466">
        <v>57045</v>
      </c>
      <c r="E40" s="466">
        <v>109</v>
      </c>
      <c r="F40" s="466">
        <v>334</v>
      </c>
      <c r="G40" s="466"/>
      <c r="H40" s="466"/>
      <c r="I40" s="467"/>
      <c r="J40" s="467"/>
      <c r="K40" s="1669">
        <f t="shared" si="2"/>
        <v>373448</v>
      </c>
      <c r="L40" s="466">
        <v>373449</v>
      </c>
    </row>
    <row r="41" spans="1:14" x14ac:dyDescent="0.2">
      <c r="A41" s="1502"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595426</v>
      </c>
      <c r="D42" s="1668">
        <f t="shared" ref="D42:L42" si="3">SUM(D36:D41)</f>
        <v>100255</v>
      </c>
      <c r="E42" s="1668">
        <f t="shared" si="3"/>
        <v>64932</v>
      </c>
      <c r="F42" s="1668">
        <f t="shared" si="3"/>
        <v>3635</v>
      </c>
      <c r="G42" s="1668">
        <f t="shared" si="3"/>
        <v>0</v>
      </c>
      <c r="H42" s="1668">
        <f t="shared" si="3"/>
        <v>0</v>
      </c>
      <c r="I42" s="1668">
        <f t="shared" si="3"/>
        <v>0</v>
      </c>
      <c r="J42" s="1668">
        <f t="shared" si="3"/>
        <v>0</v>
      </c>
      <c r="K42" s="1668">
        <f t="shared" si="3"/>
        <v>764248</v>
      </c>
      <c r="L42" s="1668">
        <f t="shared" si="3"/>
        <v>771160</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38293</v>
      </c>
      <c r="D44" s="481">
        <f>12+8280+12599</f>
        <v>20891</v>
      </c>
      <c r="E44" s="481">
        <f>1694+150+244</f>
        <v>2088</v>
      </c>
      <c r="F44" s="481">
        <v>115</v>
      </c>
      <c r="G44" s="481"/>
      <c r="H44" s="481"/>
      <c r="I44" s="467"/>
      <c r="J44" s="467"/>
      <c r="K44" s="1670">
        <f>SUM(C44:J44)</f>
        <v>61387</v>
      </c>
      <c r="L44" s="481">
        <v>60387</v>
      </c>
    </row>
    <row r="45" spans="1:14" x14ac:dyDescent="0.2">
      <c r="A45" s="1502" t="s">
        <v>815</v>
      </c>
      <c r="B45" s="614">
        <v>2220</v>
      </c>
      <c r="C45" s="466"/>
      <c r="D45" s="466"/>
      <c r="E45" s="466">
        <v>22690</v>
      </c>
      <c r="F45" s="466">
        <v>847</v>
      </c>
      <c r="G45" s="466"/>
      <c r="H45" s="466">
        <v>3000</v>
      </c>
      <c r="I45" s="467"/>
      <c r="J45" s="467"/>
      <c r="K45" s="1670">
        <f>SUM(C45:J45)</f>
        <v>26537</v>
      </c>
      <c r="L45" s="466">
        <v>26537</v>
      </c>
    </row>
    <row r="46" spans="1:14" x14ac:dyDescent="0.2">
      <c r="A46" s="1502" t="s">
        <v>816</v>
      </c>
      <c r="B46" s="614">
        <v>2230</v>
      </c>
      <c r="C46" s="466"/>
      <c r="D46" s="466"/>
      <c r="E46" s="466">
        <v>8288</v>
      </c>
      <c r="F46" s="466"/>
      <c r="G46" s="466"/>
      <c r="H46" s="466"/>
      <c r="I46" s="467"/>
      <c r="J46" s="467"/>
      <c r="K46" s="1670">
        <f>SUM(C46:J46)</f>
        <v>8288</v>
      </c>
      <c r="L46" s="466">
        <v>8288</v>
      </c>
    </row>
    <row r="47" spans="1:14" ht="12.75" customHeight="1" thickBot="1" x14ac:dyDescent="0.25">
      <c r="A47" s="1666" t="s">
        <v>561</v>
      </c>
      <c r="B47" s="1667" t="s">
        <v>32</v>
      </c>
      <c r="C47" s="1668">
        <f>SUM(C44:C46)</f>
        <v>38293</v>
      </c>
      <c r="D47" s="1668">
        <f t="shared" ref="D47:K47" si="4">SUM(D44:D46)</f>
        <v>20891</v>
      </c>
      <c r="E47" s="1668">
        <f t="shared" si="4"/>
        <v>33066</v>
      </c>
      <c r="F47" s="1668">
        <f t="shared" si="4"/>
        <v>962</v>
      </c>
      <c r="G47" s="1668">
        <f t="shared" si="4"/>
        <v>0</v>
      </c>
      <c r="H47" s="1668">
        <f t="shared" si="4"/>
        <v>3000</v>
      </c>
      <c r="I47" s="1668">
        <f t="shared" si="4"/>
        <v>0</v>
      </c>
      <c r="J47" s="1668">
        <f t="shared" si="4"/>
        <v>0</v>
      </c>
      <c r="K47" s="1668">
        <f t="shared" si="4"/>
        <v>96212</v>
      </c>
      <c r="L47" s="1668">
        <f>SUM(L44:L46)</f>
        <v>95212</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f>1200+1200</f>
        <v>2400</v>
      </c>
      <c r="D49" s="481"/>
      <c r="E49" s="481">
        <v>39968</v>
      </c>
      <c r="F49" s="481">
        <v>7771</v>
      </c>
      <c r="G49" s="481"/>
      <c r="H49" s="481">
        <v>3884</v>
      </c>
      <c r="I49" s="467"/>
      <c r="J49" s="467"/>
      <c r="K49" s="1670">
        <f>SUM(C49:J49)</f>
        <v>54023</v>
      </c>
      <c r="L49" s="481">
        <v>53876</v>
      </c>
    </row>
    <row r="50" spans="1:14" x14ac:dyDescent="0.2">
      <c r="A50" s="1502" t="s">
        <v>818</v>
      </c>
      <c r="B50" s="614">
        <v>2320</v>
      </c>
      <c r="C50" s="466">
        <v>154079</v>
      </c>
      <c r="D50" s="466">
        <f>3903+92+12573</f>
        <v>16568</v>
      </c>
      <c r="E50" s="466">
        <f>25+574</f>
        <v>599</v>
      </c>
      <c r="F50" s="466"/>
      <c r="G50" s="466"/>
      <c r="H50" s="466">
        <v>997</v>
      </c>
      <c r="I50" s="467"/>
      <c r="J50" s="467"/>
      <c r="K50" s="1670">
        <f>SUM(C50:J50)</f>
        <v>172243</v>
      </c>
      <c r="L50" s="466">
        <v>172243</v>
      </c>
    </row>
    <row r="51" spans="1:14" x14ac:dyDescent="0.2">
      <c r="A51" s="1502" t="s">
        <v>42</v>
      </c>
      <c r="B51" s="614">
        <v>2330</v>
      </c>
      <c r="C51" s="466">
        <v>18747</v>
      </c>
      <c r="D51" s="466">
        <v>2752</v>
      </c>
      <c r="E51" s="466"/>
      <c r="F51" s="466">
        <v>25</v>
      </c>
      <c r="G51" s="466"/>
      <c r="H51" s="466"/>
      <c r="I51" s="467"/>
      <c r="J51" s="467"/>
      <c r="K51" s="1670">
        <f>SUM(C51:J51)</f>
        <v>21524</v>
      </c>
      <c r="L51" s="466">
        <v>22249</v>
      </c>
    </row>
    <row r="52" spans="1:14" ht="22.5" x14ac:dyDescent="0.2">
      <c r="A52" s="1503"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175226</v>
      </c>
      <c r="D53" s="1668">
        <f t="shared" ref="D53:L53" si="5">SUM(D49:D52)</f>
        <v>19320</v>
      </c>
      <c r="E53" s="1668">
        <f t="shared" si="5"/>
        <v>40567</v>
      </c>
      <c r="F53" s="1668">
        <f t="shared" si="5"/>
        <v>7796</v>
      </c>
      <c r="G53" s="1668">
        <f t="shared" si="5"/>
        <v>0</v>
      </c>
      <c r="H53" s="1668">
        <f t="shared" si="5"/>
        <v>4881</v>
      </c>
      <c r="I53" s="1668">
        <f t="shared" si="5"/>
        <v>0</v>
      </c>
      <c r="J53" s="1668">
        <f t="shared" si="5"/>
        <v>0</v>
      </c>
      <c r="K53" s="1668">
        <f t="shared" si="5"/>
        <v>247790</v>
      </c>
      <c r="L53" s="1668">
        <f t="shared" si="5"/>
        <v>248368</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319117</v>
      </c>
      <c r="D55" s="481">
        <v>55739</v>
      </c>
      <c r="E55" s="481">
        <f>624+2233+1011+1591</f>
        <v>5459</v>
      </c>
      <c r="F55" s="481">
        <v>5274</v>
      </c>
      <c r="G55" s="481"/>
      <c r="H55" s="481">
        <v>2138</v>
      </c>
      <c r="I55" s="467"/>
      <c r="J55" s="467"/>
      <c r="K55" s="1670">
        <f>SUM(C55:J55)</f>
        <v>387727</v>
      </c>
      <c r="L55" s="481">
        <v>398228</v>
      </c>
    </row>
    <row r="56" spans="1:14" ht="12.75" customHeight="1" x14ac:dyDescent="0.2">
      <c r="A56" s="1506" t="s">
        <v>376</v>
      </c>
      <c r="B56" s="628">
        <v>2490</v>
      </c>
      <c r="C56" s="466"/>
      <c r="D56" s="466"/>
      <c r="E56" s="466">
        <v>5911</v>
      </c>
      <c r="F56" s="466"/>
      <c r="G56" s="466"/>
      <c r="H56" s="466"/>
      <c r="I56" s="467"/>
      <c r="J56" s="467"/>
      <c r="K56" s="1670">
        <f>SUM(C56:J56)</f>
        <v>5911</v>
      </c>
      <c r="L56" s="466">
        <v>5900</v>
      </c>
    </row>
    <row r="57" spans="1:14" s="343" customFormat="1" ht="12.75" customHeight="1" thickBot="1" x14ac:dyDescent="0.25">
      <c r="A57" s="1666" t="s">
        <v>263</v>
      </c>
      <c r="B57" s="1671" t="s">
        <v>34</v>
      </c>
      <c r="C57" s="1672">
        <f>SUM(C55:C56)</f>
        <v>319117</v>
      </c>
      <c r="D57" s="1672">
        <f t="shared" ref="D57:K57" si="6">SUM(D55:D56)</f>
        <v>55739</v>
      </c>
      <c r="E57" s="1672">
        <f t="shared" si="6"/>
        <v>11370</v>
      </c>
      <c r="F57" s="1672">
        <f t="shared" si="6"/>
        <v>5274</v>
      </c>
      <c r="G57" s="1672">
        <f t="shared" si="6"/>
        <v>0</v>
      </c>
      <c r="H57" s="1672">
        <f t="shared" si="6"/>
        <v>2138</v>
      </c>
      <c r="I57" s="1672">
        <f t="shared" si="6"/>
        <v>0</v>
      </c>
      <c r="J57" s="1672">
        <f t="shared" si="6"/>
        <v>0</v>
      </c>
      <c r="K57" s="1672">
        <f t="shared" si="6"/>
        <v>393638</v>
      </c>
      <c r="L57" s="1668">
        <f>SUM(L55:L56)</f>
        <v>404128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2" t="s">
        <v>463</v>
      </c>
      <c r="B60" s="614">
        <v>2520</v>
      </c>
      <c r="C60" s="466">
        <v>68295</v>
      </c>
      <c r="D60" s="466">
        <v>10668</v>
      </c>
      <c r="E60" s="466">
        <v>16214</v>
      </c>
      <c r="F60" s="466">
        <v>744</v>
      </c>
      <c r="G60" s="466"/>
      <c r="H60" s="466">
        <v>16826</v>
      </c>
      <c r="I60" s="467"/>
      <c r="J60" s="467"/>
      <c r="K60" s="1670">
        <f t="shared" si="7"/>
        <v>112747</v>
      </c>
      <c r="L60" s="466">
        <v>115432</v>
      </c>
      <c r="M60" s="609"/>
      <c r="N60" s="609"/>
    </row>
    <row r="61" spans="1:14" s="343" customFormat="1" x14ac:dyDescent="0.2">
      <c r="A61" s="1502" t="s">
        <v>197</v>
      </c>
      <c r="B61" s="614">
        <v>2540</v>
      </c>
      <c r="C61" s="466">
        <v>183441</v>
      </c>
      <c r="D61" s="466">
        <f>74+41144</f>
        <v>41218</v>
      </c>
      <c r="E61" s="466"/>
      <c r="F61" s="466"/>
      <c r="G61" s="466"/>
      <c r="H61" s="466"/>
      <c r="I61" s="467"/>
      <c r="J61" s="467"/>
      <c r="K61" s="1670">
        <f t="shared" si="7"/>
        <v>224659</v>
      </c>
      <c r="L61" s="466">
        <v>226262</v>
      </c>
      <c r="M61" s="609"/>
      <c r="N61" s="609"/>
    </row>
    <row r="62" spans="1:14" s="343" customFormat="1" x14ac:dyDescent="0.2">
      <c r="A62" s="1502" t="s">
        <v>953</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v>104697</v>
      </c>
      <c r="D63" s="466">
        <f>38+5134</f>
        <v>5172</v>
      </c>
      <c r="E63" s="466">
        <f>381707-39</f>
        <v>381668</v>
      </c>
      <c r="F63" s="466">
        <v>914</v>
      </c>
      <c r="G63" s="466"/>
      <c r="H63" s="466"/>
      <c r="I63" s="467"/>
      <c r="J63" s="467"/>
      <c r="K63" s="1670">
        <f t="shared" si="7"/>
        <v>492451</v>
      </c>
      <c r="L63" s="466">
        <v>492161</v>
      </c>
    </row>
    <row r="64" spans="1:14" s="609" customFormat="1" x14ac:dyDescent="0.2">
      <c r="A64" s="1507"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356433</v>
      </c>
      <c r="D65" s="1668">
        <f t="shared" ref="D65:L65" si="8">SUM(D59:D64)</f>
        <v>57058</v>
      </c>
      <c r="E65" s="1668">
        <f t="shared" si="8"/>
        <v>397882</v>
      </c>
      <c r="F65" s="1668">
        <f t="shared" si="8"/>
        <v>1658</v>
      </c>
      <c r="G65" s="1668">
        <f t="shared" si="8"/>
        <v>0</v>
      </c>
      <c r="H65" s="1668">
        <f t="shared" si="8"/>
        <v>16826</v>
      </c>
      <c r="I65" s="1668">
        <f t="shared" si="8"/>
        <v>0</v>
      </c>
      <c r="J65" s="1668">
        <f t="shared" si="8"/>
        <v>0</v>
      </c>
      <c r="K65" s="1668">
        <f t="shared" si="8"/>
        <v>829857</v>
      </c>
      <c r="L65" s="1668">
        <f t="shared" si="8"/>
        <v>833855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70">
        <f>SUM(C67:J67)</f>
        <v>0</v>
      </c>
      <c r="L67" s="481"/>
      <c r="M67" s="609"/>
      <c r="N67" s="609"/>
    </row>
    <row r="68" spans="1:14" s="343" customFormat="1" x14ac:dyDescent="0.2">
      <c r="A68" s="1502" t="s">
        <v>607</v>
      </c>
      <c r="B68" s="614">
        <v>2620</v>
      </c>
      <c r="C68" s="466"/>
      <c r="D68" s="466"/>
      <c r="E68" s="466"/>
      <c r="F68" s="466"/>
      <c r="G68" s="466"/>
      <c r="H68" s="466"/>
      <c r="I68" s="467"/>
      <c r="J68" s="467"/>
      <c r="K68" s="1670">
        <f>SUM(C68:J68)</f>
        <v>0</v>
      </c>
      <c r="L68" s="466"/>
      <c r="M68" s="609"/>
      <c r="N68" s="609"/>
    </row>
    <row r="69" spans="1:14" s="343" customFormat="1" x14ac:dyDescent="0.2">
      <c r="A69" s="1502" t="s">
        <v>1061</v>
      </c>
      <c r="B69" s="614">
        <v>2630</v>
      </c>
      <c r="C69" s="466">
        <v>33845</v>
      </c>
      <c r="D69" s="466">
        <f>6+5328</f>
        <v>5334</v>
      </c>
      <c r="E69" s="466">
        <f>12068+285+1025+11963</f>
        <v>25341</v>
      </c>
      <c r="F69" s="466">
        <f>935+5310</f>
        <v>6245</v>
      </c>
      <c r="G69" s="466"/>
      <c r="H69" s="466"/>
      <c r="I69" s="467"/>
      <c r="J69" s="467"/>
      <c r="K69" s="1670">
        <f>SUM(C69:J69)</f>
        <v>70765</v>
      </c>
      <c r="L69" s="466">
        <v>70765</v>
      </c>
      <c r="M69" s="609"/>
      <c r="N69" s="609"/>
    </row>
    <row r="70" spans="1:14" s="343" customFormat="1" x14ac:dyDescent="0.2">
      <c r="A70" s="1502" t="s">
        <v>403</v>
      </c>
      <c r="B70" s="614">
        <v>2640</v>
      </c>
      <c r="C70" s="466"/>
      <c r="D70" s="466"/>
      <c r="E70" s="466"/>
      <c r="F70" s="466"/>
      <c r="G70" s="466"/>
      <c r="H70" s="466"/>
      <c r="I70" s="467"/>
      <c r="J70" s="467"/>
      <c r="K70" s="1670">
        <f>SUM(C70:J70)</f>
        <v>0</v>
      </c>
      <c r="L70" s="466"/>
      <c r="M70" s="609"/>
      <c r="N70" s="609"/>
    </row>
    <row r="71" spans="1:14" s="343" customFormat="1" x14ac:dyDescent="0.2">
      <c r="A71" s="1502"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33845</v>
      </c>
      <c r="D72" s="1668">
        <f t="shared" ref="D72:K72" si="9">SUM(D67:D71)</f>
        <v>5334</v>
      </c>
      <c r="E72" s="1668">
        <f t="shared" si="9"/>
        <v>25341</v>
      </c>
      <c r="F72" s="1668">
        <f t="shared" si="9"/>
        <v>6245</v>
      </c>
      <c r="G72" s="1668">
        <f t="shared" si="9"/>
        <v>0</v>
      </c>
      <c r="H72" s="1668">
        <f t="shared" si="9"/>
        <v>0</v>
      </c>
      <c r="I72" s="1668">
        <f t="shared" si="9"/>
        <v>0</v>
      </c>
      <c r="J72" s="1668">
        <f t="shared" si="9"/>
        <v>0</v>
      </c>
      <c r="K72" s="1668">
        <f t="shared" si="9"/>
        <v>70765</v>
      </c>
      <c r="L72" s="1668">
        <f>SUM(L67:L71)</f>
        <v>70765</v>
      </c>
      <c r="M72" s="609"/>
      <c r="N72" s="609"/>
    </row>
    <row r="73" spans="1:14" s="343" customFormat="1" ht="14.25" thickTop="1" thickBot="1" x14ac:dyDescent="0.25">
      <c r="A73" s="1508"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1518340</v>
      </c>
      <c r="D74" s="1675">
        <f t="shared" ref="D74:K74" si="10">SUM(D42,D47,D53,D57,D65,D72,D73)</f>
        <v>258597</v>
      </c>
      <c r="E74" s="1675">
        <f t="shared" si="10"/>
        <v>573158</v>
      </c>
      <c r="F74" s="1675">
        <f t="shared" si="10"/>
        <v>25570</v>
      </c>
      <c r="G74" s="1675">
        <f t="shared" si="10"/>
        <v>0</v>
      </c>
      <c r="H74" s="1675">
        <f t="shared" si="10"/>
        <v>26845</v>
      </c>
      <c r="I74" s="1675">
        <f t="shared" si="10"/>
        <v>0</v>
      </c>
      <c r="J74" s="1675">
        <f t="shared" si="10"/>
        <v>0</v>
      </c>
      <c r="K74" s="1675">
        <f t="shared" si="10"/>
        <v>2402510</v>
      </c>
      <c r="L74" s="1675">
        <f>SUM(L42,L47,L53,L57,L65,L72,L73)</f>
        <v>2423488</v>
      </c>
    </row>
    <row r="75" spans="1:14" s="259" customFormat="1" ht="15.75" customHeight="1" thickTop="1" thickBot="1" x14ac:dyDescent="0.25">
      <c r="A75" s="1608" t="s">
        <v>47</v>
      </c>
      <c r="B75" s="1609" t="s">
        <v>575</v>
      </c>
      <c r="C75" s="573">
        <f>102157+28768</f>
        <v>130925</v>
      </c>
      <c r="D75" s="573">
        <f>12+150</f>
        <v>162</v>
      </c>
      <c r="E75" s="573">
        <v>17190</v>
      </c>
      <c r="F75" s="573">
        <f>11883+1514</f>
        <v>13397</v>
      </c>
      <c r="G75" s="573"/>
      <c r="H75" s="573"/>
      <c r="I75" s="531"/>
      <c r="J75" s="531"/>
      <c r="K75" s="1668">
        <f>SUM(C75:J75)</f>
        <v>161674</v>
      </c>
      <c r="L75" s="576">
        <v>158249</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c r="I78" s="477"/>
      <c r="J78" s="477"/>
      <c r="K78" s="1669">
        <f t="shared" ref="K78:K83" si="11">SUM(C78:J78)</f>
        <v>0</v>
      </c>
      <c r="L78" s="481"/>
    </row>
    <row r="79" spans="1:14" x14ac:dyDescent="0.2">
      <c r="A79" s="1502" t="s">
        <v>304</v>
      </c>
      <c r="B79" s="614">
        <v>4120</v>
      </c>
      <c r="C79" s="616"/>
      <c r="D79" s="616"/>
      <c r="E79" s="466">
        <f>62537+21618</f>
        <v>84155</v>
      </c>
      <c r="F79" s="616"/>
      <c r="G79" s="616"/>
      <c r="H79" s="466"/>
      <c r="I79" s="477"/>
      <c r="J79" s="477"/>
      <c r="K79" s="1669">
        <f t="shared" si="11"/>
        <v>84155</v>
      </c>
      <c r="L79" s="466">
        <v>62538</v>
      </c>
    </row>
    <row r="80" spans="1:14" x14ac:dyDescent="0.2">
      <c r="A80" s="1502" t="s">
        <v>305</v>
      </c>
      <c r="B80" s="614">
        <v>4130</v>
      </c>
      <c r="C80" s="616"/>
      <c r="D80" s="616"/>
      <c r="E80" s="466"/>
      <c r="F80" s="616"/>
      <c r="G80" s="616"/>
      <c r="H80" s="466"/>
      <c r="I80" s="477"/>
      <c r="J80" s="477"/>
      <c r="K80" s="1669">
        <f t="shared" si="11"/>
        <v>0</v>
      </c>
      <c r="L80" s="466"/>
    </row>
    <row r="81" spans="1:12" x14ac:dyDescent="0.2">
      <c r="A81" s="1502" t="s">
        <v>697</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c r="I82" s="477"/>
      <c r="J82" s="477"/>
      <c r="K82" s="1669">
        <f t="shared" si="11"/>
        <v>0</v>
      </c>
      <c r="L82" s="466"/>
    </row>
    <row r="83" spans="1:12" x14ac:dyDescent="0.2">
      <c r="A83" s="1506" t="s">
        <v>698</v>
      </c>
      <c r="B83" s="628">
        <v>4190</v>
      </c>
      <c r="C83" s="616"/>
      <c r="D83" s="616"/>
      <c r="E83" s="466">
        <v>2691</v>
      </c>
      <c r="F83" s="616"/>
      <c r="G83" s="616"/>
      <c r="H83" s="466"/>
      <c r="I83" s="477"/>
      <c r="J83" s="477"/>
      <c r="K83" s="1669">
        <f t="shared" si="11"/>
        <v>2691</v>
      </c>
      <c r="L83" s="466">
        <v>2691</v>
      </c>
    </row>
    <row r="84" spans="1:12" ht="13.5" thickBot="1" x14ac:dyDescent="0.25">
      <c r="A84" s="1666" t="s">
        <v>1485</v>
      </c>
      <c r="B84" s="1676">
        <v>4100</v>
      </c>
      <c r="C84" s="616"/>
      <c r="D84" s="616"/>
      <c r="E84" s="1668">
        <f>SUM(E78:E83)</f>
        <v>86846</v>
      </c>
      <c r="F84" s="616"/>
      <c r="G84" s="616"/>
      <c r="H84" s="1668">
        <f>SUM(H78:H83)</f>
        <v>0</v>
      </c>
      <c r="I84" s="477"/>
      <c r="J84" s="477"/>
      <c r="K84" s="1668">
        <f>SUM(K78:K83)</f>
        <v>86846</v>
      </c>
      <c r="L84" s="1668">
        <f>SUM(L78:L83)</f>
        <v>65229</v>
      </c>
    </row>
    <row r="85" spans="1:12" ht="12.75" customHeight="1" thickTop="1" thickBot="1" x14ac:dyDescent="0.25">
      <c r="A85" s="1509" t="s">
        <v>255</v>
      </c>
      <c r="B85" s="635">
        <v>4210</v>
      </c>
      <c r="C85" s="616"/>
      <c r="D85" s="616"/>
      <c r="E85" s="636"/>
      <c r="F85" s="616"/>
      <c r="G85" s="616"/>
      <c r="H85" s="535">
        <v>25935</v>
      </c>
      <c r="I85" s="477"/>
      <c r="J85" s="477"/>
      <c r="K85" s="1675">
        <f>H85</f>
        <v>25935</v>
      </c>
      <c r="L85" s="530">
        <v>25935</v>
      </c>
    </row>
    <row r="86" spans="1:12" ht="12.75" customHeight="1" thickTop="1" thickBot="1" x14ac:dyDescent="0.25">
      <c r="A86" s="1510" t="s">
        <v>699</v>
      </c>
      <c r="B86" s="637">
        <v>4220</v>
      </c>
      <c r="C86" s="616"/>
      <c r="D86" s="616"/>
      <c r="E86" s="638"/>
      <c r="F86" s="616"/>
      <c r="G86" s="616"/>
      <c r="H86" s="467">
        <f>289019-21618</f>
        <v>267401</v>
      </c>
      <c r="I86" s="477"/>
      <c r="J86" s="477"/>
      <c r="K86" s="1675">
        <f t="shared" ref="K86:K98" si="12">H86</f>
        <v>267401</v>
      </c>
      <c r="L86" s="530">
        <v>289019</v>
      </c>
    </row>
    <row r="87" spans="1:12" ht="14.25" thickTop="1" thickBot="1" x14ac:dyDescent="0.25">
      <c r="A87" s="1511" t="s">
        <v>700</v>
      </c>
      <c r="B87" s="639">
        <v>4230</v>
      </c>
      <c r="C87" s="616"/>
      <c r="D87" s="616"/>
      <c r="E87" s="638"/>
      <c r="F87" s="616"/>
      <c r="G87" s="616"/>
      <c r="H87" s="467"/>
      <c r="I87" s="477"/>
      <c r="J87" s="477"/>
      <c r="K87" s="1675">
        <f t="shared" si="12"/>
        <v>0</v>
      </c>
      <c r="L87" s="530"/>
    </row>
    <row r="88" spans="1:12" ht="12.75" customHeight="1" thickTop="1" thickBot="1" x14ac:dyDescent="0.25">
      <c r="A88" s="1511" t="s">
        <v>765</v>
      </c>
      <c r="B88" s="639">
        <v>4240</v>
      </c>
      <c r="C88" s="616"/>
      <c r="D88" s="616"/>
      <c r="E88" s="638"/>
      <c r="F88" s="616"/>
      <c r="G88" s="616"/>
      <c r="H88" s="467"/>
      <c r="I88" s="477"/>
      <c r="J88" s="477"/>
      <c r="K88" s="1675">
        <f t="shared" si="12"/>
        <v>0</v>
      </c>
      <c r="L88" s="530"/>
    </row>
    <row r="89" spans="1:12" ht="12.75" customHeight="1" thickTop="1" thickBot="1" x14ac:dyDescent="0.25">
      <c r="A89" s="1511" t="s">
        <v>701</v>
      </c>
      <c r="B89" s="639">
        <v>4270</v>
      </c>
      <c r="C89" s="616"/>
      <c r="D89" s="616"/>
      <c r="E89" s="638"/>
      <c r="F89" s="616"/>
      <c r="G89" s="616"/>
      <c r="H89" s="467"/>
      <c r="I89" s="477"/>
      <c r="J89" s="477"/>
      <c r="K89" s="1675">
        <f t="shared" si="12"/>
        <v>0</v>
      </c>
      <c r="L89" s="530"/>
    </row>
    <row r="90" spans="1:12" ht="12.75" customHeight="1" thickTop="1" thickBot="1" x14ac:dyDescent="0.25">
      <c r="A90" s="1511" t="s">
        <v>686</v>
      </c>
      <c r="B90" s="639">
        <v>4280</v>
      </c>
      <c r="C90" s="616"/>
      <c r="D90" s="616"/>
      <c r="E90" s="638"/>
      <c r="F90" s="616"/>
      <c r="G90" s="616"/>
      <c r="H90" s="467"/>
      <c r="I90" s="477"/>
      <c r="J90" s="477"/>
      <c r="K90" s="1675">
        <f t="shared" si="12"/>
        <v>0</v>
      </c>
      <c r="L90" s="530"/>
    </row>
    <row r="91" spans="1:12" ht="12.75" customHeight="1" thickTop="1" thickBot="1" x14ac:dyDescent="0.25">
      <c r="A91" s="1511"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293336</v>
      </c>
      <c r="I92" s="477"/>
      <c r="J92" s="477"/>
      <c r="K92" s="1675">
        <f t="shared" si="12"/>
        <v>293336</v>
      </c>
      <c r="L92" s="1668">
        <f>SUM(L85:L91)</f>
        <v>314954</v>
      </c>
    </row>
    <row r="93" spans="1:12" ht="14.25" thickTop="1" thickBot="1" x14ac:dyDescent="0.25">
      <c r="A93" s="1510" t="s">
        <v>688</v>
      </c>
      <c r="B93" s="640">
        <v>4310</v>
      </c>
      <c r="C93" s="616"/>
      <c r="D93" s="616"/>
      <c r="E93" s="638"/>
      <c r="F93" s="616"/>
      <c r="G93" s="616"/>
      <c r="H93" s="641"/>
      <c r="I93" s="477"/>
      <c r="J93" s="477"/>
      <c r="K93" s="1675">
        <f t="shared" si="12"/>
        <v>0</v>
      </c>
      <c r="L93" s="532"/>
    </row>
    <row r="94" spans="1:12" ht="12.75" customHeight="1" thickTop="1" thickBot="1" x14ac:dyDescent="0.25">
      <c r="A94" s="1511" t="s">
        <v>689</v>
      </c>
      <c r="B94" s="639">
        <v>4320</v>
      </c>
      <c r="C94" s="616"/>
      <c r="D94" s="616"/>
      <c r="E94" s="638"/>
      <c r="F94" s="616"/>
      <c r="G94" s="616"/>
      <c r="H94" s="467"/>
      <c r="I94" s="477"/>
      <c r="J94" s="477"/>
      <c r="K94" s="1675">
        <f t="shared" si="12"/>
        <v>0</v>
      </c>
      <c r="L94" s="530"/>
    </row>
    <row r="95" spans="1:12" ht="15" customHeight="1" thickTop="1" thickBot="1" x14ac:dyDescent="0.25">
      <c r="A95" s="1511" t="s">
        <v>1488</v>
      </c>
      <c r="B95" s="639">
        <v>4330</v>
      </c>
      <c r="C95" s="616"/>
      <c r="D95" s="616"/>
      <c r="E95" s="638"/>
      <c r="F95" s="616"/>
      <c r="G95" s="616"/>
      <c r="H95" s="467"/>
      <c r="I95" s="477"/>
      <c r="J95" s="477"/>
      <c r="K95" s="1675">
        <f t="shared" si="12"/>
        <v>0</v>
      </c>
      <c r="L95" s="530"/>
    </row>
    <row r="96" spans="1:12" ht="14.25" thickTop="1" thickBot="1" x14ac:dyDescent="0.25">
      <c r="A96" s="1511" t="s">
        <v>690</v>
      </c>
      <c r="B96" s="639">
        <v>4340</v>
      </c>
      <c r="C96" s="616"/>
      <c r="D96" s="616"/>
      <c r="E96" s="638"/>
      <c r="F96" s="616"/>
      <c r="G96" s="616"/>
      <c r="H96" s="467"/>
      <c r="I96" s="477"/>
      <c r="J96" s="477"/>
      <c r="K96" s="1675">
        <f t="shared" si="12"/>
        <v>0</v>
      </c>
      <c r="L96" s="530"/>
    </row>
    <row r="97" spans="1:14" ht="12.75" customHeight="1" thickTop="1" thickBot="1" x14ac:dyDescent="0.25">
      <c r="A97" s="1511" t="s">
        <v>763</v>
      </c>
      <c r="B97" s="639">
        <v>4370</v>
      </c>
      <c r="C97" s="616"/>
      <c r="D97" s="616"/>
      <c r="E97" s="638"/>
      <c r="F97" s="616"/>
      <c r="G97" s="616"/>
      <c r="H97" s="467"/>
      <c r="I97" s="477"/>
      <c r="J97" s="477"/>
      <c r="K97" s="1675">
        <f t="shared" si="12"/>
        <v>0</v>
      </c>
      <c r="L97" s="530"/>
    </row>
    <row r="98" spans="1:14" ht="14.25" thickTop="1" thickBot="1" x14ac:dyDescent="0.25">
      <c r="A98" s="1511" t="s">
        <v>764</v>
      </c>
      <c r="B98" s="639">
        <v>4380</v>
      </c>
      <c r="C98" s="616"/>
      <c r="D98" s="616"/>
      <c r="E98" s="642"/>
      <c r="F98" s="616"/>
      <c r="G98" s="616"/>
      <c r="H98" s="467"/>
      <c r="I98" s="477"/>
      <c r="J98" s="477"/>
      <c r="K98" s="1675">
        <f t="shared" si="12"/>
        <v>0</v>
      </c>
      <c r="L98" s="530"/>
    </row>
    <row r="99" spans="1:14" ht="14.25" thickTop="1" thickBot="1" x14ac:dyDescent="0.25">
      <c r="A99" s="1511"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86846</v>
      </c>
      <c r="F102" s="616"/>
      <c r="G102" s="616"/>
      <c r="H102" s="1675">
        <f>SUM(H84,H92,H100,H101)</f>
        <v>293336</v>
      </c>
      <c r="I102" s="477"/>
      <c r="J102" s="477"/>
      <c r="K102" s="1675">
        <f>SUM(K84,K92,K100,K101)</f>
        <v>380182</v>
      </c>
      <c r="L102" s="1675">
        <f>SUM(L84,L92,L100,L101)</f>
        <v>380183</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1170</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589</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7250729</v>
      </c>
      <c r="D114" s="1668">
        <f t="shared" ref="D114:K114" si="13">SUM(D33,D74,D75,D102,D112,D113)</f>
        <v>903738</v>
      </c>
      <c r="E114" s="1668">
        <f t="shared" si="13"/>
        <v>824506</v>
      </c>
      <c r="F114" s="1668">
        <f t="shared" si="13"/>
        <v>223773</v>
      </c>
      <c r="G114" s="1668">
        <f t="shared" si="13"/>
        <v>3147</v>
      </c>
      <c r="H114" s="1668">
        <f>SUM(H33,H74,H75,H102,H112,H113)</f>
        <v>356952</v>
      </c>
      <c r="I114" s="1668">
        <f t="shared" si="13"/>
        <v>0</v>
      </c>
      <c r="J114" s="1668">
        <f t="shared" si="13"/>
        <v>0</v>
      </c>
      <c r="K114" s="1668">
        <f t="shared" si="13"/>
        <v>9562845</v>
      </c>
      <c r="L114" s="1668">
        <f>SUM(L33,L74,L75,L102,L112,L113)</f>
        <v>9601325</v>
      </c>
    </row>
    <row r="115" spans="1:14" ht="13.5" thickTop="1" x14ac:dyDescent="0.2">
      <c r="A115" s="2234" t="s">
        <v>996</v>
      </c>
      <c r="B115" s="2235"/>
      <c r="C115" s="618"/>
      <c r="D115" s="618"/>
      <c r="E115" s="618"/>
      <c r="F115" s="618"/>
      <c r="G115" s="618"/>
      <c r="H115" s="618"/>
      <c r="I115" s="618"/>
      <c r="J115" s="618"/>
      <c r="K115" s="1682">
        <f>'Revenues 9-14'!C268-'Expenditures 15-22'!K114</f>
        <v>-542116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39" t="s">
        <v>296</v>
      </c>
      <c r="B117" s="2240"/>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2037</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f>116941+30473</f>
        <v>147414</v>
      </c>
      <c r="D124" s="466">
        <f>30+20095</f>
        <v>20125</v>
      </c>
      <c r="E124" s="466">
        <f>238+11506+12055+16365+18929+41623+25455+25-5053-2</f>
        <v>121141</v>
      </c>
      <c r="F124" s="466">
        <f>107392+4692+17880+193181+25456-9400-11727</f>
        <v>327474</v>
      </c>
      <c r="G124" s="466">
        <f>5053+11727+9400</f>
        <v>26180</v>
      </c>
      <c r="H124" s="466">
        <v>179</v>
      </c>
      <c r="I124" s="467"/>
      <c r="J124" s="467"/>
      <c r="K124" s="1668">
        <f>SUM(C124:J124)</f>
        <v>642513</v>
      </c>
      <c r="L124" s="466">
        <v>624494</v>
      </c>
    </row>
    <row r="125" spans="1:14" ht="14.25" thickTop="1" thickBot="1" x14ac:dyDescent="0.25">
      <c r="A125" s="1502" t="s">
        <v>953</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147414</v>
      </c>
      <c r="D127" s="1668">
        <f t="shared" ref="D127:L127" si="14">SUM(D122:D126)</f>
        <v>20125</v>
      </c>
      <c r="E127" s="1668">
        <f t="shared" si="14"/>
        <v>121141</v>
      </c>
      <c r="F127" s="1668">
        <f t="shared" si="14"/>
        <v>327474</v>
      </c>
      <c r="G127" s="1668">
        <f t="shared" si="14"/>
        <v>26180</v>
      </c>
      <c r="H127" s="1668">
        <f t="shared" si="14"/>
        <v>179</v>
      </c>
      <c r="I127" s="1668">
        <f t="shared" si="14"/>
        <v>0</v>
      </c>
      <c r="J127" s="1668">
        <f t="shared" si="14"/>
        <v>0</v>
      </c>
      <c r="K127" s="1668">
        <f t="shared" si="14"/>
        <v>642513</v>
      </c>
      <c r="L127" s="1668">
        <f t="shared" si="14"/>
        <v>624494</v>
      </c>
    </row>
    <row r="128" spans="1:14" ht="12.75" customHeight="1" thickTop="1" x14ac:dyDescent="0.2">
      <c r="A128" s="1509"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147414</v>
      </c>
      <c r="D129" s="1675">
        <f t="shared" ref="D129:L129" si="15">SUM(D120,D127,D128)</f>
        <v>20125</v>
      </c>
      <c r="E129" s="1675">
        <f t="shared" si="15"/>
        <v>121141</v>
      </c>
      <c r="F129" s="1675">
        <f t="shared" si="15"/>
        <v>327474</v>
      </c>
      <c r="G129" s="1675">
        <f t="shared" si="15"/>
        <v>26180</v>
      </c>
      <c r="H129" s="1675">
        <f t="shared" si="15"/>
        <v>179</v>
      </c>
      <c r="I129" s="1675">
        <f t="shared" si="15"/>
        <v>0</v>
      </c>
      <c r="J129" s="1675">
        <f t="shared" si="15"/>
        <v>0</v>
      </c>
      <c r="K129" s="1675">
        <f t="shared" si="15"/>
        <v>642513</v>
      </c>
      <c r="L129" s="1675">
        <f t="shared" si="15"/>
        <v>624494</v>
      </c>
    </row>
    <row r="130" spans="1:14" ht="15.75" customHeight="1" thickTop="1" thickBot="1" x14ac:dyDescent="0.25">
      <c r="A130" s="1608" t="s">
        <v>1036</v>
      </c>
      <c r="B130" s="1609" t="s">
        <v>575</v>
      </c>
      <c r="C130" s="576"/>
      <c r="D130" s="576"/>
      <c r="E130" s="576"/>
      <c r="F130" s="576"/>
      <c r="G130" s="576"/>
      <c r="H130" s="576"/>
      <c r="I130" s="531"/>
      <c r="J130" s="531"/>
      <c r="K130" s="1668">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9" t="s">
        <v>1824</v>
      </c>
      <c r="C133" s="468"/>
      <c r="D133" s="468"/>
      <c r="E133" s="641"/>
      <c r="F133" s="468"/>
      <c r="G133" s="468"/>
      <c r="H133" s="641"/>
      <c r="I133" s="468"/>
      <c r="J133" s="468"/>
      <c r="K133" s="1819">
        <f>SUM(E133,H133)</f>
        <v>0</v>
      </c>
      <c r="L133" s="641"/>
      <c r="M133" s="206"/>
      <c r="N133" s="206"/>
    </row>
    <row r="134" spans="1:14" x14ac:dyDescent="0.2">
      <c r="A134" s="1502" t="s">
        <v>304</v>
      </c>
      <c r="B134" s="614">
        <v>4120</v>
      </c>
      <c r="C134" s="616"/>
      <c r="D134" s="616"/>
      <c r="E134" s="478"/>
      <c r="F134" s="616"/>
      <c r="G134" s="616"/>
      <c r="H134" s="481"/>
      <c r="I134" s="477"/>
      <c r="J134" s="616"/>
      <c r="K134" s="1670">
        <f>SUM(E134,H134)</f>
        <v>0</v>
      </c>
      <c r="L134" s="481"/>
    </row>
    <row r="135" spans="1:14" x14ac:dyDescent="0.2">
      <c r="A135" s="1502" t="s">
        <v>697</v>
      </c>
      <c r="B135" s="614">
        <v>4140</v>
      </c>
      <c r="C135" s="616"/>
      <c r="D135" s="616"/>
      <c r="E135" s="467"/>
      <c r="F135" s="616"/>
      <c r="G135" s="616"/>
      <c r="H135" s="466"/>
      <c r="I135" s="477"/>
      <c r="J135" s="616"/>
      <c r="K135" s="1670">
        <f>SUM(E135,H135)</f>
        <v>0</v>
      </c>
      <c r="L135" s="466"/>
    </row>
    <row r="136" spans="1:14" x14ac:dyDescent="0.2">
      <c r="A136" s="1506"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1170</v>
      </c>
      <c r="B144" s="628" t="s">
        <v>617</v>
      </c>
      <c r="C144" s="616"/>
      <c r="D144" s="616"/>
      <c r="E144" s="616"/>
      <c r="F144" s="616"/>
      <c r="G144" s="616"/>
      <c r="H144" s="466"/>
      <c r="I144" s="468"/>
      <c r="J144" s="616"/>
      <c r="K144" s="1670">
        <f>SUM(H144)</f>
        <v>0</v>
      </c>
      <c r="L144" s="466"/>
    </row>
    <row r="145" spans="1:14" x14ac:dyDescent="0.2">
      <c r="A145" s="1502" t="s">
        <v>89</v>
      </c>
      <c r="B145" s="614" t="s">
        <v>589</v>
      </c>
      <c r="C145" s="616"/>
      <c r="D145" s="616"/>
      <c r="E145" s="616"/>
      <c r="F145" s="616"/>
      <c r="G145" s="616"/>
      <c r="H145" s="466"/>
      <c r="I145" s="468"/>
      <c r="J145" s="616"/>
      <c r="K145" s="1670">
        <f>SUM(H145)</f>
        <v>0</v>
      </c>
      <c r="L145" s="466"/>
    </row>
    <row r="146" spans="1:14" ht="12.75" customHeight="1" x14ac:dyDescent="0.2">
      <c r="A146" s="1502" t="s">
        <v>619</v>
      </c>
      <c r="B146" s="614" t="s">
        <v>618</v>
      </c>
      <c r="C146" s="616"/>
      <c r="D146" s="616"/>
      <c r="E146" s="616"/>
      <c r="F146" s="616"/>
      <c r="G146" s="616"/>
      <c r="H146" s="466"/>
      <c r="I146" s="468"/>
      <c r="J146" s="616"/>
      <c r="K146" s="1670">
        <f>SUM(H146)</f>
        <v>0</v>
      </c>
      <c r="L146" s="466"/>
    </row>
    <row r="147" spans="1:14" ht="12.75" customHeight="1" thickBot="1" x14ac:dyDescent="0.25">
      <c r="A147" s="1513"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5"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251" t="s">
        <v>620</v>
      </c>
      <c r="B151" s="2231"/>
      <c r="C151" s="1668">
        <f>SUM(C129,C130,C139,C149,C150)</f>
        <v>147414</v>
      </c>
      <c r="D151" s="1668">
        <f t="shared" ref="D151:K151" si="16">SUM(D129,D130,D139,D149,D150)</f>
        <v>20125</v>
      </c>
      <c r="E151" s="1668">
        <f t="shared" si="16"/>
        <v>121141</v>
      </c>
      <c r="F151" s="1668">
        <f t="shared" si="16"/>
        <v>327474</v>
      </c>
      <c r="G151" s="1668">
        <f t="shared" si="16"/>
        <v>26180</v>
      </c>
      <c r="H151" s="1668">
        <f t="shared" si="16"/>
        <v>179</v>
      </c>
      <c r="I151" s="1668">
        <f t="shared" si="16"/>
        <v>0</v>
      </c>
      <c r="J151" s="1668">
        <f t="shared" si="16"/>
        <v>0</v>
      </c>
      <c r="K151" s="1668">
        <f t="shared" si="16"/>
        <v>642513</v>
      </c>
      <c r="L151" s="1668">
        <f>SUM(L129,L130,L139,L149,L150)</f>
        <v>624494</v>
      </c>
    </row>
    <row r="152" spans="1:14" ht="12.75" customHeight="1" thickTop="1" x14ac:dyDescent="0.2">
      <c r="A152" s="2254" t="s">
        <v>1178</v>
      </c>
      <c r="B152" s="2255"/>
      <c r="C152" s="618"/>
      <c r="D152" s="618"/>
      <c r="E152" s="618"/>
      <c r="F152" s="618"/>
      <c r="G152" s="618"/>
      <c r="H152" s="618"/>
      <c r="I152" s="618"/>
      <c r="J152" s="616"/>
      <c r="K152" s="1682">
        <f>'Revenues 9-14'!D268-'Expenditures 15-22'!K151</f>
        <v>-40607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39" t="s">
        <v>621</v>
      </c>
      <c r="B154" s="2241"/>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1825</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1824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1826</v>
      </c>
      <c r="C158" s="616"/>
      <c r="D158" s="616"/>
      <c r="E158" s="616"/>
      <c r="F158" s="616"/>
      <c r="G158" s="616"/>
      <c r="H158" s="467"/>
      <c r="I158" s="616"/>
      <c r="J158" s="616"/>
      <c r="K158" s="1669">
        <f>H158</f>
        <v>0</v>
      </c>
      <c r="L158" s="467"/>
      <c r="M158" s="619"/>
      <c r="N158" s="619"/>
    </row>
    <row r="159" spans="1:14" s="620" customFormat="1" ht="12" x14ac:dyDescent="0.2">
      <c r="A159" s="1824" t="s">
        <v>1827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1828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1170</v>
      </c>
      <c r="B165" s="614" t="s">
        <v>617</v>
      </c>
      <c r="C165" s="616"/>
      <c r="D165" s="616"/>
      <c r="E165" s="616"/>
      <c r="F165" s="616"/>
      <c r="G165" s="616"/>
      <c r="H165" s="466"/>
      <c r="I165" s="616"/>
      <c r="J165" s="616"/>
      <c r="K165" s="1669">
        <f>SUM(C165:J165)</f>
        <v>0</v>
      </c>
      <c r="L165" s="466"/>
    </row>
    <row r="166" spans="1:14" x14ac:dyDescent="0.2">
      <c r="A166" s="1502" t="s">
        <v>89</v>
      </c>
      <c r="B166" s="628" t="s">
        <v>589</v>
      </c>
      <c r="C166" s="616"/>
      <c r="D166" s="616"/>
      <c r="E166" s="616"/>
      <c r="F166" s="616"/>
      <c r="G166" s="616"/>
      <c r="H166" s="466"/>
      <c r="I166" s="616"/>
      <c r="J166" s="616"/>
      <c r="K166" s="1669">
        <f>SUM(C166:J166)</f>
        <v>0</v>
      </c>
      <c r="L166" s="466"/>
    </row>
    <row r="167" spans="1:14" ht="12.75" customHeight="1" x14ac:dyDescent="0.2">
      <c r="A167" s="1502"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28280</v>
      </c>
      <c r="I169" s="616"/>
      <c r="J169" s="616"/>
      <c r="K169" s="1669">
        <f>SUM(C169:H169)</f>
        <v>28280</v>
      </c>
      <c r="L169" s="656">
        <v>28280</v>
      </c>
    </row>
    <row r="170" spans="1:14" ht="33.75" customHeight="1" x14ac:dyDescent="0.2">
      <c r="A170" s="669" t="s">
        <v>1670</v>
      </c>
      <c r="B170" s="671" t="s">
        <v>31</v>
      </c>
      <c r="C170" s="616"/>
      <c r="D170" s="616"/>
      <c r="E170" s="616"/>
      <c r="F170" s="616"/>
      <c r="G170" s="616"/>
      <c r="H170" s="569">
        <v>765000</v>
      </c>
      <c r="I170" s="616"/>
      <c r="J170" s="616"/>
      <c r="K170" s="1669">
        <f>SUM(C170:J170)</f>
        <v>765000</v>
      </c>
      <c r="L170" s="569">
        <v>765000</v>
      </c>
    </row>
    <row r="171" spans="1:14" ht="15.75" customHeight="1" x14ac:dyDescent="0.2">
      <c r="A171" s="621" t="s">
        <v>766</v>
      </c>
      <c r="B171" s="672" t="s">
        <v>84</v>
      </c>
      <c r="C171" s="616"/>
      <c r="D171" s="616"/>
      <c r="E171" s="466"/>
      <c r="F171" s="616"/>
      <c r="G171" s="616"/>
      <c r="H171" s="569"/>
      <c r="I171" s="477"/>
      <c r="J171" s="616"/>
      <c r="K171" s="1669">
        <f>SUM(C171:J171)</f>
        <v>0</v>
      </c>
      <c r="L171" s="569"/>
    </row>
    <row r="172" spans="1:14" ht="12.75" customHeight="1" thickBot="1" x14ac:dyDescent="0.25">
      <c r="A172" s="1666" t="s">
        <v>638</v>
      </c>
      <c r="B172" s="1667" t="s">
        <v>492</v>
      </c>
      <c r="C172" s="616"/>
      <c r="D172" s="616"/>
      <c r="E172" s="1675">
        <f>SUM(E168,E169,E170,E171)</f>
        <v>0</v>
      </c>
      <c r="F172" s="616"/>
      <c r="G172" s="616"/>
      <c r="H172" s="1675">
        <f>SUM(H168,H169,H170,H171)</f>
        <v>793280</v>
      </c>
      <c r="I172" s="638"/>
      <c r="J172" s="616"/>
      <c r="K172" s="1675">
        <f>SUM(K168,K169,K170,K171)</f>
        <v>793280</v>
      </c>
      <c r="L172" s="1675">
        <f>SUM(L168,L169,L170,L171)</f>
        <v>793280</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793280</v>
      </c>
      <c r="I174" s="638"/>
      <c r="J174" s="616"/>
      <c r="K174" s="1675">
        <f>SUM(K160,K172,K173)</f>
        <v>793280</v>
      </c>
      <c r="L174" s="1675">
        <f>SUM(L160,L172,L173)</f>
        <v>793280</v>
      </c>
    </row>
    <row r="175" spans="1:14" ht="13.5" thickTop="1" x14ac:dyDescent="0.2">
      <c r="A175" s="2234" t="s">
        <v>996</v>
      </c>
      <c r="B175" s="2235"/>
      <c r="C175" s="616"/>
      <c r="D175" s="616"/>
      <c r="E175" s="616"/>
      <c r="F175" s="616"/>
      <c r="G175" s="616"/>
      <c r="H175" s="618"/>
      <c r="I175" s="616"/>
      <c r="J175" s="616"/>
      <c r="K175" s="1682">
        <f>'Revenues 9-14'!E268-'Expenditures 15-22'!K174</f>
        <v>-175579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2037</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c r="D182" s="466"/>
      <c r="E182" s="466">
        <v>8695</v>
      </c>
      <c r="F182" s="466"/>
      <c r="G182" s="466"/>
      <c r="H182" s="466"/>
      <c r="I182" s="467"/>
      <c r="J182" s="467"/>
      <c r="K182" s="1669">
        <f>SUM(C182:J182)</f>
        <v>8695</v>
      </c>
      <c r="L182" s="466">
        <v>8695</v>
      </c>
    </row>
    <row r="183" spans="1:14" ht="12.75" customHeight="1" thickBot="1" x14ac:dyDescent="0.25">
      <c r="A183" s="1507"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0</v>
      </c>
      <c r="D184" s="1675">
        <f t="shared" ref="D184:J184" si="17">SUM(D180,D182,D183)</f>
        <v>0</v>
      </c>
      <c r="E184" s="1675">
        <f t="shared" si="17"/>
        <v>8695</v>
      </c>
      <c r="F184" s="1675">
        <f t="shared" si="17"/>
        <v>0</v>
      </c>
      <c r="G184" s="1675">
        <f t="shared" si="17"/>
        <v>0</v>
      </c>
      <c r="H184" s="1675">
        <f t="shared" si="17"/>
        <v>0</v>
      </c>
      <c r="I184" s="1675">
        <f t="shared" si="17"/>
        <v>0</v>
      </c>
      <c r="J184" s="1675">
        <f t="shared" si="17"/>
        <v>0</v>
      </c>
      <c r="K184" s="1675">
        <f>SUM(K180,K182,K183)</f>
        <v>8695</v>
      </c>
      <c r="L184" s="1675">
        <f>SUM(L180, L182:L183)</f>
        <v>8695</v>
      </c>
    </row>
    <row r="185" spans="1:14" ht="15.75" customHeight="1" thickTop="1" thickBot="1" x14ac:dyDescent="0.25">
      <c r="A185" s="1620" t="s">
        <v>939</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v>497922</v>
      </c>
      <c r="F188" s="616"/>
      <c r="G188" s="616"/>
      <c r="H188" s="466"/>
      <c r="I188" s="477"/>
      <c r="J188" s="616"/>
      <c r="K188" s="1669">
        <f t="shared" ref="K188:K193" si="18">SUM(E188,H188)</f>
        <v>497922</v>
      </c>
      <c r="L188" s="466">
        <v>497361</v>
      </c>
    </row>
    <row r="189" spans="1:14" x14ac:dyDescent="0.2">
      <c r="A189" s="1502" t="s">
        <v>304</v>
      </c>
      <c r="B189" s="614">
        <v>4120</v>
      </c>
      <c r="C189" s="616"/>
      <c r="D189" s="616"/>
      <c r="E189" s="466">
        <v>241267</v>
      </c>
      <c r="F189" s="616"/>
      <c r="G189" s="616"/>
      <c r="H189" s="466"/>
      <c r="I189" s="477"/>
      <c r="J189" s="616"/>
      <c r="K189" s="1669">
        <f t="shared" si="18"/>
        <v>241267</v>
      </c>
      <c r="L189" s="466">
        <v>269700</v>
      </c>
    </row>
    <row r="190" spans="1:14" x14ac:dyDescent="0.2">
      <c r="A190" s="1502" t="s">
        <v>305</v>
      </c>
      <c r="B190" s="628">
        <v>4130</v>
      </c>
      <c r="C190" s="616"/>
      <c r="D190" s="616"/>
      <c r="E190" s="466"/>
      <c r="F190" s="616"/>
      <c r="G190" s="616"/>
      <c r="H190" s="466"/>
      <c r="I190" s="477"/>
      <c r="J190" s="616"/>
      <c r="K190" s="1669">
        <f t="shared" si="18"/>
        <v>0</v>
      </c>
      <c r="L190" s="466"/>
    </row>
    <row r="191" spans="1:14" x14ac:dyDescent="0.2">
      <c r="A191" s="1502" t="s">
        <v>697</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739189</v>
      </c>
      <c r="F194" s="616"/>
      <c r="G194" s="616"/>
      <c r="H194" s="1668">
        <f>SUM(H188:H193)</f>
        <v>0</v>
      </c>
      <c r="I194" s="477"/>
      <c r="J194" s="616"/>
      <c r="K194" s="1668">
        <f>SUM(K188:K193)</f>
        <v>739189</v>
      </c>
      <c r="L194" s="1668">
        <f>SUM(L188:L193)</f>
        <v>767061</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739189</v>
      </c>
      <c r="F196" s="616"/>
      <c r="G196" s="616"/>
      <c r="H196" s="1675">
        <f>SUM(H194,H195)</f>
        <v>0</v>
      </c>
      <c r="I196" s="477"/>
      <c r="J196" s="616"/>
      <c r="K196" s="1675">
        <f>SUM(K194,K195)</f>
        <v>739189</v>
      </c>
      <c r="L196" s="1675">
        <f>SUM(L194,L195)</f>
        <v>767061</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1170</v>
      </c>
      <c r="B201" s="628" t="s">
        <v>617</v>
      </c>
      <c r="C201" s="616"/>
      <c r="D201" s="616"/>
      <c r="E201" s="616"/>
      <c r="F201" s="616"/>
      <c r="G201" s="616"/>
      <c r="H201" s="466"/>
      <c r="I201" s="616"/>
      <c r="J201" s="616"/>
      <c r="K201" s="1669">
        <f>SUM(H201)</f>
        <v>0</v>
      </c>
      <c r="L201" s="466"/>
    </row>
    <row r="202" spans="1:14" x14ac:dyDescent="0.2">
      <c r="A202" s="1502" t="s">
        <v>89</v>
      </c>
      <c r="B202" s="614" t="s">
        <v>589</v>
      </c>
      <c r="C202" s="616"/>
      <c r="D202" s="616"/>
      <c r="E202" s="616"/>
      <c r="F202" s="616"/>
      <c r="G202" s="616"/>
      <c r="H202" s="466"/>
      <c r="I202" s="616"/>
      <c r="J202" s="616"/>
      <c r="K202" s="1669">
        <f>SUM(H202)</f>
        <v>0</v>
      </c>
      <c r="L202" s="466"/>
    </row>
    <row r="203" spans="1:14" x14ac:dyDescent="0.2">
      <c r="A203" s="1514"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0</v>
      </c>
      <c r="D210" s="1668">
        <f>SUM(D184,D185)</f>
        <v>0</v>
      </c>
      <c r="E210" s="1668">
        <f>SUM(E184,E185,E196)</f>
        <v>747884</v>
      </c>
      <c r="F210" s="1668">
        <f>SUM(F184,F185)</f>
        <v>0</v>
      </c>
      <c r="G210" s="1668">
        <f>SUM(G184,G185)</f>
        <v>0</v>
      </c>
      <c r="H210" s="1668">
        <f>SUM(H184,H185,H196,H208,H209)</f>
        <v>0</v>
      </c>
      <c r="I210" s="1668">
        <f>SUM(I184,I185)</f>
        <v>0</v>
      </c>
      <c r="J210" s="1668">
        <f>SUM(J184,J185)</f>
        <v>0</v>
      </c>
      <c r="K210" s="1669">
        <f>SUM(K184,K185,K196,K208,K209)</f>
        <v>747884</v>
      </c>
      <c r="L210" s="1668">
        <f>SUM(L184,L185,L196,L208,L209)</f>
        <v>775756</v>
      </c>
    </row>
    <row r="211" spans="1:14" ht="13.5" thickTop="1" x14ac:dyDescent="0.2">
      <c r="A211" s="2234" t="s">
        <v>996</v>
      </c>
      <c r="B211" s="2235"/>
      <c r="C211" s="618"/>
      <c r="D211" s="618"/>
      <c r="E211" s="618"/>
      <c r="F211" s="618"/>
      <c r="G211" s="618"/>
      <c r="H211" s="618"/>
      <c r="I211" s="616"/>
      <c r="J211" s="616"/>
      <c r="K211" s="1682">
        <f>'Revenues 9-14'!F268-'Expenditures 15-22'!K210</f>
        <v>-93221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56" t="s">
        <v>965</v>
      </c>
      <c r="B213" s="2257"/>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f>2865+51882</f>
        <v>54747</v>
      </c>
      <c r="E215" s="616"/>
      <c r="F215" s="616"/>
      <c r="G215" s="616"/>
      <c r="H215" s="616"/>
      <c r="I215" s="616"/>
      <c r="J215" s="616"/>
      <c r="K215" s="1669">
        <f>D215</f>
        <v>54747</v>
      </c>
      <c r="L215" s="466">
        <v>54209</v>
      </c>
    </row>
    <row r="216" spans="1:14" x14ac:dyDescent="0.2">
      <c r="A216" s="1502" t="s">
        <v>163</v>
      </c>
      <c r="B216" s="614" t="s">
        <v>967</v>
      </c>
      <c r="C216" s="616"/>
      <c r="D216" s="467">
        <f>3078+4323</f>
        <v>7401</v>
      </c>
      <c r="E216" s="616"/>
      <c r="F216" s="616"/>
      <c r="G216" s="616"/>
      <c r="H216" s="616"/>
      <c r="I216" s="616"/>
      <c r="J216" s="616"/>
      <c r="K216" s="1669">
        <f t="shared" ref="K216:K228" si="19">D216</f>
        <v>7401</v>
      </c>
      <c r="L216" s="466">
        <v>7787</v>
      </c>
    </row>
    <row r="217" spans="1:14" x14ac:dyDescent="0.2">
      <c r="A217" s="1502" t="s">
        <v>164</v>
      </c>
      <c r="B217" s="614">
        <v>1200</v>
      </c>
      <c r="C217" s="616"/>
      <c r="D217" s="466">
        <f>36731+46938</f>
        <v>83669</v>
      </c>
      <c r="E217" s="616"/>
      <c r="F217" s="616"/>
      <c r="G217" s="616"/>
      <c r="H217" s="616"/>
      <c r="I217" s="616"/>
      <c r="J217" s="616"/>
      <c r="K217" s="1669">
        <f t="shared" si="19"/>
        <v>83669</v>
      </c>
      <c r="L217" s="466">
        <v>86478</v>
      </c>
    </row>
    <row r="218" spans="1:14" x14ac:dyDescent="0.2">
      <c r="A218" s="1502" t="s">
        <v>278</v>
      </c>
      <c r="B218" s="614" t="s">
        <v>968</v>
      </c>
      <c r="C218" s="616"/>
      <c r="D218" s="467"/>
      <c r="E218" s="616"/>
      <c r="F218" s="616"/>
      <c r="G218" s="616"/>
      <c r="H218" s="616"/>
      <c r="I218" s="616"/>
      <c r="J218" s="616"/>
      <c r="K218" s="1669">
        <f t="shared" si="19"/>
        <v>0</v>
      </c>
      <c r="L218" s="466"/>
    </row>
    <row r="219" spans="1:14" x14ac:dyDescent="0.2">
      <c r="A219" s="1502" t="s">
        <v>279</v>
      </c>
      <c r="B219" s="614">
        <v>1250</v>
      </c>
      <c r="C219" s="616"/>
      <c r="D219" s="466">
        <f>15445+13450</f>
        <v>28895</v>
      </c>
      <c r="E219" s="616"/>
      <c r="F219" s="616"/>
      <c r="G219" s="616"/>
      <c r="H219" s="616"/>
      <c r="I219" s="616"/>
      <c r="J219" s="616"/>
      <c r="K219" s="1669">
        <f t="shared" si="19"/>
        <v>28895</v>
      </c>
      <c r="L219" s="466">
        <v>21211</v>
      </c>
    </row>
    <row r="220" spans="1:14" x14ac:dyDescent="0.2">
      <c r="A220" s="1502" t="s">
        <v>280</v>
      </c>
      <c r="B220" s="614" t="s">
        <v>161</v>
      </c>
      <c r="C220" s="616"/>
      <c r="D220" s="467"/>
      <c r="E220" s="616"/>
      <c r="F220" s="616"/>
      <c r="G220" s="616"/>
      <c r="H220" s="616"/>
      <c r="I220" s="616"/>
      <c r="J220" s="616"/>
      <c r="K220" s="1669">
        <f t="shared" si="19"/>
        <v>0</v>
      </c>
      <c r="L220" s="466"/>
    </row>
    <row r="221" spans="1:14" x14ac:dyDescent="0.2">
      <c r="A221" s="1502" t="s">
        <v>962</v>
      </c>
      <c r="B221" s="614">
        <v>1300</v>
      </c>
      <c r="C221" s="616"/>
      <c r="D221" s="466"/>
      <c r="E221" s="616"/>
      <c r="F221" s="616"/>
      <c r="G221" s="616"/>
      <c r="H221" s="616"/>
      <c r="I221" s="616"/>
      <c r="J221" s="616"/>
      <c r="K221" s="1669">
        <f t="shared" si="19"/>
        <v>0</v>
      </c>
      <c r="L221" s="466"/>
    </row>
    <row r="222" spans="1:14" x14ac:dyDescent="0.2">
      <c r="A222" s="1502" t="s">
        <v>723</v>
      </c>
      <c r="B222" s="614">
        <v>1400</v>
      </c>
      <c r="C222" s="616"/>
      <c r="D222" s="466"/>
      <c r="E222" s="616"/>
      <c r="F222" s="616"/>
      <c r="G222" s="616"/>
      <c r="H222" s="616"/>
      <c r="I222" s="616"/>
      <c r="J222" s="616"/>
      <c r="K222" s="1669">
        <f t="shared" si="19"/>
        <v>0</v>
      </c>
      <c r="L222" s="466"/>
    </row>
    <row r="223" spans="1:14" x14ac:dyDescent="0.2">
      <c r="A223" s="1502" t="s">
        <v>963</v>
      </c>
      <c r="B223" s="614">
        <v>1500</v>
      </c>
      <c r="C223" s="616"/>
      <c r="D223" s="466">
        <f>975+160</f>
        <v>1135</v>
      </c>
      <c r="E223" s="616"/>
      <c r="F223" s="616"/>
      <c r="G223" s="616"/>
      <c r="H223" s="616"/>
      <c r="I223" s="616"/>
      <c r="J223" s="616"/>
      <c r="K223" s="1669">
        <f t="shared" si="19"/>
        <v>1135</v>
      </c>
      <c r="L223" s="466">
        <v>1133</v>
      </c>
    </row>
    <row r="224" spans="1:14" x14ac:dyDescent="0.2">
      <c r="A224" s="1502" t="s">
        <v>964</v>
      </c>
      <c r="B224" s="614">
        <v>1600</v>
      </c>
      <c r="C224" s="616"/>
      <c r="D224" s="466"/>
      <c r="E224" s="616"/>
      <c r="F224" s="616"/>
      <c r="G224" s="616"/>
      <c r="H224" s="616"/>
      <c r="I224" s="616"/>
      <c r="J224" s="616"/>
      <c r="K224" s="1669">
        <f t="shared" si="19"/>
        <v>0</v>
      </c>
      <c r="L224" s="466"/>
    </row>
    <row r="225" spans="1:12" x14ac:dyDescent="0.2">
      <c r="A225" s="1502" t="s">
        <v>987</v>
      </c>
      <c r="B225" s="614">
        <v>1650</v>
      </c>
      <c r="C225" s="616"/>
      <c r="D225" s="466">
        <v>1344</v>
      </c>
      <c r="E225" s="616"/>
      <c r="F225" s="616"/>
      <c r="G225" s="616"/>
      <c r="H225" s="616"/>
      <c r="I225" s="616"/>
      <c r="J225" s="616"/>
      <c r="K225" s="1669">
        <f t="shared" si="19"/>
        <v>1344</v>
      </c>
      <c r="L225" s="466">
        <v>1344</v>
      </c>
    </row>
    <row r="226" spans="1:12" x14ac:dyDescent="0.2">
      <c r="A226" s="1502" t="s">
        <v>724</v>
      </c>
      <c r="B226" s="614" t="s">
        <v>162</v>
      </c>
      <c r="C226" s="616"/>
      <c r="D226" s="467"/>
      <c r="E226" s="616"/>
      <c r="F226" s="616"/>
      <c r="G226" s="616"/>
      <c r="H226" s="616"/>
      <c r="I226" s="616"/>
      <c r="J226" s="616"/>
      <c r="K226" s="1669">
        <f t="shared" si="19"/>
        <v>0</v>
      </c>
      <c r="L226" s="466"/>
    </row>
    <row r="227" spans="1:12" x14ac:dyDescent="0.2">
      <c r="A227" s="1502" t="s">
        <v>1087</v>
      </c>
      <c r="B227" s="614">
        <v>1800</v>
      </c>
      <c r="C227" s="616"/>
      <c r="D227" s="466"/>
      <c r="E227" s="616"/>
      <c r="F227" s="616"/>
      <c r="G227" s="616"/>
      <c r="H227" s="616"/>
      <c r="I227" s="616"/>
      <c r="J227" s="616"/>
      <c r="K227" s="1669">
        <f t="shared" si="19"/>
        <v>0</v>
      </c>
      <c r="L227" s="466"/>
    </row>
    <row r="228" spans="1:12" x14ac:dyDescent="0.2">
      <c r="A228" s="1502"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177191</v>
      </c>
      <c r="E229" s="616"/>
      <c r="F229" s="616"/>
      <c r="G229" s="616"/>
      <c r="H229" s="616"/>
      <c r="I229" s="616"/>
      <c r="J229" s="616"/>
      <c r="K229" s="1668">
        <f>SUM(K215:K228)</f>
        <v>177191</v>
      </c>
      <c r="L229" s="1668">
        <f>SUM(L215:L228)</f>
        <v>172162</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2232</v>
      </c>
      <c r="E232" s="616"/>
      <c r="F232" s="616"/>
      <c r="G232" s="616"/>
      <c r="H232" s="616"/>
      <c r="I232" s="616"/>
      <c r="J232" s="616"/>
      <c r="K232" s="1669">
        <f t="shared" ref="K232:K237" si="20">D232</f>
        <v>2232</v>
      </c>
      <c r="L232" s="466">
        <v>2180</v>
      </c>
    </row>
    <row r="233" spans="1:12" x14ac:dyDescent="0.2">
      <c r="A233" s="1502" t="s">
        <v>1090</v>
      </c>
      <c r="B233" s="614">
        <v>2120</v>
      </c>
      <c r="C233" s="616"/>
      <c r="D233" s="466"/>
      <c r="E233" s="616"/>
      <c r="F233" s="616"/>
      <c r="G233" s="616"/>
      <c r="H233" s="616"/>
      <c r="I233" s="616"/>
      <c r="J233" s="616"/>
      <c r="K233" s="1669">
        <f t="shared" si="20"/>
        <v>0</v>
      </c>
      <c r="L233" s="466"/>
    </row>
    <row r="234" spans="1:12" x14ac:dyDescent="0.2">
      <c r="A234" s="1502" t="s">
        <v>198</v>
      </c>
      <c r="B234" s="614">
        <v>2130</v>
      </c>
      <c r="C234" s="616"/>
      <c r="D234" s="466">
        <f>4775+5347</f>
        <v>10122</v>
      </c>
      <c r="E234" s="616"/>
      <c r="F234" s="616"/>
      <c r="G234" s="616"/>
      <c r="H234" s="616"/>
      <c r="I234" s="616"/>
      <c r="J234" s="616"/>
      <c r="K234" s="1669">
        <f t="shared" si="20"/>
        <v>10122</v>
      </c>
      <c r="L234" s="466">
        <v>10529</v>
      </c>
    </row>
    <row r="235" spans="1:12" x14ac:dyDescent="0.2">
      <c r="A235" s="1502" t="s">
        <v>199</v>
      </c>
      <c r="B235" s="614">
        <v>2140</v>
      </c>
      <c r="C235" s="616"/>
      <c r="D235" s="466">
        <v>919</v>
      </c>
      <c r="E235" s="616"/>
      <c r="F235" s="616"/>
      <c r="G235" s="616"/>
      <c r="H235" s="616"/>
      <c r="I235" s="616"/>
      <c r="J235" s="616"/>
      <c r="K235" s="1669">
        <f t="shared" si="20"/>
        <v>919</v>
      </c>
      <c r="L235" s="466">
        <v>1034</v>
      </c>
    </row>
    <row r="236" spans="1:12" x14ac:dyDescent="0.2">
      <c r="A236" s="1502" t="s">
        <v>200</v>
      </c>
      <c r="B236" s="614">
        <v>2150</v>
      </c>
      <c r="C236" s="616"/>
      <c r="D236" s="466">
        <v>3983</v>
      </c>
      <c r="E236" s="616"/>
      <c r="F236" s="616"/>
      <c r="G236" s="616"/>
      <c r="H236" s="616"/>
      <c r="I236" s="616"/>
      <c r="J236" s="616"/>
      <c r="K236" s="1669">
        <f t="shared" si="20"/>
        <v>3983</v>
      </c>
      <c r="L236" s="466">
        <v>4587</v>
      </c>
    </row>
    <row r="237" spans="1:12" x14ac:dyDescent="0.2">
      <c r="A237" s="1502"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17256</v>
      </c>
      <c r="E238" s="616"/>
      <c r="F238" s="616"/>
      <c r="G238" s="616"/>
      <c r="H238" s="616"/>
      <c r="I238" s="616"/>
      <c r="J238" s="616"/>
      <c r="K238" s="1668">
        <f>SUM(K232:K237)</f>
        <v>17256</v>
      </c>
      <c r="L238" s="1668">
        <f>SUM(L232:L237)</f>
        <v>18330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f>2817+3673</f>
        <v>6490</v>
      </c>
      <c r="E240" s="616"/>
      <c r="F240" s="616"/>
      <c r="G240" s="616"/>
      <c r="H240" s="616"/>
      <c r="I240" s="616"/>
      <c r="J240" s="616"/>
      <c r="K240" s="1670">
        <f>D240</f>
        <v>6490</v>
      </c>
      <c r="L240" s="481">
        <v>6820</v>
      </c>
    </row>
    <row r="241" spans="1:12" x14ac:dyDescent="0.2">
      <c r="A241" s="1502" t="s">
        <v>815</v>
      </c>
      <c r="B241" s="614">
        <v>2220</v>
      </c>
      <c r="C241" s="616"/>
      <c r="D241" s="466"/>
      <c r="E241" s="616"/>
      <c r="F241" s="616"/>
      <c r="G241" s="616"/>
      <c r="H241" s="616"/>
      <c r="I241" s="616"/>
      <c r="J241" s="616"/>
      <c r="K241" s="1670">
        <f>D241</f>
        <v>0</v>
      </c>
      <c r="L241" s="466"/>
    </row>
    <row r="242" spans="1:12" x14ac:dyDescent="0.2">
      <c r="A242" s="1502"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6490</v>
      </c>
      <c r="E243" s="616"/>
      <c r="F243" s="616"/>
      <c r="G243" s="616"/>
      <c r="H243" s="616"/>
      <c r="I243" s="616"/>
      <c r="J243" s="616"/>
      <c r="K243" s="1668">
        <f>SUM(K240:K242)</f>
        <v>6490</v>
      </c>
      <c r="L243" s="1668">
        <f>SUM(L240:L242)</f>
        <v>6820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f>78+87+115</f>
        <v>280</v>
      </c>
      <c r="E245" s="616"/>
      <c r="F245" s="616"/>
      <c r="G245" s="616"/>
      <c r="H245" s="616"/>
      <c r="I245" s="616"/>
      <c r="J245" s="616"/>
      <c r="K245" s="1670">
        <f>D245</f>
        <v>280</v>
      </c>
      <c r="L245" s="481">
        <v>291</v>
      </c>
    </row>
    <row r="246" spans="1:12" x14ac:dyDescent="0.2">
      <c r="A246" s="1502" t="s">
        <v>818</v>
      </c>
      <c r="B246" s="614">
        <v>2320</v>
      </c>
      <c r="C246" s="616"/>
      <c r="D246" s="466">
        <f>2880+1118</f>
        <v>3998</v>
      </c>
      <c r="E246" s="616"/>
      <c r="F246" s="616"/>
      <c r="G246" s="616"/>
      <c r="H246" s="616"/>
      <c r="I246" s="616"/>
      <c r="J246" s="616"/>
      <c r="K246" s="1670">
        <f t="shared" ref="K246:K256" si="21">D246</f>
        <v>3998</v>
      </c>
      <c r="L246" s="466">
        <v>3986</v>
      </c>
    </row>
    <row r="247" spans="1:12" x14ac:dyDescent="0.2">
      <c r="A247" s="1502" t="s">
        <v>819</v>
      </c>
      <c r="B247" s="614">
        <v>2330</v>
      </c>
      <c r="C247" s="616"/>
      <c r="D247" s="466">
        <v>245</v>
      </c>
      <c r="E247" s="616"/>
      <c r="F247" s="616"/>
      <c r="G247" s="616"/>
      <c r="H247" s="616"/>
      <c r="I247" s="616"/>
      <c r="J247" s="616"/>
      <c r="K247" s="1670">
        <f t="shared" si="21"/>
        <v>245</v>
      </c>
      <c r="L247" s="466">
        <v>259</v>
      </c>
    </row>
    <row r="248" spans="1:12" x14ac:dyDescent="0.2">
      <c r="A248" s="1503" t="s">
        <v>299</v>
      </c>
      <c r="B248" s="602" t="s">
        <v>281</v>
      </c>
      <c r="C248" s="616"/>
      <c r="D248" s="474"/>
      <c r="E248" s="616"/>
      <c r="F248" s="616"/>
      <c r="G248" s="616"/>
      <c r="H248" s="616"/>
      <c r="I248" s="616"/>
      <c r="J248" s="616"/>
      <c r="K248" s="1670">
        <f t="shared" si="21"/>
        <v>0</v>
      </c>
      <c r="L248" s="466"/>
    </row>
    <row r="249" spans="1:12" x14ac:dyDescent="0.2">
      <c r="A249" s="1504" t="s">
        <v>1785</v>
      </c>
      <c r="B249" s="683" t="s">
        <v>282</v>
      </c>
      <c r="C249" s="616"/>
      <c r="D249" s="474"/>
      <c r="E249" s="616"/>
      <c r="F249" s="616"/>
      <c r="G249" s="616"/>
      <c r="H249" s="616"/>
      <c r="I249" s="616"/>
      <c r="J249" s="616"/>
      <c r="K249" s="1670">
        <f t="shared" si="21"/>
        <v>0</v>
      </c>
      <c r="L249" s="466"/>
    </row>
    <row r="250" spans="1:12" x14ac:dyDescent="0.2">
      <c r="A250" s="1503" t="s">
        <v>1786</v>
      </c>
      <c r="B250" s="602" t="s">
        <v>283</v>
      </c>
      <c r="C250" s="616"/>
      <c r="D250" s="474"/>
      <c r="E250" s="616"/>
      <c r="F250" s="616"/>
      <c r="G250" s="616"/>
      <c r="H250" s="616"/>
      <c r="I250" s="616"/>
      <c r="J250" s="616"/>
      <c r="K250" s="1670">
        <f t="shared" si="21"/>
        <v>0</v>
      </c>
      <c r="L250" s="466"/>
    </row>
    <row r="251" spans="1:12" x14ac:dyDescent="0.2">
      <c r="A251" s="1503" t="s">
        <v>238</v>
      </c>
      <c r="B251" s="602" t="s">
        <v>284</v>
      </c>
      <c r="C251" s="616"/>
      <c r="D251" s="474"/>
      <c r="E251" s="616"/>
      <c r="F251" s="616"/>
      <c r="G251" s="616"/>
      <c r="H251" s="616"/>
      <c r="I251" s="616"/>
      <c r="J251" s="616"/>
      <c r="K251" s="1670">
        <f t="shared" si="21"/>
        <v>0</v>
      </c>
      <c r="L251" s="466"/>
    </row>
    <row r="252" spans="1:12" x14ac:dyDescent="0.2">
      <c r="A252" s="1503" t="s">
        <v>702</v>
      </c>
      <c r="B252" s="602" t="s">
        <v>285</v>
      </c>
      <c r="C252" s="616"/>
      <c r="D252" s="474"/>
      <c r="E252" s="616"/>
      <c r="F252" s="616"/>
      <c r="G252" s="616"/>
      <c r="H252" s="616"/>
      <c r="I252" s="616"/>
      <c r="J252" s="616"/>
      <c r="K252" s="1670">
        <f t="shared" si="21"/>
        <v>0</v>
      </c>
      <c r="L252" s="466"/>
    </row>
    <row r="253" spans="1:12" x14ac:dyDescent="0.2">
      <c r="A253" s="1503" t="s">
        <v>239</v>
      </c>
      <c r="B253" s="602" t="s">
        <v>286</v>
      </c>
      <c r="C253" s="616"/>
      <c r="D253" s="474"/>
      <c r="E253" s="616"/>
      <c r="F253" s="616"/>
      <c r="G253" s="616"/>
      <c r="H253" s="616"/>
      <c r="I253" s="616"/>
      <c r="J253" s="616"/>
      <c r="K253" s="1670">
        <f t="shared" si="21"/>
        <v>0</v>
      </c>
      <c r="L253" s="466"/>
    </row>
    <row r="254" spans="1:12" ht="22.5" x14ac:dyDescent="0.2">
      <c r="A254" s="1503" t="s">
        <v>1029</v>
      </c>
      <c r="B254" s="683" t="s">
        <v>287</v>
      </c>
      <c r="C254" s="616"/>
      <c r="D254" s="474">
        <f>27354+33051</f>
        <v>60405</v>
      </c>
      <c r="E254" s="616"/>
      <c r="F254" s="616"/>
      <c r="G254" s="616"/>
      <c r="H254" s="616"/>
      <c r="I254" s="616"/>
      <c r="J254" s="616"/>
      <c r="K254" s="1670">
        <f t="shared" si="21"/>
        <v>60405</v>
      </c>
      <c r="L254" s="466">
        <v>63759</v>
      </c>
    </row>
    <row r="255" spans="1:12" x14ac:dyDescent="0.2">
      <c r="A255" s="1503" t="s">
        <v>1030</v>
      </c>
      <c r="B255" s="602" t="s">
        <v>288</v>
      </c>
      <c r="C255" s="616"/>
      <c r="D255" s="474"/>
      <c r="E255" s="616"/>
      <c r="F255" s="616"/>
      <c r="G255" s="616"/>
      <c r="H255" s="616"/>
      <c r="I255" s="616"/>
      <c r="J255" s="616"/>
      <c r="K255" s="1670">
        <f t="shared" si="21"/>
        <v>0</v>
      </c>
      <c r="L255" s="466"/>
    </row>
    <row r="256" spans="1:12" x14ac:dyDescent="0.2">
      <c r="A256" s="1503"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64928</v>
      </c>
      <c r="E257" s="616"/>
      <c r="F257" s="616"/>
      <c r="G257" s="616"/>
      <c r="H257" s="616"/>
      <c r="I257" s="616"/>
      <c r="J257" s="616"/>
      <c r="K257" s="1668">
        <f>SUM(K245:K256)</f>
        <v>64928</v>
      </c>
      <c r="L257" s="1668">
        <f>SUM(L245:L256)</f>
        <v>68295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f>10060+9031</f>
        <v>19091</v>
      </c>
      <c r="E259" s="616"/>
      <c r="F259" s="616"/>
      <c r="G259" s="616"/>
      <c r="H259" s="616"/>
      <c r="I259" s="616"/>
      <c r="J259" s="616"/>
      <c r="K259" s="1670">
        <f>D259</f>
        <v>19091</v>
      </c>
      <c r="L259" s="481">
        <v>19535</v>
      </c>
    </row>
    <row r="260" spans="1:14" s="597" customFormat="1" x14ac:dyDescent="0.2">
      <c r="A260" s="1520" t="s">
        <v>1784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19091</v>
      </c>
      <c r="E261" s="616"/>
      <c r="F261" s="616"/>
      <c r="G261" s="616"/>
      <c r="H261" s="616"/>
      <c r="I261" s="616"/>
      <c r="J261" s="616"/>
      <c r="K261" s="1668">
        <f>SUM(K259:K260)</f>
        <v>19091</v>
      </c>
      <c r="L261" s="1668">
        <f>SUM(L259:L260)</f>
        <v>19535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c r="E263" s="616"/>
      <c r="F263" s="616"/>
      <c r="G263" s="616"/>
      <c r="H263" s="616"/>
      <c r="I263" s="616"/>
      <c r="J263" s="616"/>
      <c r="K263" s="1670">
        <f>D263</f>
        <v>0</v>
      </c>
      <c r="L263" s="481"/>
    </row>
    <row r="264" spans="1:14" x14ac:dyDescent="0.2">
      <c r="A264" s="1502" t="s">
        <v>463</v>
      </c>
      <c r="B264" s="685">
        <v>2520</v>
      </c>
      <c r="C264" s="616"/>
      <c r="D264" s="466">
        <f>4509+5474</f>
        <v>9983</v>
      </c>
      <c r="E264" s="616"/>
      <c r="F264" s="616"/>
      <c r="G264" s="616"/>
      <c r="H264" s="616"/>
      <c r="I264" s="616"/>
      <c r="J264" s="616"/>
      <c r="K264" s="1670">
        <f t="shared" ref="K264:K269" si="22">D264</f>
        <v>9983</v>
      </c>
      <c r="L264" s="466">
        <v>11519</v>
      </c>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f>24045+29492</f>
        <v>53537</v>
      </c>
      <c r="E266" s="616"/>
      <c r="F266" s="616"/>
      <c r="G266" s="616"/>
      <c r="H266" s="616"/>
      <c r="I266" s="616"/>
      <c r="J266" s="616"/>
      <c r="K266" s="1670">
        <f t="shared" si="22"/>
        <v>53537</v>
      </c>
      <c r="L266" s="466">
        <v>58991</v>
      </c>
    </row>
    <row r="267" spans="1:14" x14ac:dyDescent="0.2">
      <c r="A267" s="1502" t="s">
        <v>953</v>
      </c>
      <c r="B267" s="614">
        <v>2550</v>
      </c>
      <c r="C267" s="616"/>
      <c r="D267" s="466"/>
      <c r="E267" s="616"/>
      <c r="F267" s="616"/>
      <c r="G267" s="616"/>
      <c r="H267" s="616"/>
      <c r="I267" s="616"/>
      <c r="J267" s="616"/>
      <c r="K267" s="1670">
        <f t="shared" si="22"/>
        <v>0</v>
      </c>
      <c r="L267" s="466"/>
    </row>
    <row r="268" spans="1:14" x14ac:dyDescent="0.2">
      <c r="A268" s="1502" t="s">
        <v>100</v>
      </c>
      <c r="B268" s="614">
        <v>2560</v>
      </c>
      <c r="C268" s="616"/>
      <c r="D268" s="466">
        <f>8274+8545</f>
        <v>16819</v>
      </c>
      <c r="E268" s="616"/>
      <c r="F268" s="616"/>
      <c r="G268" s="616"/>
      <c r="H268" s="616"/>
      <c r="I268" s="616"/>
      <c r="J268" s="616"/>
      <c r="K268" s="1670">
        <f t="shared" si="22"/>
        <v>16819</v>
      </c>
      <c r="L268" s="466">
        <v>16755</v>
      </c>
    </row>
    <row r="269" spans="1:14" x14ac:dyDescent="0.2">
      <c r="A269" s="1502"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80339</v>
      </c>
      <c r="E270" s="616"/>
      <c r="F270" s="616"/>
      <c r="G270" s="616"/>
      <c r="H270" s="616"/>
      <c r="I270" s="616"/>
      <c r="J270" s="616"/>
      <c r="K270" s="1668">
        <f>SUM(K263:K269)</f>
        <v>80339</v>
      </c>
      <c r="L270" s="1668">
        <f>SUM(L263:L269)</f>
        <v>87265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70">
        <f>D272</f>
        <v>0</v>
      </c>
      <c r="L272" s="481"/>
    </row>
    <row r="273" spans="1:12" x14ac:dyDescent="0.2">
      <c r="A273" s="1502" t="s">
        <v>607</v>
      </c>
      <c r="B273" s="628">
        <v>2620</v>
      </c>
      <c r="C273" s="616"/>
      <c r="D273" s="466"/>
      <c r="E273" s="616"/>
      <c r="F273" s="616"/>
      <c r="G273" s="616"/>
      <c r="H273" s="616"/>
      <c r="I273" s="616"/>
      <c r="J273" s="616"/>
      <c r="K273" s="1670">
        <f>D273</f>
        <v>0</v>
      </c>
      <c r="L273" s="466"/>
    </row>
    <row r="274" spans="1:12" ht="12" customHeight="1" x14ac:dyDescent="0.2">
      <c r="A274" s="1502" t="s">
        <v>1061</v>
      </c>
      <c r="B274" s="614">
        <v>2630</v>
      </c>
      <c r="C274" s="616"/>
      <c r="D274" s="466">
        <f>3237+2283</f>
        <v>5520</v>
      </c>
      <c r="E274" s="616"/>
      <c r="F274" s="616"/>
      <c r="G274" s="616"/>
      <c r="H274" s="616"/>
      <c r="I274" s="616"/>
      <c r="J274" s="616"/>
      <c r="K274" s="1670">
        <f>D274</f>
        <v>5520</v>
      </c>
      <c r="L274" s="466">
        <v>6190</v>
      </c>
    </row>
    <row r="275" spans="1:12" x14ac:dyDescent="0.2">
      <c r="A275" s="1502" t="s">
        <v>403</v>
      </c>
      <c r="B275" s="614">
        <v>2640</v>
      </c>
      <c r="C275" s="616"/>
      <c r="D275" s="466"/>
      <c r="E275" s="616"/>
      <c r="F275" s="616"/>
      <c r="G275" s="616"/>
      <c r="H275" s="616"/>
      <c r="I275" s="616"/>
      <c r="J275" s="616"/>
      <c r="K275" s="1670">
        <f>D275</f>
        <v>0</v>
      </c>
      <c r="L275" s="466"/>
    </row>
    <row r="276" spans="1:12" x14ac:dyDescent="0.2">
      <c r="A276" s="1502"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5520</v>
      </c>
      <c r="E277" s="616"/>
      <c r="F277" s="616"/>
      <c r="G277" s="616"/>
      <c r="H277" s="616"/>
      <c r="I277" s="616"/>
      <c r="J277" s="616"/>
      <c r="K277" s="1668">
        <f>SUM(K272:K276)</f>
        <v>5520</v>
      </c>
      <c r="L277" s="1668">
        <f>SUM(L272:L276)</f>
        <v>6190</v>
      </c>
    </row>
    <row r="278" spans="1:12" ht="13.5" customHeight="1" thickTop="1" x14ac:dyDescent="0.2">
      <c r="A278" s="1508"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193624</v>
      </c>
      <c r="E279" s="616"/>
      <c r="F279" s="616"/>
      <c r="G279" s="616"/>
      <c r="H279" s="616"/>
      <c r="I279" s="616"/>
      <c r="J279" s="616"/>
      <c r="K279" s="1675">
        <f>SUM(K238,K243,K257,K261,K270,K277,K278)</f>
        <v>193624</v>
      </c>
      <c r="L279" s="1675">
        <f>SUM(L238,L243,L257,L261,L270,L277,L278)</f>
        <v>206435</v>
      </c>
    </row>
    <row r="280" spans="1:12" ht="15.75" customHeight="1" thickTop="1" thickBot="1" x14ac:dyDescent="0.25">
      <c r="A280" s="1622" t="s">
        <v>875</v>
      </c>
      <c r="B280" s="1611">
        <v>3000</v>
      </c>
      <c r="C280" s="616"/>
      <c r="D280" s="576">
        <f>9380+5274</f>
        <v>14654</v>
      </c>
      <c r="E280" s="616"/>
      <c r="F280" s="616"/>
      <c r="G280" s="616"/>
      <c r="H280" s="616"/>
      <c r="I280" s="616"/>
      <c r="J280" s="616"/>
      <c r="K280" s="1677">
        <f>D280</f>
        <v>14654</v>
      </c>
      <c r="L280" s="576">
        <v>16389</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8" t="s">
        <v>496</v>
      </c>
      <c r="B282" s="690" t="s">
        <v>1824</v>
      </c>
      <c r="C282" s="616"/>
      <c r="D282" s="467"/>
      <c r="E282" s="616"/>
      <c r="F282" s="616"/>
      <c r="G282" s="616"/>
      <c r="H282" s="616"/>
      <c r="I282" s="616"/>
      <c r="J282" s="616"/>
      <c r="K282" s="1669">
        <f>D282</f>
        <v>0</v>
      </c>
      <c r="L282" s="467"/>
    </row>
    <row r="283" spans="1:12" x14ac:dyDescent="0.2">
      <c r="A283" s="1502" t="s">
        <v>304</v>
      </c>
      <c r="B283" s="614">
        <v>4120</v>
      </c>
      <c r="C283" s="616"/>
      <c r="D283" s="466"/>
      <c r="E283" s="616"/>
      <c r="F283" s="616"/>
      <c r="G283" s="616"/>
      <c r="H283" s="616"/>
      <c r="I283" s="616"/>
      <c r="J283" s="616"/>
      <c r="K283" s="1669">
        <f>D283</f>
        <v>0</v>
      </c>
      <c r="L283" s="466"/>
    </row>
    <row r="284" spans="1:12" x14ac:dyDescent="0.2">
      <c r="A284" s="1502"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1170</v>
      </c>
      <c r="B290" s="628" t="s">
        <v>617</v>
      </c>
      <c r="C290" s="616"/>
      <c r="D290" s="616"/>
      <c r="E290" s="616"/>
      <c r="F290" s="616"/>
      <c r="G290" s="616"/>
      <c r="H290" s="466"/>
      <c r="I290" s="616"/>
      <c r="J290" s="616"/>
      <c r="K290" s="1669">
        <f>H290</f>
        <v>0</v>
      </c>
      <c r="L290" s="466"/>
    </row>
    <row r="291" spans="1:14" x14ac:dyDescent="0.2">
      <c r="A291" s="1502" t="s">
        <v>89</v>
      </c>
      <c r="B291" s="614" t="s">
        <v>589</v>
      </c>
      <c r="C291" s="616"/>
      <c r="D291" s="616"/>
      <c r="E291" s="616"/>
      <c r="F291" s="616"/>
      <c r="G291" s="616"/>
      <c r="H291" s="466"/>
      <c r="I291" s="616"/>
      <c r="J291" s="616"/>
      <c r="K291" s="1669">
        <f>H291</f>
        <v>0</v>
      </c>
      <c r="L291" s="466"/>
    </row>
    <row r="292" spans="1:14" x14ac:dyDescent="0.2">
      <c r="A292" s="1502"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252" t="s">
        <v>505</v>
      </c>
      <c r="B295" s="2253"/>
      <c r="C295" s="616"/>
      <c r="D295" s="1668">
        <f>SUM(D229,D279,D280,D285)</f>
        <v>385469</v>
      </c>
      <c r="E295" s="616"/>
      <c r="F295" s="616"/>
      <c r="G295" s="616"/>
      <c r="H295" s="1668">
        <f>H293</f>
        <v>0</v>
      </c>
      <c r="I295" s="616"/>
      <c r="J295" s="616"/>
      <c r="K295" s="1668">
        <f>SUM(K229,K279,K280,K285,K293,K294)</f>
        <v>385469</v>
      </c>
      <c r="L295" s="1668">
        <f>SUM(L229,L279,L280,L285,L293,L294)</f>
        <v>394986</v>
      </c>
    </row>
    <row r="296" spans="1:14" ht="13.5" thickTop="1" x14ac:dyDescent="0.2">
      <c r="A296" s="2234" t="s">
        <v>996</v>
      </c>
      <c r="B296" s="2235"/>
      <c r="C296" s="616"/>
      <c r="D296" s="618"/>
      <c r="E296" s="616"/>
      <c r="F296" s="616"/>
      <c r="G296" s="616"/>
      <c r="H296" s="687"/>
      <c r="I296" s="616"/>
      <c r="J296" s="616"/>
      <c r="K296" s="1682">
        <f>'Revenues 9-14'!G268-'Expenditures 15-22'!K295</f>
        <v>-61571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44" t="s">
        <v>143</v>
      </c>
      <c r="B298" s="2238"/>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c r="H301" s="466"/>
      <c r="I301" s="467"/>
      <c r="J301" s="467"/>
      <c r="K301" s="1669">
        <f>SUM(C301:J301)</f>
        <v>0</v>
      </c>
      <c r="L301" s="467"/>
    </row>
    <row r="302" spans="1:14" ht="13.5" customHeight="1" x14ac:dyDescent="0.2">
      <c r="A302" s="1515"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1829</v>
      </c>
      <c r="B306" s="690" t="s">
        <v>1824</v>
      </c>
      <c r="C306" s="616"/>
      <c r="D306" s="616"/>
      <c r="E306" s="467"/>
      <c r="F306" s="616"/>
      <c r="G306" s="616"/>
      <c r="H306" s="467"/>
      <c r="I306" s="616"/>
      <c r="J306" s="616"/>
      <c r="K306" s="1669">
        <f>SUM(E306,H306)</f>
        <v>0</v>
      </c>
      <c r="L306" s="467"/>
    </row>
    <row r="307" spans="1:14" x14ac:dyDescent="0.2">
      <c r="A307" s="1502" t="s">
        <v>304</v>
      </c>
      <c r="B307" s="614">
        <v>4120</v>
      </c>
      <c r="C307" s="616"/>
      <c r="D307" s="616"/>
      <c r="E307" s="467"/>
      <c r="F307" s="616"/>
      <c r="G307" s="616"/>
      <c r="H307" s="467"/>
      <c r="I307" s="477"/>
      <c r="J307" s="616"/>
      <c r="K307" s="1669">
        <f>SUM(E307,H307)</f>
        <v>0</v>
      </c>
      <c r="L307" s="466"/>
    </row>
    <row r="308" spans="1:14" x14ac:dyDescent="0.2">
      <c r="A308" s="1502" t="s">
        <v>697</v>
      </c>
      <c r="B308" s="614">
        <v>4140</v>
      </c>
      <c r="C308" s="616"/>
      <c r="D308" s="616"/>
      <c r="E308" s="467"/>
      <c r="F308" s="616"/>
      <c r="G308" s="616"/>
      <c r="H308" s="467"/>
      <c r="I308" s="477"/>
      <c r="J308" s="616"/>
      <c r="K308" s="1669">
        <f>SUM(E308,H308)</f>
        <v>0</v>
      </c>
      <c r="L308" s="466"/>
    </row>
    <row r="309" spans="1:14" ht="12.75" customHeight="1" x14ac:dyDescent="0.2">
      <c r="A309" s="1506"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249" t="s">
        <v>277</v>
      </c>
      <c r="B312" s="2250"/>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245" t="s">
        <v>996</v>
      </c>
      <c r="B313" s="2246"/>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58" t="s">
        <v>149</v>
      </c>
      <c r="B315" s="2259"/>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60" t="s">
        <v>898</v>
      </c>
      <c r="B317" s="2259"/>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1" t="s">
        <v>1785</v>
      </c>
      <c r="B320" s="698" t="s">
        <v>282</v>
      </c>
      <c r="C320" s="467"/>
      <c r="D320" s="467"/>
      <c r="E320" s="467">
        <v>105491</v>
      </c>
      <c r="F320" s="467"/>
      <c r="G320" s="467"/>
      <c r="H320" s="467"/>
      <c r="I320" s="467"/>
      <c r="J320" s="467"/>
      <c r="K320" s="1669">
        <f t="shared" ref="K320:K327" si="24">SUM(C320:J320)</f>
        <v>105491</v>
      </c>
      <c r="L320" s="467">
        <v>105491</v>
      </c>
      <c r="M320" s="665"/>
      <c r="N320" s="665"/>
    </row>
    <row r="321" spans="1:14" s="674" customFormat="1" x14ac:dyDescent="0.2">
      <c r="A321" s="1517"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7" t="s">
        <v>238</v>
      </c>
      <c r="B322" s="697" t="s">
        <v>284</v>
      </c>
      <c r="C322" s="467"/>
      <c r="D322" s="467"/>
      <c r="E322" s="467"/>
      <c r="F322" s="467"/>
      <c r="G322" s="467"/>
      <c r="H322" s="467"/>
      <c r="I322" s="467"/>
      <c r="J322" s="467"/>
      <c r="K322" s="1669">
        <f t="shared" si="24"/>
        <v>0</v>
      </c>
      <c r="L322" s="467"/>
      <c r="M322" s="665"/>
      <c r="N322" s="665"/>
    </row>
    <row r="323" spans="1:14" s="674" customFormat="1" x14ac:dyDescent="0.2">
      <c r="A323" s="1517"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7"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7" t="s">
        <v>1029</v>
      </c>
      <c r="B325" s="698" t="s">
        <v>287</v>
      </c>
      <c r="C325" s="467">
        <f>474035+3371</f>
        <v>477406</v>
      </c>
      <c r="D325" s="467">
        <f>3240+276+74699</f>
        <v>78215</v>
      </c>
      <c r="E325" s="467">
        <f>7408+1390+13928+10302+2774+9484+44838+2440+2-32170</f>
        <v>60396</v>
      </c>
      <c r="F325" s="467">
        <v>24060</v>
      </c>
      <c r="G325" s="467">
        <f>14890+17280</f>
        <v>32170</v>
      </c>
      <c r="H325" s="467">
        <v>360</v>
      </c>
      <c r="I325" s="467"/>
      <c r="J325" s="467"/>
      <c r="K325" s="1669">
        <f t="shared" si="24"/>
        <v>672607</v>
      </c>
      <c r="L325" s="467">
        <v>668759</v>
      </c>
      <c r="M325" s="665"/>
      <c r="N325" s="665"/>
    </row>
    <row r="326" spans="1:14" s="674" customFormat="1" x14ac:dyDescent="0.2">
      <c r="A326" s="1517"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7" t="s">
        <v>971</v>
      </c>
      <c r="B327" s="697" t="s">
        <v>289</v>
      </c>
      <c r="C327" s="467"/>
      <c r="D327" s="467"/>
      <c r="E327" s="467">
        <f>3925+975</f>
        <v>4900</v>
      </c>
      <c r="F327" s="467"/>
      <c r="G327" s="467"/>
      <c r="H327" s="467"/>
      <c r="I327" s="467"/>
      <c r="J327" s="467"/>
      <c r="K327" s="1669">
        <f t="shared" si="24"/>
        <v>4900</v>
      </c>
      <c r="L327" s="467">
        <v>4900</v>
      </c>
      <c r="M327" s="665"/>
      <c r="N327" s="665"/>
    </row>
    <row r="328" spans="1:14" s="674" customFormat="1" x14ac:dyDescent="0.2">
      <c r="A328" s="1518" t="s">
        <v>472</v>
      </c>
      <c r="B328" s="690" t="s">
        <v>1132</v>
      </c>
      <c r="C328" s="474"/>
      <c r="D328" s="474"/>
      <c r="E328" s="474">
        <v>86030</v>
      </c>
      <c r="F328" s="474"/>
      <c r="G328" s="474"/>
      <c r="H328" s="474"/>
      <c r="I328" s="474"/>
      <c r="J328" s="474"/>
      <c r="K328" s="1697">
        <f>SUM(C328:J328)</f>
        <v>86030</v>
      </c>
      <c r="L328" s="474">
        <v>64530</v>
      </c>
      <c r="M328" s="665"/>
      <c r="N328" s="665"/>
    </row>
    <row r="329" spans="1:14" s="674" customFormat="1" x14ac:dyDescent="0.2">
      <c r="A329" s="1518"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477406</v>
      </c>
      <c r="D330" s="1668">
        <f t="shared" ref="D330:J330" si="25">SUM(D319:D329)</f>
        <v>78215</v>
      </c>
      <c r="E330" s="1668">
        <f t="shared" si="25"/>
        <v>256817</v>
      </c>
      <c r="F330" s="1668">
        <f t="shared" si="25"/>
        <v>24060</v>
      </c>
      <c r="G330" s="1668">
        <f t="shared" si="25"/>
        <v>32170</v>
      </c>
      <c r="H330" s="1668">
        <f t="shared" si="25"/>
        <v>360</v>
      </c>
      <c r="I330" s="1668">
        <f t="shared" si="25"/>
        <v>0</v>
      </c>
      <c r="J330" s="1668">
        <f t="shared" si="25"/>
        <v>0</v>
      </c>
      <c r="K330" s="1668">
        <f>SUM(K319:K329)</f>
        <v>869028</v>
      </c>
      <c r="L330" s="1668">
        <f>SUM(L319:L329)</f>
        <v>843680</v>
      </c>
      <c r="M330" s="665"/>
      <c r="N330" s="665"/>
    </row>
    <row r="331" spans="1:14" s="674" customFormat="1" ht="12.75" customHeight="1" thickTop="1" x14ac:dyDescent="0.2">
      <c r="A331" s="1829" t="s">
        <v>1830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1824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1826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1831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9">
        <f>H337</f>
        <v>0</v>
      </c>
      <c r="L337" s="478"/>
    </row>
    <row r="338" spans="1:14" ht="12.75" customHeight="1" x14ac:dyDescent="0.2">
      <c r="A338" s="1516" t="s">
        <v>1170</v>
      </c>
      <c r="B338" s="690" t="s">
        <v>617</v>
      </c>
      <c r="C338" s="638"/>
      <c r="D338" s="638"/>
      <c r="E338" s="638"/>
      <c r="F338" s="638"/>
      <c r="G338" s="638"/>
      <c r="H338" s="478"/>
      <c r="I338" s="638"/>
      <c r="J338" s="638"/>
      <c r="K338" s="1669">
        <f>H338</f>
        <v>0</v>
      </c>
      <c r="L338" s="478"/>
    </row>
    <row r="339" spans="1:14" x14ac:dyDescent="0.2">
      <c r="A339" s="1502"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477406</v>
      </c>
      <c r="D342" s="1668">
        <f>SUM(D330)</f>
        <v>78215</v>
      </c>
      <c r="E342" s="1668">
        <f>SUM(E330)</f>
        <v>256817</v>
      </c>
      <c r="F342" s="1668">
        <f>SUM(F330)</f>
        <v>24060</v>
      </c>
      <c r="G342" s="1668">
        <f>SUM(G330)</f>
        <v>32170</v>
      </c>
      <c r="H342" s="1668">
        <f>SUM(H330,H334,H340)</f>
        <v>360</v>
      </c>
      <c r="I342" s="1668">
        <f>SUM(I330)</f>
        <v>0</v>
      </c>
      <c r="J342" s="1668">
        <f>SUM(J330)</f>
        <v>0</v>
      </c>
      <c r="K342" s="1668">
        <f>SUM(K330,K334,K340)</f>
        <v>869028</v>
      </c>
      <c r="L342" s="1675">
        <f>SUM(L330,L334,L340,L341)</f>
        <v>843680</v>
      </c>
    </row>
    <row r="343" spans="1:14" ht="12.75" customHeight="1" thickTop="1" x14ac:dyDescent="0.2">
      <c r="A343" s="2247" t="s">
        <v>996</v>
      </c>
      <c r="B343" s="2248"/>
      <c r="C343" s="616"/>
      <c r="D343" s="616"/>
      <c r="E343" s="616"/>
      <c r="F343" s="616"/>
      <c r="G343" s="616"/>
      <c r="H343" s="616"/>
      <c r="I343" s="616"/>
      <c r="J343" s="616"/>
      <c r="K343" s="1682">
        <f>'Revenues 9-14'!J268-'Expenditures 15-22'!K342</f>
        <v>-360513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37" t="s">
        <v>966</v>
      </c>
      <c r="B345" s="2238"/>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row>
    <row r="349" spans="1:14" x14ac:dyDescent="0.2">
      <c r="A349" s="1502" t="s">
        <v>197</v>
      </c>
      <c r="B349" s="614">
        <v>2540</v>
      </c>
      <c r="C349" s="466"/>
      <c r="D349" s="466"/>
      <c r="E349" s="466">
        <f>185933-163146</f>
        <v>22787</v>
      </c>
      <c r="F349" s="466">
        <v>1096</v>
      </c>
      <c r="G349" s="466">
        <f>57604+59548+18269+27725</f>
        <v>163146</v>
      </c>
      <c r="H349" s="466"/>
      <c r="I349" s="467"/>
      <c r="J349" s="467"/>
      <c r="K349" s="1669">
        <f>SUM(C349:J349)</f>
        <v>187029</v>
      </c>
      <c r="L349" s="466">
        <v>187029</v>
      </c>
    </row>
    <row r="350" spans="1:14" ht="12.75" customHeight="1" thickBot="1" x14ac:dyDescent="0.25">
      <c r="A350" s="1666" t="s">
        <v>719</v>
      </c>
      <c r="B350" s="1667" t="s">
        <v>35</v>
      </c>
      <c r="C350" s="1668">
        <f>SUM(C348:C349)</f>
        <v>0</v>
      </c>
      <c r="D350" s="1668">
        <f t="shared" ref="D350:L350" si="26">SUM(D348:D349)</f>
        <v>0</v>
      </c>
      <c r="E350" s="1668">
        <f t="shared" si="26"/>
        <v>22787</v>
      </c>
      <c r="F350" s="1668">
        <f t="shared" si="26"/>
        <v>1096</v>
      </c>
      <c r="G350" s="1668">
        <f t="shared" si="26"/>
        <v>163146</v>
      </c>
      <c r="H350" s="1668">
        <f t="shared" si="26"/>
        <v>0</v>
      </c>
      <c r="I350" s="1668">
        <f t="shared" si="26"/>
        <v>0</v>
      </c>
      <c r="J350" s="1668">
        <f t="shared" si="26"/>
        <v>0</v>
      </c>
      <c r="K350" s="1668">
        <f t="shared" si="26"/>
        <v>187029</v>
      </c>
      <c r="L350" s="1668">
        <f t="shared" si="26"/>
        <v>187029</v>
      </c>
    </row>
    <row r="351" spans="1:14" ht="12.75" customHeight="1" thickTop="1" x14ac:dyDescent="0.2">
      <c r="A351" s="1508"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22787</v>
      </c>
      <c r="F352" s="1668">
        <f t="shared" si="27"/>
        <v>1096</v>
      </c>
      <c r="G352" s="1668">
        <f t="shared" si="27"/>
        <v>163146</v>
      </c>
      <c r="H352" s="1668">
        <f t="shared" si="27"/>
        <v>0</v>
      </c>
      <c r="I352" s="1668">
        <f t="shared" si="27"/>
        <v>0</v>
      </c>
      <c r="J352" s="1668">
        <f t="shared" si="27"/>
        <v>0</v>
      </c>
      <c r="K352" s="1668">
        <f t="shared" si="27"/>
        <v>187029</v>
      </c>
      <c r="L352" s="1668">
        <f t="shared" si="27"/>
        <v>187029</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2" t="s">
        <v>1832</v>
      </c>
      <c r="B354" s="683" t="s">
        <v>1824</v>
      </c>
      <c r="C354" s="616"/>
      <c r="D354" s="616"/>
      <c r="E354" s="616"/>
      <c r="F354" s="616"/>
      <c r="G354" s="616"/>
      <c r="H354" s="474"/>
      <c r="I354" s="701"/>
      <c r="J354" s="616"/>
      <c r="K354" s="1697">
        <f>H354</f>
        <v>0</v>
      </c>
      <c r="L354" s="471"/>
    </row>
    <row r="355" spans="1:14" ht="12.75" customHeight="1" x14ac:dyDescent="0.2">
      <c r="A355" s="1511" t="s">
        <v>1833</v>
      </c>
      <c r="B355" s="690" t="s">
        <v>1826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22787</v>
      </c>
      <c r="F367" s="1668">
        <f t="shared" si="28"/>
        <v>1096</v>
      </c>
      <c r="G367" s="1668">
        <f t="shared" si="28"/>
        <v>163146</v>
      </c>
      <c r="H367" s="1668">
        <f t="shared" si="28"/>
        <v>0</v>
      </c>
      <c r="I367" s="1668">
        <f t="shared" si="28"/>
        <v>0</v>
      </c>
      <c r="J367" s="1668">
        <f t="shared" si="28"/>
        <v>0</v>
      </c>
      <c r="K367" s="1668">
        <f t="shared" si="28"/>
        <v>187029</v>
      </c>
      <c r="L367" s="1668">
        <f t="shared" si="28"/>
        <v>187029</v>
      </c>
    </row>
    <row r="368" spans="1:14" ht="13.5" thickTop="1" x14ac:dyDescent="0.2">
      <c r="A368" s="2234" t="s">
        <v>996</v>
      </c>
      <c r="B368" s="2235"/>
      <c r="C368" s="654"/>
      <c r="D368" s="654"/>
      <c r="E368" s="626"/>
      <c r="F368" s="626"/>
      <c r="G368" s="626"/>
      <c r="H368" s="626"/>
      <c r="I368" s="626"/>
      <c r="J368" s="623"/>
      <c r="K368" s="1669">
        <f>'Revenues 9-14'!K268-'Expenditures 15-22'!K367</f>
        <v>-76074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E20" sqref="E2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261" t="s">
        <v>1782</v>
      </c>
      <c r="B2" s="1526" t="s">
        <v>1929</v>
      </c>
      <c r="C2" s="714" t="s">
        <v>1930</v>
      </c>
      <c r="D2" s="714" t="s">
        <v>1931</v>
      </c>
      <c r="E2" s="714" t="s">
        <v>1932</v>
      </c>
      <c r="F2" s="714" t="s">
        <v>1933</v>
      </c>
    </row>
    <row r="3" spans="1:6" ht="12" customHeight="1" x14ac:dyDescent="0.2">
      <c r="A3" s="2262"/>
      <c r="B3" s="1523"/>
      <c r="C3" s="1524"/>
      <c r="D3" s="1525" t="s">
        <v>256</v>
      </c>
      <c r="E3" s="1524"/>
      <c r="F3" s="1525" t="s">
        <v>257</v>
      </c>
    </row>
    <row r="4" spans="1:6" ht="13.7" customHeight="1" x14ac:dyDescent="0.2">
      <c r="A4" s="715" t="s">
        <v>1155</v>
      </c>
      <c r="B4" s="1747">
        <f>'Revenues 9-14'!C5</f>
        <v>3625735</v>
      </c>
      <c r="C4" s="1522">
        <v>1096836</v>
      </c>
      <c r="D4" s="1750">
        <f>B4-C4</f>
        <v>2528899</v>
      </c>
      <c r="E4" s="1522">
        <v>3699813</v>
      </c>
      <c r="F4" s="1750">
        <f>E4-C4</f>
        <v>2602977</v>
      </c>
    </row>
    <row r="5" spans="1:6" ht="13.7" customHeight="1" x14ac:dyDescent="0.2">
      <c r="A5" s="715" t="s">
        <v>870</v>
      </c>
      <c r="B5" s="1748">
        <f>'Revenues 9-14'!D5</f>
        <v>577348</v>
      </c>
      <c r="C5" s="585">
        <v>174646</v>
      </c>
      <c r="D5" s="1751">
        <f t="shared" ref="D5:D18" si="0">B5-C5</f>
        <v>402702</v>
      </c>
      <c r="E5" s="585">
        <v>589142</v>
      </c>
      <c r="F5" s="1751">
        <f>E5-C5</f>
        <v>414496</v>
      </c>
    </row>
    <row r="6" spans="1:6" ht="13.7" customHeight="1" x14ac:dyDescent="0.2">
      <c r="A6" s="715" t="s">
        <v>411</v>
      </c>
      <c r="B6" s="1748">
        <f>'Revenues 9-14'!E5</f>
        <v>613169</v>
      </c>
      <c r="C6" s="585">
        <v>61480</v>
      </c>
      <c r="D6" s="1751">
        <f t="shared" si="0"/>
        <v>551689</v>
      </c>
      <c r="E6" s="585">
        <v>207378</v>
      </c>
      <c r="F6" s="1751">
        <f t="shared" ref="F6:F18" si="1">E6-C6</f>
        <v>145898</v>
      </c>
    </row>
    <row r="7" spans="1:6" ht="13.7" customHeight="1" x14ac:dyDescent="0.2">
      <c r="A7" s="715" t="s">
        <v>155</v>
      </c>
      <c r="B7" s="1748">
        <f>'Revenues 9-14'!F5</f>
        <v>277127</v>
      </c>
      <c r="C7" s="585">
        <v>83834</v>
      </c>
      <c r="D7" s="1751">
        <f t="shared" si="0"/>
        <v>193293</v>
      </c>
      <c r="E7" s="585">
        <v>282788</v>
      </c>
      <c r="F7" s="1751">
        <f t="shared" si="1"/>
        <v>198954</v>
      </c>
    </row>
    <row r="8" spans="1:6" ht="13.7" customHeight="1" x14ac:dyDescent="0.2">
      <c r="A8" s="715" t="s">
        <v>1179</v>
      </c>
      <c r="B8" s="1748">
        <f>'Revenues 9-14'!G5</f>
        <v>109137</v>
      </c>
      <c r="C8" s="585">
        <v>32626</v>
      </c>
      <c r="D8" s="1751">
        <f t="shared" si="0"/>
        <v>76511</v>
      </c>
      <c r="E8" s="585">
        <v>110052</v>
      </c>
      <c r="F8" s="1751">
        <f t="shared" si="1"/>
        <v>77426</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115467</v>
      </c>
      <c r="C10" s="585">
        <v>34930</v>
      </c>
      <c r="D10" s="1751">
        <f t="shared" si="0"/>
        <v>80537</v>
      </c>
      <c r="E10" s="585">
        <v>117828</v>
      </c>
      <c r="F10" s="1751">
        <f t="shared" si="1"/>
        <v>82898</v>
      </c>
    </row>
    <row r="11" spans="1:6" x14ac:dyDescent="0.2">
      <c r="A11" s="715" t="s">
        <v>409</v>
      </c>
      <c r="B11" s="1748">
        <f>'Revenues 9-14'!J5</f>
        <v>505943</v>
      </c>
      <c r="C11" s="585">
        <v>151251</v>
      </c>
      <c r="D11" s="1751">
        <f t="shared" si="0"/>
        <v>354692</v>
      </c>
      <c r="E11" s="585">
        <v>510197</v>
      </c>
      <c r="F11" s="1751">
        <f t="shared" si="1"/>
        <v>358946</v>
      </c>
    </row>
    <row r="12" spans="1:6" ht="13.7" customHeight="1" x14ac:dyDescent="0.2">
      <c r="A12" s="715" t="s">
        <v>157</v>
      </c>
      <c r="B12" s="1748">
        <f>'Revenues 9-14'!K5</f>
        <v>109137</v>
      </c>
      <c r="C12" s="585">
        <v>32626</v>
      </c>
      <c r="D12" s="1751">
        <f t="shared" si="0"/>
        <v>76511</v>
      </c>
      <c r="E12" s="585">
        <v>110052</v>
      </c>
      <c r="F12" s="1751">
        <f t="shared" si="1"/>
        <v>77426</v>
      </c>
    </row>
    <row r="13" spans="1:6" ht="13.7" customHeight="1" x14ac:dyDescent="0.2">
      <c r="A13" s="715" t="s">
        <v>936</v>
      </c>
      <c r="B13" s="1748">
        <f>SUM('Revenues 9-14'!C6:D6)</f>
        <v>61830</v>
      </c>
      <c r="C13" s="585">
        <v>34930</v>
      </c>
      <c r="D13" s="1751">
        <f t="shared" si="0"/>
        <v>26900</v>
      </c>
      <c r="E13" s="585">
        <v>117828</v>
      </c>
      <c r="F13" s="1751">
        <f t="shared" si="1"/>
        <v>82898</v>
      </c>
    </row>
    <row r="14" spans="1:6" ht="13.7" customHeight="1" x14ac:dyDescent="0.2">
      <c r="A14" s="715" t="s">
        <v>410</v>
      </c>
      <c r="B14" s="1748">
        <f>SUM('Revenues 9-14'!C7:D7,'Revenues 9-14'!F7:H7)</f>
        <v>46187</v>
      </c>
      <c r="C14" s="585">
        <v>13972</v>
      </c>
      <c r="D14" s="1751">
        <f t="shared" si="0"/>
        <v>32215</v>
      </c>
      <c r="E14" s="585">
        <v>47131</v>
      </c>
      <c r="F14" s="1751">
        <f t="shared" si="1"/>
        <v>33159</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198480</v>
      </c>
      <c r="C16" s="585">
        <v>59312</v>
      </c>
      <c r="D16" s="1751">
        <f t="shared" si="0"/>
        <v>139168</v>
      </c>
      <c r="E16" s="585">
        <v>200073</v>
      </c>
      <c r="F16" s="1751">
        <f t="shared" si="1"/>
        <v>140761</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6239560</v>
      </c>
      <c r="C19" s="1749">
        <f>SUM(C4:C18)</f>
        <v>1776443</v>
      </c>
      <c r="D19" s="1749">
        <f>SUM(D4:D18)</f>
        <v>4463117</v>
      </c>
      <c r="E19" s="1749">
        <f>SUM(E4:E18)</f>
        <v>5992282</v>
      </c>
      <c r="F19" s="1749">
        <f>SUM(F4:F18)</f>
        <v>4215839</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3" t="s">
        <v>629</v>
      </c>
      <c r="B1" s="2281"/>
      <c r="C1" s="721"/>
    </row>
    <row r="2" spans="1:7" ht="33.75" x14ac:dyDescent="0.2">
      <c r="A2" s="2288" t="s">
        <v>1782</v>
      </c>
      <c r="B2" s="2289"/>
      <c r="C2" s="1882" t="s">
        <v>1934</v>
      </c>
      <c r="D2" s="723" t="s">
        <v>1935</v>
      </c>
      <c r="E2" s="723" t="s">
        <v>1936</v>
      </c>
      <c r="F2" s="1882" t="s">
        <v>1937</v>
      </c>
    </row>
    <row r="3" spans="1:7" ht="15.75" customHeight="1" x14ac:dyDescent="0.2">
      <c r="A3" s="2290" t="s">
        <v>1114</v>
      </c>
      <c r="B3" s="2291"/>
      <c r="C3" s="2284"/>
      <c r="D3" s="2285"/>
      <c r="E3" s="2285"/>
      <c r="F3" s="2286"/>
    </row>
    <row r="4" spans="1:7" ht="12.75" customHeight="1" thickBot="1" x14ac:dyDescent="0.25">
      <c r="A4" s="2278" t="s">
        <v>630</v>
      </c>
      <c r="B4" s="2279"/>
      <c r="C4" s="581"/>
      <c r="D4" s="581"/>
      <c r="E4" s="581"/>
      <c r="F4" s="1753">
        <f>SUM(C4+D4)-E4</f>
        <v>0</v>
      </c>
    </row>
    <row r="5" spans="1:7" ht="15.75" customHeight="1" thickTop="1" x14ac:dyDescent="0.2">
      <c r="A5" s="2282" t="s">
        <v>1110</v>
      </c>
      <c r="B5" s="2277"/>
      <c r="C5" s="2271"/>
      <c r="D5" s="2272"/>
      <c r="E5" s="2272"/>
      <c r="F5" s="2273"/>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274" t="s">
        <v>631</v>
      </c>
      <c r="B15" s="2275"/>
      <c r="C15" s="1753">
        <f>SUM(C6:C14)</f>
        <v>0</v>
      </c>
      <c r="D15" s="1753">
        <f>SUM(D6:D14)</f>
        <v>0</v>
      </c>
      <c r="E15" s="1753">
        <f>SUM(E6:E14)</f>
        <v>0</v>
      </c>
      <c r="F15" s="1753">
        <f>SUM(F6:F14)</f>
        <v>0</v>
      </c>
      <c r="G15" s="552"/>
    </row>
    <row r="16" spans="1:7" s="202" customFormat="1" ht="15.75" customHeight="1" thickTop="1" x14ac:dyDescent="0.2">
      <c r="A16" s="2287" t="s">
        <v>1111</v>
      </c>
      <c r="B16" s="2277"/>
      <c r="C16" s="2271"/>
      <c r="D16" s="2272"/>
      <c r="E16" s="2272"/>
      <c r="F16" s="2273"/>
    </row>
    <row r="17" spans="1:11" ht="12.75" customHeight="1" thickBot="1" x14ac:dyDescent="0.25">
      <c r="A17" s="2269" t="s">
        <v>64</v>
      </c>
      <c r="B17" s="2270"/>
      <c r="C17" s="726"/>
      <c r="D17" s="585"/>
      <c r="E17" s="726"/>
      <c r="F17" s="1753">
        <f>SUM(C17+D17)-E17</f>
        <v>0</v>
      </c>
    </row>
    <row r="18" spans="1:11" ht="12.75" customHeight="1" thickTop="1" thickBot="1" x14ac:dyDescent="0.25">
      <c r="A18" s="2269" t="s">
        <v>6</v>
      </c>
      <c r="B18" s="2270"/>
      <c r="C18" s="726"/>
      <c r="D18" s="585"/>
      <c r="E18" s="726"/>
      <c r="F18" s="1753">
        <f>SUM(C18+D18)-E18</f>
        <v>0</v>
      </c>
    </row>
    <row r="19" spans="1:11" ht="12.75" customHeight="1" thickTop="1" thickBot="1" x14ac:dyDescent="0.25">
      <c r="A19" s="2269" t="s">
        <v>388</v>
      </c>
      <c r="B19" s="2270"/>
      <c r="C19" s="726"/>
      <c r="D19" s="585"/>
      <c r="E19" s="726"/>
      <c r="F19" s="1753">
        <f>SUM(C19+D19)-E19</f>
        <v>0</v>
      </c>
    </row>
    <row r="20" spans="1:11" ht="12.75" customHeight="1" thickTop="1" thickBot="1" x14ac:dyDescent="0.25">
      <c r="A20" s="2269" t="s">
        <v>448</v>
      </c>
      <c r="B20" s="2270"/>
      <c r="C20" s="726"/>
      <c r="D20" s="585"/>
      <c r="E20" s="726"/>
      <c r="F20" s="1753">
        <f>SUM(C20+D20)-E20</f>
        <v>0</v>
      </c>
    </row>
    <row r="21" spans="1:11" ht="14.25" thickTop="1" thickBot="1" x14ac:dyDescent="0.25">
      <c r="A21" s="2274" t="s">
        <v>632</v>
      </c>
      <c r="B21" s="2275"/>
      <c r="C21" s="1753">
        <f>SUM(C17:C20)</f>
        <v>0</v>
      </c>
      <c r="D21" s="1753">
        <f>SUM(D17:D20)</f>
        <v>0</v>
      </c>
      <c r="E21" s="1753">
        <f>SUM(E17:E20)</f>
        <v>0</v>
      </c>
      <c r="F21" s="1753">
        <f>SUM(F17:F20)</f>
        <v>0</v>
      </c>
      <c r="G21" s="552"/>
    </row>
    <row r="22" spans="1:11" ht="15.75" customHeight="1" thickTop="1" x14ac:dyDescent="0.2">
      <c r="A22" s="2276" t="s">
        <v>1112</v>
      </c>
      <c r="B22" s="2277"/>
      <c r="C22" s="2271"/>
      <c r="D22" s="2272"/>
      <c r="E22" s="2272"/>
      <c r="F22" s="2273"/>
    </row>
    <row r="23" spans="1:11" ht="13.5" thickBot="1" x14ac:dyDescent="0.25">
      <c r="A23" s="2278" t="s">
        <v>633</v>
      </c>
      <c r="B23" s="2279"/>
      <c r="C23" s="581"/>
      <c r="D23" s="581"/>
      <c r="E23" s="581"/>
      <c r="F23" s="1753">
        <f>SUM(C23+D23)-E23</f>
        <v>0</v>
      </c>
      <c r="G23" s="552"/>
    </row>
    <row r="24" spans="1:11" ht="15.75" customHeight="1" thickTop="1" x14ac:dyDescent="0.2">
      <c r="A24" s="2276" t="s">
        <v>1113</v>
      </c>
      <c r="B24" s="2277"/>
      <c r="C24" s="2271"/>
      <c r="D24" s="2272"/>
      <c r="E24" s="2272"/>
      <c r="F24" s="2273"/>
    </row>
    <row r="25" spans="1:11" ht="13.5" thickBot="1" x14ac:dyDescent="0.25">
      <c r="A25" s="2278" t="s">
        <v>634</v>
      </c>
      <c r="B25" s="2279"/>
      <c r="C25" s="581"/>
      <c r="D25" s="581"/>
      <c r="E25" s="581"/>
      <c r="F25" s="1753">
        <f>SUM(C25+D25)-E25</f>
        <v>0</v>
      </c>
      <c r="G25" s="552"/>
    </row>
    <row r="26" spans="1:11" ht="15.75" customHeight="1" thickTop="1" x14ac:dyDescent="0.2">
      <c r="A26" s="2282" t="s">
        <v>657</v>
      </c>
      <c r="B26" s="2277"/>
      <c r="C26" s="727"/>
      <c r="D26" s="727"/>
      <c r="E26" s="727"/>
      <c r="F26" s="728"/>
    </row>
    <row r="27" spans="1:11" ht="13.5" thickBot="1" x14ac:dyDescent="0.25">
      <c r="A27" s="2274" t="s">
        <v>1070</v>
      </c>
      <c r="B27" s="2275"/>
      <c r="C27" s="585"/>
      <c r="D27" s="585"/>
      <c r="E27" s="585"/>
      <c r="F27" s="1753">
        <f>SUM(C27+D27)-E27</f>
        <v>0</v>
      </c>
      <c r="G27" s="552"/>
    </row>
    <row r="28" spans="1:11" ht="7.5" customHeight="1" thickTop="1" x14ac:dyDescent="0.2">
      <c r="A28" s="593"/>
    </row>
    <row r="29" spans="1:11" ht="23.25" customHeight="1" x14ac:dyDescent="0.2">
      <c r="A29" s="2280" t="s">
        <v>582</v>
      </c>
      <c r="B29" s="2281"/>
      <c r="C29" s="729"/>
      <c r="D29" s="729"/>
      <c r="E29" s="729"/>
      <c r="F29" s="729"/>
      <c r="G29" s="729"/>
      <c r="H29" s="729"/>
      <c r="I29" s="729"/>
      <c r="J29" s="729"/>
    </row>
    <row r="30" spans="1:11" ht="33.75" x14ac:dyDescent="0.2">
      <c r="A30" s="1527" t="s">
        <v>1071</v>
      </c>
      <c r="B30" s="730" t="s">
        <v>1124</v>
      </c>
      <c r="C30" s="1883" t="s">
        <v>583</v>
      </c>
      <c r="D30" s="1883" t="s">
        <v>1673</v>
      </c>
      <c r="E30" s="1883" t="s">
        <v>1938</v>
      </c>
      <c r="F30" s="1883" t="s">
        <v>1939</v>
      </c>
      <c r="G30" s="1883" t="s">
        <v>1890</v>
      </c>
      <c r="H30" s="1883" t="s">
        <v>1940</v>
      </c>
      <c r="I30" s="1883" t="s">
        <v>1941</v>
      </c>
      <c r="J30" s="1884" t="s">
        <v>2</v>
      </c>
      <c r="K30" s="731"/>
    </row>
    <row r="31" spans="1:11" ht="12" customHeight="1" x14ac:dyDescent="0.2">
      <c r="A31" s="732" t="s">
        <v>2059</v>
      </c>
      <c r="B31" s="733">
        <v>39996</v>
      </c>
      <c r="C31" s="734">
        <v>1150000</v>
      </c>
      <c r="D31" s="735">
        <v>4</v>
      </c>
      <c r="E31" s="734">
        <v>585000</v>
      </c>
      <c r="F31" s="734"/>
      <c r="G31" s="734"/>
      <c r="H31" s="734">
        <v>585000</v>
      </c>
      <c r="I31" s="1754">
        <f>((E31+F31)-H31)+G31</f>
        <v>0</v>
      </c>
      <c r="J31" s="734">
        <v>0</v>
      </c>
      <c r="K31" s="736"/>
    </row>
    <row r="32" spans="1:11" ht="12" customHeight="1" x14ac:dyDescent="0.2">
      <c r="A32" s="732" t="s">
        <v>2060</v>
      </c>
      <c r="B32" s="733">
        <v>41789</v>
      </c>
      <c r="C32" s="734">
        <v>600000</v>
      </c>
      <c r="D32" s="735">
        <v>4</v>
      </c>
      <c r="E32" s="734">
        <v>385000</v>
      </c>
      <c r="F32" s="734"/>
      <c r="G32" s="734"/>
      <c r="H32" s="734">
        <v>180000</v>
      </c>
      <c r="I32" s="1754">
        <f>((E32+F32)-H32)+G32</f>
        <v>205000</v>
      </c>
      <c r="J32" s="734">
        <v>0</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1750000</v>
      </c>
      <c r="D49" s="745"/>
      <c r="E49" s="1754">
        <f t="shared" ref="E49:J49" si="2">SUM(E31:E48)</f>
        <v>970000</v>
      </c>
      <c r="F49" s="1754">
        <f t="shared" si="2"/>
        <v>0</v>
      </c>
      <c r="G49" s="1754">
        <f t="shared" si="2"/>
        <v>0</v>
      </c>
      <c r="H49" s="1754">
        <f t="shared" si="2"/>
        <v>765000</v>
      </c>
      <c r="I49" s="1754">
        <f t="shared" si="2"/>
        <v>205000</v>
      </c>
      <c r="J49" s="1754">
        <f t="shared" si="2"/>
        <v>0</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263" t="s">
        <v>584</v>
      </c>
      <c r="C52" s="2264"/>
      <c r="D52" s="2264"/>
      <c r="E52" s="749" t="s">
        <v>845</v>
      </c>
      <c r="F52" s="2265"/>
      <c r="G52" s="2266"/>
      <c r="H52" s="736"/>
      <c r="I52" s="736"/>
      <c r="J52" s="746"/>
    </row>
    <row r="53" spans="1:11" ht="11.25" customHeight="1" x14ac:dyDescent="0.2">
      <c r="A53" s="750" t="s">
        <v>913</v>
      </c>
      <c r="B53" s="751" t="s">
        <v>951</v>
      </c>
      <c r="C53" s="746"/>
      <c r="D53" s="737"/>
      <c r="E53" s="749" t="s">
        <v>497</v>
      </c>
      <c r="F53" s="2267"/>
      <c r="G53" s="2268"/>
      <c r="H53" s="736"/>
      <c r="I53" s="736"/>
      <c r="J53" s="746"/>
    </row>
    <row r="54" spans="1:11" ht="11.25" customHeight="1" x14ac:dyDescent="0.2">
      <c r="A54" s="752" t="s">
        <v>914</v>
      </c>
      <c r="B54" s="747" t="s">
        <v>952</v>
      </c>
      <c r="C54" s="746"/>
      <c r="D54" s="737"/>
      <c r="E54" s="749" t="s">
        <v>498</v>
      </c>
      <c r="F54" s="2267"/>
      <c r="G54" s="226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E34" sqref="E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2" t="s">
        <v>856</v>
      </c>
      <c r="B1" s="2293"/>
      <c r="C1" s="2293"/>
      <c r="D1" s="2293"/>
      <c r="E1" s="2293"/>
      <c r="F1" s="2293"/>
      <c r="G1" s="2294"/>
      <c r="H1" s="1528"/>
      <c r="I1" s="760"/>
      <c r="J1" s="433"/>
    </row>
    <row r="2" spans="1:11" ht="26.25" x14ac:dyDescent="0.2">
      <c r="A2" s="2311" t="s">
        <v>1677</v>
      </c>
      <c r="B2" s="2312"/>
      <c r="C2" s="2312"/>
      <c r="D2" s="2312"/>
      <c r="E2" s="2313"/>
      <c r="F2" s="761" t="s">
        <v>904</v>
      </c>
      <c r="G2" s="762" t="s">
        <v>1674</v>
      </c>
      <c r="H2" s="762" t="s">
        <v>410</v>
      </c>
      <c r="I2" s="762" t="s">
        <v>1158</v>
      </c>
      <c r="J2" s="762" t="s">
        <v>1792</v>
      </c>
      <c r="K2" s="762" t="s">
        <v>138</v>
      </c>
    </row>
    <row r="3" spans="1:11" x14ac:dyDescent="0.2">
      <c r="A3" s="2314" t="s">
        <v>1942</v>
      </c>
      <c r="B3" s="2315"/>
      <c r="C3" s="2315"/>
      <c r="D3" s="2315"/>
      <c r="E3" s="2316"/>
      <c r="F3" s="763"/>
      <c r="G3" s="764"/>
      <c r="H3" s="764"/>
      <c r="I3" s="764"/>
      <c r="J3" s="765"/>
      <c r="K3" s="765"/>
    </row>
    <row r="4" spans="1:11" x14ac:dyDescent="0.2">
      <c r="A4" s="2317" t="s">
        <v>369</v>
      </c>
      <c r="B4" s="2318"/>
      <c r="C4" s="2318"/>
      <c r="D4" s="2318"/>
      <c r="E4" s="2264"/>
      <c r="F4" s="766"/>
      <c r="G4" s="767"/>
      <c r="H4" s="768"/>
      <c r="I4" s="767"/>
      <c r="J4" s="769"/>
      <c r="K4" s="769"/>
    </row>
    <row r="5" spans="1:11" x14ac:dyDescent="0.2">
      <c r="A5" s="2295" t="s">
        <v>1069</v>
      </c>
      <c r="B5" s="2296"/>
      <c r="C5" s="2296"/>
      <c r="D5" s="2296"/>
      <c r="E5" s="2297"/>
      <c r="F5" s="770" t="s">
        <v>848</v>
      </c>
      <c r="G5" s="771"/>
      <c r="H5" s="764">
        <f>+'Tax Sched 23'!B14</f>
        <v>46187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95" t="s">
        <v>1793</v>
      </c>
      <c r="B10" s="2296"/>
      <c r="C10" s="2296"/>
      <c r="D10" s="2296"/>
      <c r="E10" s="2298"/>
      <c r="F10" s="783" t="s">
        <v>862</v>
      </c>
      <c r="G10" s="782"/>
      <c r="H10" s="784"/>
      <c r="I10" s="764"/>
      <c r="J10" s="765"/>
      <c r="K10" s="765"/>
    </row>
    <row r="11" spans="1:11" x14ac:dyDescent="0.2">
      <c r="A11" s="2295" t="s">
        <v>160</v>
      </c>
      <c r="B11" s="2296"/>
      <c r="C11" s="2296"/>
      <c r="D11" s="2296"/>
      <c r="E11" s="2297"/>
      <c r="F11" s="770" t="s">
        <v>852</v>
      </c>
      <c r="G11" s="771"/>
      <c r="H11" s="764"/>
      <c r="I11" s="764"/>
      <c r="J11" s="765"/>
      <c r="K11" s="773"/>
    </row>
    <row r="12" spans="1:11" ht="13.5" thickBot="1" x14ac:dyDescent="0.25">
      <c r="A12" s="2322" t="s">
        <v>905</v>
      </c>
      <c r="B12" s="2323"/>
      <c r="C12" s="2323"/>
      <c r="D12" s="2323"/>
      <c r="E12" s="2324"/>
      <c r="F12" s="1755"/>
      <c r="G12" s="1756">
        <f>SUM(G5:G11)</f>
        <v>0</v>
      </c>
      <c r="H12" s="1756">
        <f>SUM(H5:H11)</f>
        <v>46187</v>
      </c>
      <c r="I12" s="1756">
        <f>SUM(I5:I11)</f>
        <v>0</v>
      </c>
      <c r="J12" s="1756">
        <f>SUM(J5:J11)</f>
        <v>0</v>
      </c>
      <c r="K12" s="1756">
        <f>SUM(K5:K11)</f>
        <v>0</v>
      </c>
    </row>
    <row r="13" spans="1:11" ht="13.5" thickTop="1" x14ac:dyDescent="0.2">
      <c r="A13" s="2319" t="s">
        <v>370</v>
      </c>
      <c r="B13" s="2320"/>
      <c r="C13" s="2320"/>
      <c r="D13" s="2320"/>
      <c r="E13" s="2321"/>
      <c r="F13" s="785"/>
      <c r="G13" s="786"/>
      <c r="H13" s="787"/>
      <c r="I13" s="788"/>
      <c r="J13" s="788"/>
      <c r="K13" s="788"/>
    </row>
    <row r="14" spans="1:11" x14ac:dyDescent="0.2">
      <c r="A14" s="2302" t="s">
        <v>456</v>
      </c>
      <c r="B14" s="2302"/>
      <c r="C14" s="2302"/>
      <c r="D14" s="2302"/>
      <c r="E14" s="2303"/>
      <c r="F14" s="789" t="s">
        <v>854</v>
      </c>
      <c r="G14" s="782"/>
      <c r="H14" s="764">
        <v>46187</v>
      </c>
      <c r="I14" s="771"/>
      <c r="J14" s="773"/>
      <c r="K14" s="765"/>
    </row>
    <row r="15" spans="1:11" x14ac:dyDescent="0.2">
      <c r="A15" s="2296" t="s">
        <v>4</v>
      </c>
      <c r="B15" s="2296"/>
      <c r="C15" s="2296"/>
      <c r="D15" s="2296"/>
      <c r="E15" s="2297"/>
      <c r="F15" s="789" t="s">
        <v>855</v>
      </c>
      <c r="G15" s="771"/>
      <c r="H15" s="764"/>
      <c r="I15" s="764"/>
      <c r="J15" s="765"/>
      <c r="K15" s="765"/>
    </row>
    <row r="16" spans="1:11" x14ac:dyDescent="0.2">
      <c r="A16" s="2296" t="s">
        <v>298</v>
      </c>
      <c r="B16" s="2296"/>
      <c r="C16" s="2296"/>
      <c r="D16" s="2296"/>
      <c r="E16" s="2297"/>
      <c r="F16" s="789" t="s">
        <v>923</v>
      </c>
      <c r="G16" s="772"/>
      <c r="H16" s="767"/>
      <c r="I16" s="767"/>
      <c r="J16" s="769"/>
      <c r="K16" s="769"/>
    </row>
    <row r="17" spans="1:11" x14ac:dyDescent="0.2">
      <c r="A17" s="2327" t="s">
        <v>935</v>
      </c>
      <c r="B17" s="2327"/>
      <c r="C17" s="2327"/>
      <c r="D17" s="2327"/>
      <c r="E17" s="2328"/>
      <c r="F17" s="790"/>
      <c r="G17" s="791"/>
      <c r="H17" s="792"/>
      <c r="I17" s="792"/>
      <c r="J17" s="793"/>
      <c r="K17" s="794"/>
    </row>
    <row r="18" spans="1:11" x14ac:dyDescent="0.2">
      <c r="A18" s="2306" t="s">
        <v>368</v>
      </c>
      <c r="B18" s="2307"/>
      <c r="C18" s="2307"/>
      <c r="D18" s="2307"/>
      <c r="E18" s="2308"/>
      <c r="F18" s="789" t="s">
        <v>932</v>
      </c>
      <c r="G18" s="782"/>
      <c r="H18" s="782"/>
      <c r="I18" s="782"/>
      <c r="J18" s="765"/>
      <c r="K18" s="795"/>
    </row>
    <row r="19" spans="1:11" ht="21.75" customHeight="1" x14ac:dyDescent="0.2">
      <c r="A19" s="2304" t="s">
        <v>1789</v>
      </c>
      <c r="B19" s="2304"/>
      <c r="C19" s="2304"/>
      <c r="D19" s="2304"/>
      <c r="E19" s="2305"/>
      <c r="F19" s="789" t="s">
        <v>933</v>
      </c>
      <c r="G19" s="782"/>
      <c r="H19" s="782"/>
      <c r="I19" s="782"/>
      <c r="J19" s="765"/>
      <c r="K19" s="795"/>
    </row>
    <row r="20" spans="1:11" x14ac:dyDescent="0.2">
      <c r="A20" s="2306" t="s">
        <v>1794</v>
      </c>
      <c r="B20" s="2307"/>
      <c r="C20" s="2307"/>
      <c r="D20" s="2307"/>
      <c r="E20" s="2308"/>
      <c r="F20" s="789" t="s">
        <v>934</v>
      </c>
      <c r="G20" s="782"/>
      <c r="H20" s="782"/>
      <c r="I20" s="782"/>
      <c r="J20" s="765"/>
      <c r="K20" s="795"/>
    </row>
    <row r="21" spans="1:11" ht="13.5" thickBot="1" x14ac:dyDescent="0.25">
      <c r="A21" s="2325" t="s">
        <v>638</v>
      </c>
      <c r="B21" s="2325"/>
      <c r="C21" s="2325"/>
      <c r="D21" s="2325"/>
      <c r="E21" s="2325"/>
      <c r="F21" s="1757"/>
      <c r="G21" s="792"/>
      <c r="H21" s="796"/>
      <c r="I21" s="796"/>
      <c r="J21" s="1758">
        <f>SUM(J18:J20)</f>
        <v>0</v>
      </c>
      <c r="K21" s="793"/>
    </row>
    <row r="22" spans="1:11" ht="13.5" thickTop="1" x14ac:dyDescent="0.2">
      <c r="A22" s="2296" t="s">
        <v>1795</v>
      </c>
      <c r="B22" s="2296"/>
      <c r="C22" s="2296"/>
      <c r="D22" s="2296"/>
      <c r="E22" s="2297"/>
      <c r="F22" s="789" t="s">
        <v>862</v>
      </c>
      <c r="G22" s="782"/>
      <c r="H22" s="764"/>
      <c r="I22" s="764"/>
      <c r="J22" s="797"/>
      <c r="K22" s="765"/>
    </row>
    <row r="23" spans="1:11" ht="13.5" thickBot="1" x14ac:dyDescent="0.25">
      <c r="A23" s="2326" t="s">
        <v>906</v>
      </c>
      <c r="B23" s="2325"/>
      <c r="C23" s="2325"/>
      <c r="D23" s="2325"/>
      <c r="E23" s="2325"/>
      <c r="F23" s="1759"/>
      <c r="G23" s="1756">
        <f>SUM(G14:G16,G21,G22)</f>
        <v>0</v>
      </c>
      <c r="H23" s="1756">
        <f>SUM(H14:H16,H21,H22)</f>
        <v>46187</v>
      </c>
      <c r="I23" s="1756">
        <f>SUM(I14:I16,I21,I22)</f>
        <v>0</v>
      </c>
      <c r="J23" s="1756">
        <f>SUM(J14:J16,J21,J22)</f>
        <v>0</v>
      </c>
      <c r="K23" s="1756">
        <f>SUM(K14:K16,K21,K22)</f>
        <v>0</v>
      </c>
    </row>
    <row r="24" spans="1:11" ht="14.25" thickTop="1" thickBot="1" x14ac:dyDescent="0.25">
      <c r="A24" s="2326" t="s">
        <v>1943</v>
      </c>
      <c r="B24" s="2325"/>
      <c r="C24" s="2325"/>
      <c r="D24" s="2325"/>
      <c r="E24" s="2325"/>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1889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t="s">
        <v>2044</v>
      </c>
      <c r="E30" s="808" t="s">
        <v>768</v>
      </c>
      <c r="F30" s="202"/>
      <c r="G30" s="805"/>
    </row>
    <row r="31" spans="1:11" x14ac:dyDescent="0.2">
      <c r="A31" s="809"/>
      <c r="D31" s="237"/>
      <c r="E31" s="810" t="s">
        <v>769</v>
      </c>
      <c r="F31" s="811" t="s">
        <v>539</v>
      </c>
      <c r="G31" s="764"/>
      <c r="H31" s="2299"/>
      <c r="I31" s="2300"/>
      <c r="J31" s="2300"/>
      <c r="K31" s="2300"/>
    </row>
    <row r="32" spans="1:11" x14ac:dyDescent="0.2">
      <c r="A32" s="809"/>
      <c r="B32" s="237"/>
      <c r="C32" s="237"/>
      <c r="D32" s="237"/>
      <c r="E32" s="805"/>
      <c r="F32" s="811" t="s">
        <v>540</v>
      </c>
      <c r="G32" s="764"/>
      <c r="H32" s="2301"/>
      <c r="I32" s="2300"/>
      <c r="J32" s="2300"/>
      <c r="K32" s="2300"/>
    </row>
    <row r="33" spans="1:11" ht="1.5" customHeight="1" x14ac:dyDescent="0.2">
      <c r="A33" s="812" t="s">
        <v>1169</v>
      </c>
      <c r="B33" s="364"/>
      <c r="C33" s="364"/>
      <c r="D33" s="364"/>
      <c r="E33" s="364"/>
      <c r="F33" s="364"/>
      <c r="G33" s="813"/>
      <c r="H33" s="2301"/>
      <c r="I33" s="2300"/>
      <c r="J33" s="2300"/>
      <c r="K33" s="2300"/>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96" t="s">
        <v>541</v>
      </c>
      <c r="B41" s="2309"/>
      <c r="C41" s="2309"/>
      <c r="D41" s="2309"/>
      <c r="E41" s="2309"/>
      <c r="F41" s="231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1790</v>
      </c>
      <c r="B46" s="408" t="s">
        <v>1675</v>
      </c>
    </row>
    <row r="47" spans="1:11" s="823" customFormat="1" ht="12.75" customHeight="1" x14ac:dyDescent="0.2">
      <c r="A47" s="821"/>
      <c r="B47" s="822" t="s">
        <v>1676</v>
      </c>
      <c r="E47" s="822"/>
      <c r="K47" s="824"/>
    </row>
    <row r="48" spans="1:11" ht="12.75" customHeight="1" x14ac:dyDescent="0.2">
      <c r="A48" s="1530" t="s">
        <v>1791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3" sqref="I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1" t="s">
        <v>1888</v>
      </c>
      <c r="B1" s="2332"/>
      <c r="C1" s="2333"/>
      <c r="D1" s="826"/>
      <c r="E1" s="827"/>
      <c r="F1" s="827"/>
      <c r="G1" s="828"/>
      <c r="H1" s="829"/>
      <c r="I1" s="830"/>
      <c r="J1" s="2329"/>
      <c r="K1" s="2330"/>
      <c r="L1" s="2330"/>
    </row>
    <row r="2" spans="1:14" ht="69.75" customHeight="1" x14ac:dyDescent="0.2">
      <c r="A2" s="831" t="s">
        <v>1678</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627" t="s">
        <v>892</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631291</v>
      </c>
      <c r="D5" s="841"/>
      <c r="E5" s="841"/>
      <c r="F5" s="1758">
        <f>(C5+D5)-E5</f>
        <v>631291</v>
      </c>
      <c r="G5" s="837"/>
      <c r="H5" s="842"/>
      <c r="I5" s="842"/>
      <c r="J5" s="842"/>
      <c r="K5" s="793"/>
      <c r="L5" s="1767">
        <f>F5-K5</f>
        <v>631291</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15095754</v>
      </c>
      <c r="D8" s="844">
        <f>5053+148732-13311</f>
        <v>140474</v>
      </c>
      <c r="E8" s="844"/>
      <c r="F8" s="1758">
        <f>(C8+D8)-E8</f>
        <v>15236228</v>
      </c>
      <c r="G8" s="843">
        <v>50</v>
      </c>
      <c r="H8" s="765">
        <v>6856955</v>
      </c>
      <c r="I8" s="765">
        <v>341242</v>
      </c>
      <c r="J8" s="765"/>
      <c r="K8" s="1767">
        <f>(H8+I8)-J8</f>
        <v>7198197</v>
      </c>
      <c r="L8" s="1767">
        <f>F8-K8</f>
        <v>8038031</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1858835</v>
      </c>
      <c r="D10" s="846"/>
      <c r="E10" s="846"/>
      <c r="F10" s="1762">
        <f>(C10+D10)-E10</f>
        <v>1858835</v>
      </c>
      <c r="G10" s="843">
        <v>20</v>
      </c>
      <c r="H10" s="847">
        <v>1482408</v>
      </c>
      <c r="I10" s="847">
        <v>83901</v>
      </c>
      <c r="J10" s="847"/>
      <c r="K10" s="1767">
        <f>(H10+I10)-J10</f>
        <v>1566309</v>
      </c>
      <c r="L10" s="1767">
        <f>F10-K10</f>
        <v>292526</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1084422</v>
      </c>
      <c r="D12" s="844">
        <f>27725+14890+17280+3147</f>
        <v>63042</v>
      </c>
      <c r="E12" s="844"/>
      <c r="F12" s="1758">
        <f>(C12+D12)-E12</f>
        <v>1147464</v>
      </c>
      <c r="G12" s="843">
        <v>10</v>
      </c>
      <c r="H12" s="765">
        <v>931985</v>
      </c>
      <c r="I12" s="765">
        <f>843+9990+1406+404+5584+1985+1264+1168+151+179+432+57+870+1643+2064+1277+496+576+52</f>
        <v>30441</v>
      </c>
      <c r="J12" s="765"/>
      <c r="K12" s="1767">
        <f>(H12+I12)-J12</f>
        <v>962426</v>
      </c>
      <c r="L12" s="1767">
        <f>F12-K12</f>
        <v>185038</v>
      </c>
    </row>
    <row r="13" spans="1:14" ht="14.25" thickTop="1" thickBot="1" x14ac:dyDescent="0.25">
      <c r="A13" s="848" t="s">
        <v>1122</v>
      </c>
      <c r="B13" s="840">
        <v>252</v>
      </c>
      <c r="C13" s="844">
        <v>390017</v>
      </c>
      <c r="D13" s="844">
        <f>11727+9400</f>
        <v>21127</v>
      </c>
      <c r="E13" s="844"/>
      <c r="F13" s="1758">
        <f>(C13+D13)-E13</f>
        <v>411144</v>
      </c>
      <c r="G13" s="843">
        <v>5</v>
      </c>
      <c r="H13" s="765">
        <v>369149</v>
      </c>
      <c r="I13" s="765">
        <f>6350+2228+977+157</f>
        <v>9712</v>
      </c>
      <c r="J13" s="765"/>
      <c r="K13" s="1767">
        <f>(H13+I13)-J13</f>
        <v>378861</v>
      </c>
      <c r="L13" s="1767">
        <f>F13-K13</f>
        <v>32283</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528</v>
      </c>
      <c r="B15" s="1628">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19060319</v>
      </c>
      <c r="D16" s="1758">
        <f>SUM(D3,D5:D6,D8:D10,D12:D15)</f>
        <v>224643</v>
      </c>
      <c r="E16" s="1758">
        <f>SUM(E3,E5:E6,E8:E10,E12:E15)</f>
        <v>0</v>
      </c>
      <c r="F16" s="1758">
        <f>SUM(F3,F5:F6,F8:F10,F12:F15)</f>
        <v>19284962</v>
      </c>
      <c r="G16" s="843"/>
      <c r="H16" s="1758">
        <f>SUM(H3,H6,H8:H10,H12:H14,)</f>
        <v>9640497</v>
      </c>
      <c r="I16" s="1758">
        <f>SUM(I3,I6,I8:I10,I12:I14,)</f>
        <v>465296</v>
      </c>
      <c r="J16" s="1758">
        <f>SUM(J3,J6,J8:J10,J12:J14,)</f>
        <v>0</v>
      </c>
      <c r="K16" s="1758">
        <f>(H16+I16)-J16</f>
        <v>10105793</v>
      </c>
      <c r="L16" s="1758">
        <f>F16-K16</f>
        <v>9179169</v>
      </c>
    </row>
    <row r="17" spans="1:12" ht="15" customHeight="1" thickTop="1" thickBot="1" x14ac:dyDescent="0.25">
      <c r="A17" s="1631" t="s">
        <v>291</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465296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17"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37" t="s">
        <v>1953</v>
      </c>
      <c r="B1" s="2338"/>
      <c r="C1" s="2338"/>
      <c r="D1" s="2338"/>
      <c r="E1" s="2338"/>
      <c r="F1" s="2339"/>
      <c r="G1" s="855"/>
    </row>
    <row r="2" spans="1:7" ht="15" customHeight="1" thickBot="1" x14ac:dyDescent="0.25">
      <c r="A2" s="2340" t="s">
        <v>477</v>
      </c>
      <c r="B2" s="2341"/>
      <c r="C2" s="2341"/>
      <c r="D2" s="2341"/>
      <c r="E2" s="2341"/>
      <c r="F2" s="234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43"/>
      <c r="B5" s="2344"/>
      <c r="C5" s="2344"/>
      <c r="D5" s="2344"/>
      <c r="E5" s="2344"/>
      <c r="F5" s="2344"/>
    </row>
    <row r="6" spans="1:7" ht="13.5" customHeight="1" thickBot="1" x14ac:dyDescent="0.25">
      <c r="A6" s="2334" t="s">
        <v>1104</v>
      </c>
      <c r="B6" s="2335"/>
      <c r="C6" s="2335"/>
      <c r="D6" s="2335"/>
      <c r="E6" s="2335"/>
      <c r="F6" s="233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9562845</v>
      </c>
      <c r="G8" s="865"/>
    </row>
    <row r="9" spans="1:7" x14ac:dyDescent="0.2">
      <c r="A9" s="869" t="s">
        <v>460</v>
      </c>
      <c r="B9" s="870" t="s">
        <v>1856</v>
      </c>
      <c r="C9" s="871"/>
      <c r="D9" s="869" t="s">
        <v>501</v>
      </c>
      <c r="E9" s="868"/>
      <c r="F9" s="1907">
        <f>'Expenditures 15-22'!K151</f>
        <v>642513</v>
      </c>
      <c r="G9" s="872"/>
    </row>
    <row r="10" spans="1:7" x14ac:dyDescent="0.2">
      <c r="A10" s="869" t="s">
        <v>499</v>
      </c>
      <c r="B10" s="870" t="s">
        <v>1857</v>
      </c>
      <c r="C10" s="871"/>
      <c r="D10" s="869" t="s">
        <v>501</v>
      </c>
      <c r="E10" s="868"/>
      <c r="F10" s="1907">
        <f>'Expenditures 15-22'!K174</f>
        <v>793280</v>
      </c>
      <c r="G10" s="872"/>
    </row>
    <row r="11" spans="1:7" x14ac:dyDescent="0.2">
      <c r="A11" s="869" t="s">
        <v>461</v>
      </c>
      <c r="B11" s="870" t="s">
        <v>1858</v>
      </c>
      <c r="C11" s="871"/>
      <c r="D11" s="869" t="s">
        <v>501</v>
      </c>
      <c r="E11" s="868"/>
      <c r="F11" s="1907">
        <f>'Expenditures 15-22'!K210</f>
        <v>747884</v>
      </c>
      <c r="G11" s="872"/>
    </row>
    <row r="12" spans="1:7" x14ac:dyDescent="0.2">
      <c r="A12" s="869" t="s">
        <v>462</v>
      </c>
      <c r="B12" s="870" t="s">
        <v>1859</v>
      </c>
      <c r="C12" s="871"/>
      <c r="D12" s="869" t="s">
        <v>501</v>
      </c>
      <c r="E12" s="868"/>
      <c r="F12" s="1907">
        <f>'Expenditures 15-22'!K295</f>
        <v>385469</v>
      </c>
      <c r="G12" s="872"/>
    </row>
    <row r="13" spans="1:7" x14ac:dyDescent="0.2">
      <c r="A13" s="869" t="s">
        <v>106</v>
      </c>
      <c r="B13" s="870" t="s">
        <v>1860</v>
      </c>
      <c r="C13" s="871"/>
      <c r="D13" s="869" t="s">
        <v>501</v>
      </c>
      <c r="E13" s="868"/>
      <c r="F13" s="1907">
        <f>'Expenditures 15-22'!K342</f>
        <v>869028</v>
      </c>
      <c r="G13" s="873"/>
    </row>
    <row r="14" spans="1:7" ht="12" customHeight="1" thickBot="1" x14ac:dyDescent="0.25">
      <c r="A14" s="1768"/>
      <c r="B14" s="1769"/>
      <c r="C14" s="1770"/>
      <c r="D14" s="1771" t="s">
        <v>501</v>
      </c>
      <c r="E14" s="1772" t="s">
        <v>958</v>
      </c>
      <c r="F14" s="1773">
        <f>SUM(F8:F13)</f>
        <v>13001019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1976</v>
      </c>
      <c r="C30" s="880">
        <f>'Revenues 9-14'!B150</f>
        <v>3499</v>
      </c>
      <c r="D30" s="881" t="str">
        <f>'Revenues 9-14'!A150</f>
        <v>Adult Ed - Other (Describe &amp; Itemize)</v>
      </c>
      <c r="E30" s="868"/>
      <c r="F30" s="1912">
        <f>('Revenues 9-14'!D150+'Revenues 9-14'!F150)</f>
        <v>0</v>
      </c>
      <c r="G30" s="865"/>
    </row>
    <row r="31" spans="1:7" x14ac:dyDescent="0.2">
      <c r="A31" s="869" t="s">
        <v>1097</v>
      </c>
      <c r="B31" s="870" t="s">
        <v>1977</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1978</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1979</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169715</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34096</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161674</v>
      </c>
      <c r="G52" s="865"/>
    </row>
    <row r="53" spans="1:7" x14ac:dyDescent="0.2">
      <c r="A53" s="869" t="s">
        <v>459</v>
      </c>
      <c r="B53" s="869" t="s">
        <v>1475</v>
      </c>
      <c r="C53" s="889">
        <f>'Expenditures 15-22'!B102</f>
        <v>4000</v>
      </c>
      <c r="D53" s="888" t="str">
        <f>'Expenditures 15-22'!A102</f>
        <v>Total Payments to Other Govt Units</v>
      </c>
      <c r="E53" s="868"/>
      <c r="F53" s="1911">
        <f>'Expenditures 15-22'!K102</f>
        <v>380182</v>
      </c>
      <c r="G53" s="865"/>
    </row>
    <row r="54" spans="1:7" x14ac:dyDescent="0.2">
      <c r="A54" s="869" t="s">
        <v>459</v>
      </c>
      <c r="B54" s="869" t="s">
        <v>1476</v>
      </c>
      <c r="C54" s="889" t="s">
        <v>982</v>
      </c>
      <c r="D54" s="885" t="s">
        <v>1095</v>
      </c>
      <c r="E54" s="868"/>
      <c r="F54" s="1911">
        <f>'Expenditures 15-22'!G114</f>
        <v>3147</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1861</v>
      </c>
      <c r="C57" s="889">
        <f>'Expenditures 15-22'!B139</f>
        <v>4000</v>
      </c>
      <c r="D57" s="887" t="str">
        <f>'Expenditures 15-22'!A139</f>
        <v>Total Payments to Other Govt Units</v>
      </c>
      <c r="E57" s="868"/>
      <c r="F57" s="1911">
        <f>'Expenditures 15-22'!K139</f>
        <v>0</v>
      </c>
      <c r="G57" s="865"/>
    </row>
    <row r="58" spans="1:7" x14ac:dyDescent="0.2">
      <c r="A58" s="869" t="s">
        <v>460</v>
      </c>
      <c r="B58" s="869" t="s">
        <v>1862</v>
      </c>
      <c r="C58" s="886" t="s">
        <v>982</v>
      </c>
      <c r="D58" s="885" t="s">
        <v>1095</v>
      </c>
      <c r="E58" s="868"/>
      <c r="F58" s="1913">
        <f>'Expenditures 15-22'!G151</f>
        <v>26180</v>
      </c>
      <c r="G58" s="865"/>
    </row>
    <row r="59" spans="1:7" x14ac:dyDescent="0.2">
      <c r="A59" s="893" t="s">
        <v>460</v>
      </c>
      <c r="B59" s="856" t="s">
        <v>1863</v>
      </c>
      <c r="C59" s="894" t="s">
        <v>982</v>
      </c>
      <c r="D59" s="856" t="s">
        <v>291</v>
      </c>
      <c r="F59" s="1914">
        <f>'Expenditures 15-22'!I151</f>
        <v>0</v>
      </c>
      <c r="G59" s="865"/>
    </row>
    <row r="60" spans="1:7" x14ac:dyDescent="0.2">
      <c r="A60" s="893" t="s">
        <v>499</v>
      </c>
      <c r="B60" s="856" t="s">
        <v>1864</v>
      </c>
      <c r="C60" s="894">
        <v>4000</v>
      </c>
      <c r="D60" s="856" t="s">
        <v>312</v>
      </c>
      <c r="F60" s="1912">
        <f>'Expenditures 15-22'!K160</f>
        <v>0</v>
      </c>
      <c r="G60" s="865"/>
    </row>
    <row r="61" spans="1:7" x14ac:dyDescent="0.2">
      <c r="A61" s="895" t="s">
        <v>499</v>
      </c>
      <c r="B61" s="895" t="s">
        <v>1865</v>
      </c>
      <c r="C61" s="896" t="str">
        <f>'Expenditures 15-22'!B170</f>
        <v>5300</v>
      </c>
      <c r="D61" s="897" t="s">
        <v>311</v>
      </c>
      <c r="E61" s="879"/>
      <c r="F61" s="1911">
        <f>'Expenditures 15-22'!K170</f>
        <v>765000</v>
      </c>
      <c r="G61" s="865"/>
    </row>
    <row r="62" spans="1:7" x14ac:dyDescent="0.2">
      <c r="A62" s="869" t="s">
        <v>461</v>
      </c>
      <c r="B62" s="869" t="s">
        <v>1866</v>
      </c>
      <c r="C62" s="886">
        <f>'Expenditures 15-22'!B185</f>
        <v>3000</v>
      </c>
      <c r="D62" s="876" t="s">
        <v>449</v>
      </c>
      <c r="E62" s="868"/>
      <c r="F62" s="1911">
        <f>'Expenditures 15-22'!K185-SUM('Expenditures 15-22'!G185,'Expenditures 15-22'!I185)</f>
        <v>0</v>
      </c>
      <c r="G62" s="865"/>
    </row>
    <row r="63" spans="1:7" x14ac:dyDescent="0.2">
      <c r="A63" s="869" t="s">
        <v>461</v>
      </c>
      <c r="B63" s="869" t="s">
        <v>1867</v>
      </c>
      <c r="C63" s="886" t="str">
        <f>'Expenditures 15-22'!B196</f>
        <v>4000</v>
      </c>
      <c r="D63" s="887" t="str">
        <f>'Expenditures 15-22'!A196</f>
        <v>Total Payments to Other Govt Units</v>
      </c>
      <c r="E63" s="868"/>
      <c r="F63" s="1911">
        <f>'Expenditures 15-22'!K196</f>
        <v>739189</v>
      </c>
      <c r="G63" s="865"/>
    </row>
    <row r="64" spans="1:7" x14ac:dyDescent="0.2">
      <c r="A64" s="895" t="s">
        <v>461</v>
      </c>
      <c r="B64" s="895" t="s">
        <v>1868</v>
      </c>
      <c r="C64" s="896" t="str">
        <f>'Expenditures 15-22'!B206</f>
        <v>5300</v>
      </c>
      <c r="D64" s="892" t="s">
        <v>311</v>
      </c>
      <c r="E64" s="868"/>
      <c r="F64" s="1911">
        <f>'Expenditures 15-22'!K206</f>
        <v>0</v>
      </c>
      <c r="G64" s="865"/>
    </row>
    <row r="65" spans="1:8" x14ac:dyDescent="0.2">
      <c r="A65" s="869" t="s">
        <v>461</v>
      </c>
      <c r="B65" s="869" t="s">
        <v>1869</v>
      </c>
      <c r="C65" s="886" t="s">
        <v>982</v>
      </c>
      <c r="D65" s="885" t="s">
        <v>1095</v>
      </c>
      <c r="E65" s="868"/>
      <c r="F65" s="1911">
        <f>'Expenditures 15-22'!G210</f>
        <v>0</v>
      </c>
      <c r="G65" s="865"/>
    </row>
    <row r="66" spans="1:8" x14ac:dyDescent="0.2">
      <c r="A66" s="869" t="s">
        <v>461</v>
      </c>
      <c r="B66" s="869" t="s">
        <v>1870</v>
      </c>
      <c r="C66" s="886" t="s">
        <v>982</v>
      </c>
      <c r="D66" s="885" t="s">
        <v>291</v>
      </c>
      <c r="E66" s="868"/>
      <c r="F66" s="1911">
        <f>'Expenditures 15-22'!I210</f>
        <v>0</v>
      </c>
      <c r="G66" s="865"/>
    </row>
    <row r="67" spans="1:8" x14ac:dyDescent="0.2">
      <c r="A67" s="869" t="s">
        <v>462</v>
      </c>
      <c r="B67" s="869" t="s">
        <v>1871</v>
      </c>
      <c r="C67" s="886" t="str">
        <f>'Expenditures 15-22'!B216</f>
        <v>1125</v>
      </c>
      <c r="D67" s="892" t="str">
        <f>'Expenditures 15-22'!A216</f>
        <v>Pre-K Programs</v>
      </c>
      <c r="E67" s="868"/>
      <c r="F67" s="1911">
        <f>'Expenditures 15-22'!K216</f>
        <v>7401</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1872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1873</v>
      </c>
      <c r="C70" s="886">
        <f>'Expenditures 15-22'!B221</f>
        <v>1300</v>
      </c>
      <c r="D70" s="887" t="str">
        <f>'Expenditures 15-22'!A221</f>
        <v>Adult/Continuing Education Programs</v>
      </c>
      <c r="E70" s="868"/>
      <c r="F70" s="1911">
        <f>'Expenditures 15-22'!K221</f>
        <v>0</v>
      </c>
      <c r="G70" s="865"/>
    </row>
    <row r="71" spans="1:8" x14ac:dyDescent="0.2">
      <c r="A71" s="869" t="s">
        <v>462</v>
      </c>
      <c r="B71" s="869" t="s">
        <v>1874</v>
      </c>
      <c r="C71" s="886">
        <f>'Expenditures 15-22'!B224</f>
        <v>1600</v>
      </c>
      <c r="D71" s="887" t="str">
        <f>'Expenditures 15-22'!A224</f>
        <v>Summer School Programs</v>
      </c>
      <c r="E71" s="868"/>
      <c r="F71" s="1911">
        <f>'Expenditures 15-22'!K224</f>
        <v>0</v>
      </c>
      <c r="G71" s="865"/>
    </row>
    <row r="72" spans="1:8" x14ac:dyDescent="0.2">
      <c r="A72" s="869" t="s">
        <v>462</v>
      </c>
      <c r="B72" s="869" t="s">
        <v>1875</v>
      </c>
      <c r="C72" s="886">
        <f>'Expenditures 15-22'!B280</f>
        <v>3000</v>
      </c>
      <c r="D72" s="876" t="s">
        <v>449</v>
      </c>
      <c r="E72" s="868"/>
      <c r="F72" s="1911">
        <f>'Expenditures 15-22'!K280</f>
        <v>14654</v>
      </c>
      <c r="G72" s="865"/>
    </row>
    <row r="73" spans="1:8" x14ac:dyDescent="0.2">
      <c r="A73" s="869" t="s">
        <v>462</v>
      </c>
      <c r="B73" s="869" t="s">
        <v>1876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1877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1878</v>
      </c>
      <c r="E76" s="1772" t="s">
        <v>958</v>
      </c>
      <c r="F76" s="1776">
        <f>SUM(F18:F74)</f>
        <v>2301238</v>
      </c>
      <c r="G76" s="865"/>
    </row>
    <row r="77" spans="1:8" s="893" customFormat="1" ht="12" customHeight="1" thickTop="1" thickBot="1" x14ac:dyDescent="0.25">
      <c r="A77" s="1777"/>
      <c r="B77" s="1774"/>
      <c r="C77" s="1770"/>
      <c r="D77" s="1775" t="s">
        <v>1879</v>
      </c>
      <c r="E77" s="1772"/>
      <c r="F77" s="1778">
        <f>(F14-F76)</f>
        <v>10699781</v>
      </c>
      <c r="G77" s="869"/>
    </row>
    <row r="78" spans="1:8" s="893" customFormat="1" ht="12" customHeight="1" thickTop="1" x14ac:dyDescent="0.2">
      <c r="A78" s="1779"/>
      <c r="B78" s="1774"/>
      <c r="C78" s="1770"/>
      <c r="D78" s="1775" t="s">
        <v>2039</v>
      </c>
      <c r="E78" s="1772"/>
      <c r="F78" s="898">
        <v>1144.0999999999999</v>
      </c>
      <c r="G78" s="899"/>
      <c r="H78" s="869"/>
    </row>
    <row r="79" spans="1:8" s="893" customFormat="1" ht="12" customHeight="1" thickBot="1" x14ac:dyDescent="0.25">
      <c r="A79" s="1780"/>
      <c r="B79" s="1774"/>
      <c r="C79" s="1770"/>
      <c r="D79" s="1775" t="s">
        <v>1880</v>
      </c>
      <c r="E79" s="1772" t="s">
        <v>958</v>
      </c>
      <c r="F79" s="1781">
        <f>IF(F78&gt;0,F77/F78," Complete Line 78")</f>
        <v>9352.1379250065565</v>
      </c>
      <c r="G79" s="869"/>
    </row>
    <row r="80" spans="1:8" s="893" customFormat="1" ht="8.25" customHeight="1" thickTop="1" x14ac:dyDescent="0.2">
      <c r="A80" s="900"/>
      <c r="B80" s="869"/>
      <c r="C80" s="871"/>
      <c r="D80" s="901"/>
      <c r="E80" s="868"/>
      <c r="F80" s="902"/>
      <c r="G80" s="869"/>
    </row>
    <row r="81" spans="1:7" s="893" customFormat="1" ht="12" thickBot="1" x14ac:dyDescent="0.25">
      <c r="A81" s="2334" t="s">
        <v>1105</v>
      </c>
      <c r="B81" s="2335"/>
      <c r="C81" s="2335"/>
      <c r="D81" s="2335"/>
      <c r="E81" s="2335"/>
      <c r="F81" s="233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144599</v>
      </c>
      <c r="G94" s="912"/>
    </row>
    <row r="95" spans="1:7" x14ac:dyDescent="0.2">
      <c r="A95" s="908" t="s">
        <v>140</v>
      </c>
      <c r="B95" s="908" t="s">
        <v>175</v>
      </c>
      <c r="C95" s="910">
        <v>1700</v>
      </c>
      <c r="D95" s="918" t="str">
        <f>'Revenues 9-14'!A82</f>
        <v>Total District/School Activity Income</v>
      </c>
      <c r="E95" s="906"/>
      <c r="F95" s="1787">
        <f>SUM('Revenues 9-14'!C82,'Revenues 9-14'!D82)</f>
        <v>29992</v>
      </c>
      <c r="G95" s="912"/>
    </row>
    <row r="96" spans="1:7" x14ac:dyDescent="0.2">
      <c r="A96" s="908" t="s">
        <v>459</v>
      </c>
      <c r="B96" s="908" t="s">
        <v>176</v>
      </c>
      <c r="C96" s="910">
        <f>'Revenues 9-14'!B84</f>
        <v>1811</v>
      </c>
      <c r="D96" s="911" t="str">
        <f>'Revenues 9-14'!A84</f>
        <v>Rentals - Regular Textbooks</v>
      </c>
      <c r="E96" s="906"/>
      <c r="F96" s="1787">
        <f>'Revenues 9-14'!C84</f>
        <v>39459</v>
      </c>
      <c r="G96" s="912"/>
    </row>
    <row r="97" spans="1:7" x14ac:dyDescent="0.2">
      <c r="A97" s="908" t="s">
        <v>459</v>
      </c>
      <c r="B97" s="908" t="s">
        <v>177</v>
      </c>
      <c r="C97" s="910">
        <f>'Revenues 9-14'!B87</f>
        <v>1819</v>
      </c>
      <c r="D97" s="911" t="str">
        <f>'Revenues 9-14'!A87</f>
        <v>Rentals - Other (Describe &amp; Itemize)</v>
      </c>
      <c r="E97" s="906"/>
      <c r="F97" s="1787">
        <f>'Revenues 9-14'!C87</f>
        <v>418</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7682</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400</v>
      </c>
      <c r="G103" s="912"/>
    </row>
    <row r="104" spans="1:7" x14ac:dyDescent="0.2">
      <c r="A104" s="908" t="s">
        <v>459</v>
      </c>
      <c r="B104" s="908" t="s">
        <v>808</v>
      </c>
      <c r="C104" s="910">
        <f>'Revenues 9-14'!B106</f>
        <v>1993</v>
      </c>
      <c r="D104" s="911" t="str">
        <f>'Revenues 9-14'!A106</f>
        <v>Other Local Fees (Describe &amp; Itemize)</v>
      </c>
      <c r="E104" s="906"/>
      <c r="F104" s="1787">
        <f>('Revenues 9-14'!C106)</f>
        <v>177560</v>
      </c>
      <c r="G104" s="912"/>
    </row>
    <row r="105" spans="1:7" x14ac:dyDescent="0.2">
      <c r="A105" s="908" t="s">
        <v>503</v>
      </c>
      <c r="B105" s="908" t="s">
        <v>1980</v>
      </c>
      <c r="C105" s="913">
        <v>3100</v>
      </c>
      <c r="D105" s="919" t="str">
        <f>'Revenues 9-14'!A132</f>
        <v>Total Special Education</v>
      </c>
      <c r="E105" s="906"/>
      <c r="F105" s="1787">
        <f>SUM('Revenues 9-14'!C132:D132,'Revenues 9-14'!F132)</f>
        <v>96651</v>
      </c>
      <c r="G105" s="912"/>
    </row>
    <row r="106" spans="1:7" x14ac:dyDescent="0.2">
      <c r="A106" s="908" t="s">
        <v>673</v>
      </c>
      <c r="B106" s="908" t="s">
        <v>1981</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1982</v>
      </c>
      <c r="C107" s="920">
        <v>3300</v>
      </c>
      <c r="D107" s="911" t="str">
        <f>'Revenues 9-14'!A145</f>
        <v>Total Bilingual Ed</v>
      </c>
      <c r="E107" s="906"/>
      <c r="F107" s="1787">
        <f>SUM('Revenues 9-14'!C145,'Revenues 9-14'!G145)</f>
        <v>0</v>
      </c>
      <c r="G107" s="912"/>
    </row>
    <row r="108" spans="1:7" x14ac:dyDescent="0.2">
      <c r="A108" s="908" t="s">
        <v>459</v>
      </c>
      <c r="B108" s="908" t="s">
        <v>1983</v>
      </c>
      <c r="C108" s="920">
        <f>'Revenues 9-14'!B146</f>
        <v>3360</v>
      </c>
      <c r="D108" s="911" t="str">
        <f>'Revenues 9-14'!A146</f>
        <v>State Free Lunch &amp; Breakfast</v>
      </c>
      <c r="E108" s="906"/>
      <c r="F108" s="1787">
        <f>'Revenues 9-14'!C146</f>
        <v>8165</v>
      </c>
      <c r="G108" s="912"/>
    </row>
    <row r="109" spans="1:7" x14ac:dyDescent="0.2">
      <c r="A109" s="908" t="s">
        <v>673</v>
      </c>
      <c r="B109" s="908" t="s">
        <v>1984</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87">
        <f>SUM('Revenues 9-14'!C148,'Revenues 9-14'!D148)</f>
        <v>0</v>
      </c>
      <c r="G110" s="912"/>
    </row>
    <row r="111" spans="1:7" x14ac:dyDescent="0.2">
      <c r="A111" s="908" t="s">
        <v>668</v>
      </c>
      <c r="B111" s="908" t="s">
        <v>1986</v>
      </c>
      <c r="C111" s="922">
        <v>3500</v>
      </c>
      <c r="D111" s="911" t="str">
        <f>'Revenues 9-14'!A155</f>
        <v>Total Transportation</v>
      </c>
      <c r="E111" s="906"/>
      <c r="F111" s="1787">
        <f>SUM('Revenues 9-14'!C155,'Revenues 9-14'!D155,'Revenues 9-14'!F155,'Revenues 9-14'!G155)</f>
        <v>377067</v>
      </c>
      <c r="G111" s="912"/>
    </row>
    <row r="112" spans="1:7" x14ac:dyDescent="0.2">
      <c r="A112" s="908" t="s">
        <v>459</v>
      </c>
      <c r="B112" s="908" t="s">
        <v>1987</v>
      </c>
      <c r="C112" s="920">
        <f>'Revenues 9-14'!B156</f>
        <v>3610</v>
      </c>
      <c r="D112" s="911" t="str">
        <f>'Revenues 9-14'!A156</f>
        <v>Learning Improvement - Change Grants</v>
      </c>
      <c r="E112" s="906"/>
      <c r="F112" s="1787">
        <f>'Revenues 9-14'!C156</f>
        <v>0</v>
      </c>
      <c r="G112" s="912"/>
    </row>
    <row r="113" spans="1:7" x14ac:dyDescent="0.2">
      <c r="A113" s="908" t="s">
        <v>668</v>
      </c>
      <c r="B113" s="908" t="s">
        <v>1988</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1990</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1991</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1992</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1993</v>
      </c>
      <c r="C118" s="924">
        <f>'Revenues 9-14'!B163</f>
        <v>3780</v>
      </c>
      <c r="D118" s="925" t="str">
        <f>'Revenues 9-14'!A163</f>
        <v>Technology - Technology for Success</v>
      </c>
      <c r="E118" s="906"/>
      <c r="F118" s="1905">
        <f>SUM('Revenues 9-14'!C163:G163)</f>
        <v>0</v>
      </c>
      <c r="G118" s="912"/>
    </row>
    <row r="119" spans="1:7" x14ac:dyDescent="0.2">
      <c r="A119" s="923" t="s">
        <v>504</v>
      </c>
      <c r="B119" s="923" t="s">
        <v>1994</v>
      </c>
      <c r="C119" s="924">
        <f>'Revenues 9-14'!B164</f>
        <v>3815</v>
      </c>
      <c r="D119" s="925" t="str">
        <f>'Revenues 9-14'!A164</f>
        <v>State Charter Schools</v>
      </c>
      <c r="E119" s="906"/>
      <c r="F119" s="1905">
        <f>SUM('Revenues 9-14'!C164,'Revenues 9-14'!F164)</f>
        <v>0</v>
      </c>
      <c r="G119" s="912"/>
    </row>
    <row r="120" spans="1:7" x14ac:dyDescent="0.2">
      <c r="A120" s="927" t="s">
        <v>460</v>
      </c>
      <c r="B120" s="927" t="s">
        <v>1995</v>
      </c>
      <c r="C120" s="928">
        <f>'Revenues 9-14'!B167</f>
        <v>3925</v>
      </c>
      <c r="D120" s="929" t="str">
        <f>'Revenues 9-14'!A167</f>
        <v>School Infrastructure - Maintenance Projects</v>
      </c>
      <c r="E120" s="906"/>
      <c r="F120" s="1787">
        <f>'Revenues 9-14'!D167</f>
        <v>0</v>
      </c>
      <c r="G120" s="930"/>
    </row>
    <row r="121" spans="1:7" x14ac:dyDescent="0.2">
      <c r="A121" s="927" t="s">
        <v>500</v>
      </c>
      <c r="B121" s="927" t="s">
        <v>1996</v>
      </c>
      <c r="C121" s="928">
        <f>'Revenues 9-14'!B168</f>
        <v>3999</v>
      </c>
      <c r="D121" s="929" t="s">
        <v>543</v>
      </c>
      <c r="E121" s="931"/>
      <c r="F121" s="1787">
        <f>SUM('Revenues 9-14'!C168:G168,'Revenues 9-14'!J168)</f>
        <v>889</v>
      </c>
      <c r="G121" s="930"/>
    </row>
    <row r="122" spans="1:7" x14ac:dyDescent="0.2">
      <c r="A122" s="927" t="s">
        <v>459</v>
      </c>
      <c r="B122" s="927" t="s">
        <v>1997</v>
      </c>
      <c r="C122" s="932">
        <f>'Revenues 9-14'!B177</f>
        <v>4045</v>
      </c>
      <c r="D122" s="929" t="str">
        <f>'Revenues 9-14'!A177 &amp; " (Subtract)"</f>
        <v>Head Start (Subtract)</v>
      </c>
      <c r="E122" s="906"/>
      <c r="F122" s="1787">
        <f>SUM(-'Revenues 9-14'!C177)</f>
        <v>0</v>
      </c>
      <c r="G122" s="930"/>
    </row>
    <row r="123" spans="1:7" x14ac:dyDescent="0.2">
      <c r="A123" s="927" t="s">
        <v>668</v>
      </c>
      <c r="B123" s="927" t="s">
        <v>1998</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1999</v>
      </c>
      <c r="C124" s="932">
        <v>4100</v>
      </c>
      <c r="D124" s="933" t="str">
        <f>'Revenues 9-14'!A188</f>
        <v>Total Title V</v>
      </c>
      <c r="E124" s="906"/>
      <c r="F124" s="1787">
        <f>SUM('Revenues 9-14'!C188,'Revenues 9-14'!D188,'Revenues 9-14'!F188,'Revenues 9-14'!G188)</f>
        <v>0</v>
      </c>
      <c r="G124" s="930"/>
    </row>
    <row r="125" spans="1:7" x14ac:dyDescent="0.2">
      <c r="A125" s="927" t="s">
        <v>664</v>
      </c>
      <c r="B125" s="927" t="s">
        <v>2000</v>
      </c>
      <c r="C125" s="932">
        <v>4200</v>
      </c>
      <c r="D125" s="929" t="str">
        <f>'Revenues 9-14'!A198</f>
        <v>Total Food Service</v>
      </c>
      <c r="E125" s="906"/>
      <c r="F125" s="1787">
        <f>SUM('Revenues 9-14'!C198,'Revenues 9-14'!G198)</f>
        <v>445757</v>
      </c>
      <c r="G125" s="930"/>
    </row>
    <row r="126" spans="1:7" x14ac:dyDescent="0.2">
      <c r="A126" s="927" t="s">
        <v>668</v>
      </c>
      <c r="B126" s="927" t="s">
        <v>2001</v>
      </c>
      <c r="C126" s="932">
        <v>4300</v>
      </c>
      <c r="D126" s="933" t="str">
        <f>'Revenues 9-14'!A204</f>
        <v>Total Title I</v>
      </c>
      <c r="E126" s="906"/>
      <c r="F126" s="1787">
        <f>SUM('Revenues 9-14'!C204,'Revenues 9-14'!D204,'Revenues 9-14'!F204,'Revenues 9-14'!G204)</f>
        <v>324126</v>
      </c>
      <c r="G126" s="930"/>
    </row>
    <row r="127" spans="1:7" x14ac:dyDescent="0.2">
      <c r="A127" s="927" t="s">
        <v>668</v>
      </c>
      <c r="B127" s="927" t="s">
        <v>2002</v>
      </c>
      <c r="C127" s="932">
        <v>4400</v>
      </c>
      <c r="D127" s="933" t="str">
        <f>'Revenues 9-14'!A209</f>
        <v>Total Title IV</v>
      </c>
      <c r="E127" s="906"/>
      <c r="F127" s="1787">
        <f>SUM('Revenues 9-14'!C209,'Revenues 9-14'!D209,'Revenues 9-14'!F209,'Revenues 9-14'!G209)</f>
        <v>0</v>
      </c>
      <c r="G127" s="930"/>
    </row>
    <row r="128" spans="1:7" x14ac:dyDescent="0.2">
      <c r="A128" s="927" t="s">
        <v>668</v>
      </c>
      <c r="B128" s="927" t="s">
        <v>2003</v>
      </c>
      <c r="C128" s="932">
        <f>'Revenues 9-14'!B213</f>
        <v>4620</v>
      </c>
      <c r="D128" s="933" t="str">
        <f>'Revenues 9-14'!A213</f>
        <v>Fed - Spec Education - IDEA - Flow Through</v>
      </c>
      <c r="E128" s="906"/>
      <c r="F128" s="1787">
        <f>SUM('Revenues 9-14'!C213:D213,'Revenues 9-14'!F213:G213)</f>
        <v>218685</v>
      </c>
      <c r="G128" s="930"/>
    </row>
    <row r="129" spans="1:7" x14ac:dyDescent="0.2">
      <c r="A129" s="927" t="s">
        <v>668</v>
      </c>
      <c r="B129" s="927" t="s">
        <v>2004</v>
      </c>
      <c r="C129" s="932">
        <f>'Revenues 9-14'!B214</f>
        <v>4625</v>
      </c>
      <c r="D129" s="933" t="str">
        <f>'Revenues 9-14'!A214</f>
        <v>Fed - Spec Education - IDEA - Room &amp; Board</v>
      </c>
      <c r="E129" s="906"/>
      <c r="F129" s="1787">
        <f>SUM('Revenues 9-14'!C214,'Revenues 9-14'!D214,'Revenues 9-14'!F214,'Revenues 9-14'!G214)</f>
        <v>23126</v>
      </c>
      <c r="G129" s="930"/>
    </row>
    <row r="130" spans="1:7" x14ac:dyDescent="0.2">
      <c r="A130" s="927" t="s">
        <v>668</v>
      </c>
      <c r="B130" s="927" t="s">
        <v>2005</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2006</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87">
        <v>0</v>
      </c>
      <c r="G138" s="905"/>
    </row>
    <row r="139" spans="1:7" s="867" customFormat="1" hidden="1" x14ac:dyDescent="0.2">
      <c r="A139" s="934" t="s">
        <v>206</v>
      </c>
      <c r="B139" s="934" t="s">
        <v>2013</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2016</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2021</v>
      </c>
      <c r="C157" s="940" t="s">
        <v>841</v>
      </c>
      <c r="D157" s="941" t="s">
        <v>777</v>
      </c>
      <c r="E157" s="942"/>
      <c r="F157" s="1787">
        <f>SUM(F133:F156)</f>
        <v>0</v>
      </c>
      <c r="G157" s="905"/>
    </row>
    <row r="158" spans="1:7" s="867" customFormat="1" x14ac:dyDescent="0.2">
      <c r="A158" s="938" t="s">
        <v>459</v>
      </c>
      <c r="B158" s="939" t="s">
        <v>2022</v>
      </c>
      <c r="C158" s="940" t="s">
        <v>1427</v>
      </c>
      <c r="D158" s="941" t="s">
        <v>1428</v>
      </c>
      <c r="E158" s="942"/>
      <c r="F158" s="1787">
        <f>SUM('Revenues 9-14'!C253)</f>
        <v>0</v>
      </c>
      <c r="G158" s="905"/>
    </row>
    <row r="159" spans="1:7" s="867" customFormat="1" x14ac:dyDescent="0.2">
      <c r="A159" s="938" t="s">
        <v>500</v>
      </c>
      <c r="B159" s="939" t="s">
        <v>2023</v>
      </c>
      <c r="C159" s="940" t="s">
        <v>1466</v>
      </c>
      <c r="D159" s="941" t="s">
        <v>1467</v>
      </c>
      <c r="E159" s="942"/>
      <c r="F159" s="1787">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2025</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2026</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2027</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2028</v>
      </c>
      <c r="C164" s="932">
        <f>'Revenues 9-14'!B259</f>
        <v>4932</v>
      </c>
      <c r="D164" s="933" t="str">
        <f>'Revenues 9-14'!A259</f>
        <v>Title II - Teacher Quality</v>
      </c>
      <c r="E164" s="906"/>
      <c r="F164" s="1905">
        <f>SUM('Revenues 9-14'!C259,'Revenues 9-14'!D259,'Revenues 9-14'!F259,'Revenues 9-14'!G259)</f>
        <v>46917</v>
      </c>
      <c r="G164" s="930"/>
    </row>
    <row r="165" spans="1:7" x14ac:dyDescent="0.2">
      <c r="A165" s="927" t="s">
        <v>668</v>
      </c>
      <c r="B165" s="927" t="s">
        <v>2029</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1974</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1975</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2030</v>
      </c>
      <c r="C168" s="932">
        <f>'Revenues 9-14'!B263</f>
        <v>4991</v>
      </c>
      <c r="D168" s="933" t="str">
        <f>'Revenues 9-14'!A263</f>
        <v>Medicaid Matching Funds - Administrative Outreach</v>
      </c>
      <c r="E168" s="906"/>
      <c r="F168" s="1787">
        <f>SUM('Revenues 9-14'!C263:D263,'Revenues 9-14'!F263:G263)</f>
        <v>10773</v>
      </c>
      <c r="G168" s="947">
        <v>6320</v>
      </c>
    </row>
    <row r="169" spans="1:7" x14ac:dyDescent="0.2">
      <c r="A169" s="927" t="s">
        <v>668</v>
      </c>
      <c r="B169" s="927" t="s">
        <v>2031</v>
      </c>
      <c r="C169" s="932">
        <f>'Revenues 9-14'!B264</f>
        <v>4992</v>
      </c>
      <c r="D169" s="933" t="str">
        <f>'Revenues 9-14'!A264</f>
        <v>Medicaid Matching Funds - Fee-for-Service Program</v>
      </c>
      <c r="E169" s="906"/>
      <c r="F169" s="1787">
        <f>SUM('Revenues 9-14'!C264:D264,'Revenues 9-14'!F264:G264)</f>
        <v>61339</v>
      </c>
      <c r="G169" s="947"/>
    </row>
    <row r="170" spans="1:7" x14ac:dyDescent="0.2">
      <c r="A170" s="948" t="s">
        <v>668</v>
      </c>
      <c r="B170" s="944" t="s">
        <v>2032</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1899</v>
      </c>
      <c r="C171" s="1918">
        <v>3100</v>
      </c>
      <c r="D171" s="1919" t="s">
        <v>1901</v>
      </c>
      <c r="E171" s="906"/>
      <c r="F171" s="1904"/>
      <c r="G171" s="927"/>
    </row>
    <row r="172" spans="1:7" x14ac:dyDescent="0.2">
      <c r="A172" s="1916" t="s">
        <v>664</v>
      </c>
      <c r="B172" s="1917" t="s">
        <v>1899</v>
      </c>
      <c r="C172" s="1918">
        <v>3300</v>
      </c>
      <c r="D172" s="1919" t="s">
        <v>1902</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2033</v>
      </c>
      <c r="E174" s="1785" t="s">
        <v>958</v>
      </c>
      <c r="F174" s="1786">
        <f>SUM(F84:F132,F157:F172)</f>
        <v>2013605</v>
      </c>
    </row>
    <row r="175" spans="1:7" ht="12" customHeight="1" x14ac:dyDescent="0.2">
      <c r="A175" s="1768"/>
      <c r="B175" s="1782"/>
      <c r="C175" s="1783"/>
      <c r="D175" s="1784" t="s">
        <v>2034</v>
      </c>
      <c r="E175" s="1785"/>
      <c r="F175" s="1787">
        <f>'PCTC-OEPP 27-28'!F77-F174</f>
        <v>8686176</v>
      </c>
    </row>
    <row r="176" spans="1:7" ht="12" customHeight="1" x14ac:dyDescent="0.2">
      <c r="A176" s="1768"/>
      <c r="B176" s="1782"/>
      <c r="C176" s="1783"/>
      <c r="D176" s="1784" t="s">
        <v>1797</v>
      </c>
      <c r="E176" s="1785"/>
      <c r="F176" s="1787">
        <f>'Cap Outlay Deprec 26'!I18</f>
        <v>465296</v>
      </c>
    </row>
    <row r="177" spans="1:7" ht="12" customHeight="1" x14ac:dyDescent="0.2">
      <c r="A177" s="1768"/>
      <c r="B177" s="1782"/>
      <c r="C177" s="1783"/>
      <c r="D177" s="1784" t="s">
        <v>2035</v>
      </c>
      <c r="E177" s="1785"/>
      <c r="F177" s="1787">
        <f>F175+F176</f>
        <v>9151472</v>
      </c>
    </row>
    <row r="178" spans="1:7" ht="12" customHeight="1" x14ac:dyDescent="0.2">
      <c r="A178" s="1768"/>
      <c r="B178" s="1788"/>
      <c r="C178" s="1783"/>
      <c r="D178" s="1784" t="str">
        <f>D78</f>
        <v>9 Month ADA from District Average Daily Attendance/Prior General State Aid Inquiry 2018-2019</v>
      </c>
      <c r="E178" s="1785"/>
      <c r="F178" s="1789">
        <f>'PCTC-OEPP 27-28'!F78</f>
        <v>1144.0999999999999</v>
      </c>
      <c r="G178" s="930"/>
    </row>
    <row r="179" spans="1:7" ht="12" customHeight="1" thickBot="1" x14ac:dyDescent="0.25">
      <c r="A179" s="1768"/>
      <c r="B179" s="1788"/>
      <c r="C179" s="1783"/>
      <c r="D179" s="1784" t="s">
        <v>2036</v>
      </c>
      <c r="E179" s="1785" t="s">
        <v>1545</v>
      </c>
      <c r="F179" s="1790">
        <f>F177/F178</f>
        <v>7998.8392623022473</v>
      </c>
      <c r="G179" s="856">
        <v>6323</v>
      </c>
    </row>
    <row r="180" spans="1:7" ht="12" thickTop="1" x14ac:dyDescent="0.2">
      <c r="B180" s="930"/>
      <c r="C180" s="949"/>
      <c r="D180" s="930"/>
      <c r="E180" s="949"/>
      <c r="F180" s="930"/>
      <c r="G180" s="951">
        <v>6326</v>
      </c>
    </row>
    <row r="181" spans="1:7" ht="12.2" customHeight="1" x14ac:dyDescent="0.2">
      <c r="A181" s="930" t="s">
        <v>1900</v>
      </c>
      <c r="B181" s="930"/>
      <c r="C181" s="949"/>
      <c r="D181" s="930"/>
      <c r="E181" s="949"/>
      <c r="F181" s="930"/>
      <c r="G181" s="930"/>
    </row>
    <row r="182" spans="1:7" s="1920" customFormat="1" ht="12.2" customHeight="1" x14ac:dyDescent="0.2">
      <c r="A182" s="1920" t="s">
        <v>1971</v>
      </c>
      <c r="B182" s="1921"/>
      <c r="C182" s="1922"/>
      <c r="D182" s="1921"/>
      <c r="E182" s="1922"/>
      <c r="F182" s="1921"/>
      <c r="G182" s="1921"/>
    </row>
    <row r="183" spans="1:7" s="1920" customFormat="1" ht="12.2" customHeight="1" x14ac:dyDescent="0.2">
      <c r="A183" s="1923" t="s">
        <v>1973</v>
      </c>
      <c r="C183" s="1922"/>
      <c r="D183" s="1921"/>
      <c r="E183" s="1922"/>
      <c r="F183" s="1921"/>
      <c r="G183" s="1921"/>
    </row>
    <row r="184" spans="1:7" ht="12" customHeight="1" x14ac:dyDescent="0.2">
      <c r="C184" s="949"/>
      <c r="D184" s="930"/>
      <c r="E184" s="949"/>
      <c r="F184" s="930"/>
      <c r="G184" s="930"/>
    </row>
    <row r="185" spans="1:7" x14ac:dyDescent="0.2">
      <c r="A185" s="1924" t="s">
        <v>1904</v>
      </c>
      <c r="B185" s="1925" t="s">
        <v>1903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2"/>
  <sheetViews>
    <sheetView showGridLines="0" topLeftCell="A4" zoomScaleNormal="100" workbookViewId="0">
      <selection activeCell="A26" sqref="A26"/>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7" t="s">
        <v>1812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348" t="s">
        <v>1798</v>
      </c>
      <c r="B4" s="2349"/>
      <c r="C4" s="2349"/>
      <c r="D4" s="2349"/>
      <c r="E4" s="2349"/>
      <c r="F4" s="2349"/>
      <c r="G4" s="2350"/>
    </row>
    <row r="5" spans="1:7" x14ac:dyDescent="0.25">
      <c r="A5" s="2351"/>
      <c r="B5" s="2352"/>
      <c r="C5" s="2352"/>
      <c r="D5" s="2352"/>
      <c r="E5" s="2352"/>
      <c r="F5" s="2352"/>
      <c r="G5" s="2353"/>
    </row>
    <row r="6" spans="1:7" ht="18.75" x14ac:dyDescent="0.25">
      <c r="A6" s="1936" t="s">
        <v>2043</v>
      </c>
      <c r="B6" s="1937"/>
      <c r="C6" s="1937"/>
      <c r="D6" s="1937"/>
      <c r="E6" s="1937"/>
      <c r="F6" s="1937"/>
      <c r="G6" s="1938"/>
    </row>
    <row r="7" spans="1:7" ht="18.75" x14ac:dyDescent="0.25">
      <c r="A7" s="1532" t="s">
        <v>1799</v>
      </c>
      <c r="B7" s="1533"/>
      <c r="C7" s="1533"/>
      <c r="D7" s="1533"/>
      <c r="E7" s="1533"/>
      <c r="F7" s="1533"/>
      <c r="G7" s="1534"/>
    </row>
    <row r="8" spans="1:7" ht="30.75" customHeight="1" x14ac:dyDescent="0.25">
      <c r="A8" s="2354" t="s">
        <v>1911</v>
      </c>
      <c r="B8" s="2355"/>
      <c r="C8" s="2355"/>
      <c r="D8" s="2355"/>
      <c r="E8" s="2355"/>
      <c r="F8" s="2355"/>
      <c r="G8" s="2356"/>
    </row>
    <row r="9" spans="1:7" ht="15.75" customHeight="1" x14ac:dyDescent="0.25">
      <c r="A9" s="2357" t="s">
        <v>1886</v>
      </c>
      <c r="B9" s="2358"/>
      <c r="C9" s="2358"/>
      <c r="D9" s="2358"/>
      <c r="E9" s="2358"/>
      <c r="F9" s="2358"/>
      <c r="G9" s="2359"/>
    </row>
    <row r="10" spans="1:7" ht="35.25" customHeight="1" x14ac:dyDescent="0.25">
      <c r="A10" s="2354" t="s">
        <v>2042</v>
      </c>
      <c r="B10" s="2355"/>
      <c r="C10" s="2355"/>
      <c r="D10" s="2355"/>
      <c r="E10" s="2355"/>
      <c r="F10" s="2355"/>
      <c r="G10" s="2356"/>
    </row>
    <row r="11" spans="1:7" ht="15" customHeight="1" x14ac:dyDescent="0.25">
      <c r="A11" s="1535" t="s">
        <v>1800</v>
      </c>
      <c r="B11" s="1536"/>
      <c r="C11" s="1536"/>
      <c r="D11" s="1536"/>
      <c r="E11" s="1536"/>
      <c r="F11" s="1536"/>
      <c r="G11" s="1537"/>
    </row>
    <row r="12" spans="1:7" ht="17.25" customHeight="1" x14ac:dyDescent="0.25">
      <c r="A12" s="2354" t="s">
        <v>1913</v>
      </c>
      <c r="B12" s="2355"/>
      <c r="C12" s="2355"/>
      <c r="D12" s="2355"/>
      <c r="E12" s="2355"/>
      <c r="F12" s="2355"/>
      <c r="G12" s="2356"/>
    </row>
    <row r="13" spans="1:7" ht="15" customHeight="1" x14ac:dyDescent="0.25">
      <c r="A13" s="1535" t="s">
        <v>1805</v>
      </c>
      <c r="B13" s="1536"/>
      <c r="C13" s="1536"/>
      <c r="D13" s="1536"/>
      <c r="E13" s="1536"/>
      <c r="F13" s="1536"/>
      <c r="G13" s="1537"/>
    </row>
    <row r="14" spans="1:7" ht="32.25" customHeight="1" x14ac:dyDescent="0.25">
      <c r="A14" s="2345" t="s">
        <v>1954</v>
      </c>
      <c r="B14" s="2346"/>
      <c r="C14" s="2346"/>
      <c r="D14" s="2346"/>
      <c r="E14" s="2346"/>
      <c r="F14" s="2346"/>
      <c r="G14" s="2347"/>
    </row>
    <row r="15" spans="1:7" x14ac:dyDescent="0.25">
      <c r="A15" s="1659" t="s">
        <v>1813</v>
      </c>
      <c r="B15" s="1660"/>
      <c r="C15" s="1660"/>
      <c r="D15" s="1660"/>
      <c r="E15" s="1660"/>
      <c r="F15" s="1660"/>
      <c r="G15" s="1661"/>
    </row>
    <row r="16" spans="1:7" ht="61.5" customHeight="1" x14ac:dyDescent="0.25">
      <c r="A16" s="1544" t="s">
        <v>1806</v>
      </c>
      <c r="B16" s="1544" t="s">
        <v>1807</v>
      </c>
      <c r="C16" s="1544" t="s">
        <v>1808</v>
      </c>
      <c r="D16" s="1545" t="s">
        <v>1809</v>
      </c>
      <c r="E16" s="1545" t="s">
        <v>1801</v>
      </c>
      <c r="F16" s="1545" t="s">
        <v>1810</v>
      </c>
      <c r="G16" s="1545" t="s">
        <v>1811</v>
      </c>
    </row>
    <row r="17" spans="1:8" x14ac:dyDescent="0.25">
      <c r="A17" s="1646" t="s">
        <v>1814</v>
      </c>
      <c r="B17" s="1647" t="s">
        <v>1804</v>
      </c>
      <c r="C17" s="1648" t="s">
        <v>1802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9" t="s">
        <v>2061</v>
      </c>
      <c r="B18" s="1934" t="s">
        <v>2086</v>
      </c>
      <c r="C18" s="1940" t="s">
        <v>2062</v>
      </c>
      <c r="D18" s="1842">
        <v>381707</v>
      </c>
      <c r="E18" s="1538">
        <f t="shared" ref="E18:E142" si="0">IF(D18&lt;=25000,D18,IF(D18&gt;25000,25000,0))</f>
        <v>25000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1">
        <f>IF(F18=0,0,D18-F18)</f>
        <v>356707</v>
      </c>
      <c r="H18" s="1645"/>
    </row>
    <row r="19" spans="1:8" x14ac:dyDescent="0.25">
      <c r="A19" s="1939"/>
      <c r="B19" s="1934"/>
      <c r="C19" s="1940"/>
      <c r="D19" s="1842"/>
      <c r="E19" s="1538"/>
      <c r="F19" s="1935"/>
      <c r="G19" s="1791"/>
    </row>
    <row r="20" spans="1:8" x14ac:dyDescent="0.25">
      <c r="A20" s="1939"/>
      <c r="B20" s="1934"/>
      <c r="C20" s="1940"/>
      <c r="D20" s="1842"/>
      <c r="E20" s="1538"/>
      <c r="F20" s="1935"/>
      <c r="G20" s="1791"/>
    </row>
    <row r="21" spans="1:8" x14ac:dyDescent="0.25">
      <c r="A21" s="1651"/>
      <c r="B21" s="1931"/>
      <c r="C21" s="1654"/>
      <c r="D21" s="1842"/>
      <c r="E21" s="1538">
        <f t="shared" ref="E19:E141" si="2">IF(D21&lt;=25000,D21,IF(D21&gt;25000,25000,0))</f>
        <v>0</v>
      </c>
      <c r="F21" s="1935">
        <f t="shared" si="1"/>
        <v>0</v>
      </c>
      <c r="G21" s="1791">
        <f t="shared" ref="G19:G141" si="3">IF(F21=0,0,D21-F21)</f>
        <v>0</v>
      </c>
    </row>
    <row r="22" spans="1:8" x14ac:dyDescent="0.25">
      <c r="A22" s="1651"/>
      <c r="B22" s="1931"/>
      <c r="C22" s="1654"/>
      <c r="D22" s="1842"/>
      <c r="E22" s="1538">
        <f t="shared" si="2"/>
        <v>0</v>
      </c>
      <c r="F22" s="1935">
        <f t="shared" si="1"/>
        <v>0</v>
      </c>
      <c r="G22" s="1791">
        <f t="shared" si="3"/>
        <v>0</v>
      </c>
    </row>
    <row r="23" spans="1:8" x14ac:dyDescent="0.25">
      <c r="A23" s="1651"/>
      <c r="B23" s="1931"/>
      <c r="C23" s="1654"/>
      <c r="D23" s="1842"/>
      <c r="E23" s="1538">
        <f t="shared" si="2"/>
        <v>0</v>
      </c>
      <c r="F23" s="1935">
        <f t="shared" si="1"/>
        <v>0</v>
      </c>
      <c r="G23" s="1791">
        <f t="shared" si="3"/>
        <v>0</v>
      </c>
    </row>
    <row r="24" spans="1:8" x14ac:dyDescent="0.25">
      <c r="A24" s="1651"/>
      <c r="B24" s="1931"/>
      <c r="C24" s="1654"/>
      <c r="D24" s="1842"/>
      <c r="E24" s="1538">
        <f t="shared" si="2"/>
        <v>0</v>
      </c>
      <c r="F24" s="1935">
        <f t="shared" si="1"/>
        <v>0</v>
      </c>
      <c r="G24" s="1791">
        <f t="shared" si="3"/>
        <v>0</v>
      </c>
    </row>
    <row r="25" spans="1:8" x14ac:dyDescent="0.25">
      <c r="A25" s="1651"/>
      <c r="B25" s="1931"/>
      <c r="C25" s="1654"/>
      <c r="D25" s="1842"/>
      <c r="E25" s="1538">
        <f t="shared" si="2"/>
        <v>0</v>
      </c>
      <c r="F25" s="1935">
        <f t="shared" si="1"/>
        <v>0</v>
      </c>
      <c r="G25" s="1791">
        <f t="shared" si="3"/>
        <v>0</v>
      </c>
    </row>
    <row r="26" spans="1:8" x14ac:dyDescent="0.25">
      <c r="A26" s="1651"/>
      <c r="B26" s="1931"/>
      <c r="C26" s="1654"/>
      <c r="D26" s="1842"/>
      <c r="E26" s="1538">
        <f t="shared" si="2"/>
        <v>0</v>
      </c>
      <c r="F26" s="1935">
        <f t="shared" si="1"/>
        <v>0</v>
      </c>
      <c r="G26" s="1791">
        <f t="shared" si="3"/>
        <v>0</v>
      </c>
    </row>
    <row r="27" spans="1:8" x14ac:dyDescent="0.25">
      <c r="A27" s="1651"/>
      <c r="B27" s="1931"/>
      <c r="C27" s="1652"/>
      <c r="D27" s="1842"/>
      <c r="E27" s="1538">
        <f t="shared" si="2"/>
        <v>0</v>
      </c>
      <c r="F27" s="1935">
        <f t="shared" si="1"/>
        <v>0</v>
      </c>
      <c r="G27" s="1791">
        <f t="shared" si="3"/>
        <v>0</v>
      </c>
    </row>
    <row r="28" spans="1:8" x14ac:dyDescent="0.25">
      <c r="A28" s="1651"/>
      <c r="B28" s="1931"/>
      <c r="C28" s="1652"/>
      <c r="D28" s="1842"/>
      <c r="E28" s="1538">
        <f t="shared" si="2"/>
        <v>0</v>
      </c>
      <c r="F28" s="1935">
        <f t="shared" si="1"/>
        <v>0</v>
      </c>
      <c r="G28" s="1791">
        <f t="shared" si="3"/>
        <v>0</v>
      </c>
    </row>
    <row r="29" spans="1:8" x14ac:dyDescent="0.25">
      <c r="A29" s="1651"/>
      <c r="B29" s="1931"/>
      <c r="C29" s="1652"/>
      <c r="D29" s="1842"/>
      <c r="E29" s="1538">
        <f t="shared" si="2"/>
        <v>0</v>
      </c>
      <c r="F29" s="1935">
        <f t="shared" si="1"/>
        <v>0</v>
      </c>
      <c r="G29" s="1791">
        <f t="shared" si="3"/>
        <v>0</v>
      </c>
    </row>
    <row r="30" spans="1:8" x14ac:dyDescent="0.25">
      <c r="A30" s="1651"/>
      <c r="B30" s="1931"/>
      <c r="C30" s="1652"/>
      <c r="D30" s="1842"/>
      <c r="E30" s="1538">
        <f t="shared" si="2"/>
        <v>0</v>
      </c>
      <c r="F30" s="1935">
        <f t="shared" si="1"/>
        <v>0</v>
      </c>
      <c r="G30" s="1791">
        <f t="shared" si="3"/>
        <v>0</v>
      </c>
    </row>
    <row r="31" spans="1:8" x14ac:dyDescent="0.25">
      <c r="A31" s="1651"/>
      <c r="B31" s="1931"/>
      <c r="C31" s="1652"/>
      <c r="D31" s="1842"/>
      <c r="E31" s="1538">
        <f t="shared" si="2"/>
        <v>0</v>
      </c>
      <c r="F31" s="1935">
        <f t="shared" si="1"/>
        <v>0</v>
      </c>
      <c r="G31" s="1791">
        <f t="shared" si="3"/>
        <v>0</v>
      </c>
    </row>
    <row r="32" spans="1:8" x14ac:dyDescent="0.25">
      <c r="A32" s="1651"/>
      <c r="B32" s="1931"/>
      <c r="C32" s="1652"/>
      <c r="D32" s="1842"/>
      <c r="E32" s="1538">
        <f t="shared" si="2"/>
        <v>0</v>
      </c>
      <c r="F32" s="1935">
        <f t="shared" si="1"/>
        <v>0</v>
      </c>
      <c r="G32" s="1791">
        <f t="shared" si="3"/>
        <v>0</v>
      </c>
    </row>
    <row r="33" spans="1:7" x14ac:dyDescent="0.25">
      <c r="A33" s="1651"/>
      <c r="B33" s="1931"/>
      <c r="C33" s="1652"/>
      <c r="D33" s="1842"/>
      <c r="E33" s="1538">
        <f t="shared" si="2"/>
        <v>0</v>
      </c>
      <c r="F33" s="1935">
        <f t="shared" si="1"/>
        <v>0</v>
      </c>
      <c r="G33" s="1791">
        <f t="shared" si="3"/>
        <v>0</v>
      </c>
    </row>
    <row r="34" spans="1:7" x14ac:dyDescent="0.25">
      <c r="A34" s="1651"/>
      <c r="B34" s="1931"/>
      <c r="C34" s="1652"/>
      <c r="D34" s="1842"/>
      <c r="E34" s="1538">
        <f t="shared" si="2"/>
        <v>0</v>
      </c>
      <c r="F34" s="1935">
        <f t="shared" si="1"/>
        <v>0</v>
      </c>
      <c r="G34" s="1791">
        <f t="shared" si="3"/>
        <v>0</v>
      </c>
    </row>
    <row r="35" spans="1:7" x14ac:dyDescent="0.25">
      <c r="A35" s="1651"/>
      <c r="B35" s="1931"/>
      <c r="C35" s="1652"/>
      <c r="D35" s="1842"/>
      <c r="E35" s="1538">
        <f t="shared" si="2"/>
        <v>0</v>
      </c>
      <c r="F35" s="1935">
        <f t="shared" si="1"/>
        <v>0</v>
      </c>
      <c r="G35" s="1791">
        <f t="shared" si="3"/>
        <v>0</v>
      </c>
    </row>
    <row r="36" spans="1:7" x14ac:dyDescent="0.25">
      <c r="A36" s="1651"/>
      <c r="B36" s="1931"/>
      <c r="C36" s="1652"/>
      <c r="D36" s="1842"/>
      <c r="E36" s="1538">
        <f t="shared" si="2"/>
        <v>0</v>
      </c>
      <c r="F36" s="1935">
        <f t="shared" si="1"/>
        <v>0</v>
      </c>
      <c r="G36" s="1791">
        <f t="shared" si="3"/>
        <v>0</v>
      </c>
    </row>
    <row r="37" spans="1:7" x14ac:dyDescent="0.25">
      <c r="A37" s="1651"/>
      <c r="B37" s="1931"/>
      <c r="C37" s="1652"/>
      <c r="D37" s="1842"/>
      <c r="E37" s="1538">
        <f t="shared" si="2"/>
        <v>0</v>
      </c>
      <c r="F37" s="1935">
        <f t="shared" si="1"/>
        <v>0</v>
      </c>
      <c r="G37" s="1791">
        <f t="shared" si="3"/>
        <v>0</v>
      </c>
    </row>
    <row r="38" spans="1:7" x14ac:dyDescent="0.25">
      <c r="A38" s="1651"/>
      <c r="B38" s="1931"/>
      <c r="C38" s="1652"/>
      <c r="D38" s="1842"/>
      <c r="E38" s="1538">
        <f t="shared" si="2"/>
        <v>0</v>
      </c>
      <c r="F38" s="1935">
        <f t="shared" si="1"/>
        <v>0</v>
      </c>
      <c r="G38" s="1791">
        <f t="shared" si="3"/>
        <v>0</v>
      </c>
    </row>
    <row r="39" spans="1:7" x14ac:dyDescent="0.25">
      <c r="A39" s="1651"/>
      <c r="B39" s="1932"/>
      <c r="C39" s="1652"/>
      <c r="D39" s="1842"/>
      <c r="E39" s="1538">
        <f t="shared" si="2"/>
        <v>0</v>
      </c>
      <c r="F39" s="1935">
        <f t="shared" si="1"/>
        <v>0</v>
      </c>
      <c r="G39" s="1791">
        <f t="shared" si="3"/>
        <v>0</v>
      </c>
    </row>
    <row r="40" spans="1:7" x14ac:dyDescent="0.25">
      <c r="A40" s="1651"/>
      <c r="B40" s="1932"/>
      <c r="C40" s="1652"/>
      <c r="D40" s="1842"/>
      <c r="E40" s="1538">
        <f t="shared" si="2"/>
        <v>0</v>
      </c>
      <c r="F40" s="1935">
        <f t="shared" si="1"/>
        <v>0</v>
      </c>
      <c r="G40" s="1791">
        <f t="shared" si="3"/>
        <v>0</v>
      </c>
    </row>
    <row r="41" spans="1:7" x14ac:dyDescent="0.25">
      <c r="A41" s="1651"/>
      <c r="B41" s="1932"/>
      <c r="C41" s="1652"/>
      <c r="D41" s="1842"/>
      <c r="E41" s="1538">
        <f t="shared" si="2"/>
        <v>0</v>
      </c>
      <c r="F41" s="1935">
        <f t="shared" si="1"/>
        <v>0</v>
      </c>
      <c r="G41" s="1791">
        <f t="shared" si="3"/>
        <v>0</v>
      </c>
    </row>
    <row r="42" spans="1:7" x14ac:dyDescent="0.25">
      <c r="A42" s="1651"/>
      <c r="B42" s="1932"/>
      <c r="C42" s="1652"/>
      <c r="D42" s="1842"/>
      <c r="E42" s="1538">
        <f t="shared" si="2"/>
        <v>0</v>
      </c>
      <c r="F42" s="1935">
        <f t="shared" si="1"/>
        <v>0</v>
      </c>
      <c r="G42" s="1791">
        <f t="shared" si="3"/>
        <v>0</v>
      </c>
    </row>
    <row r="43" spans="1:7" x14ac:dyDescent="0.25">
      <c r="A43" s="1651"/>
      <c r="B43" s="1932"/>
      <c r="C43" s="1652"/>
      <c r="D43" s="1842"/>
      <c r="E43" s="1538">
        <f t="shared" si="2"/>
        <v>0</v>
      </c>
      <c r="F43" s="1935">
        <f t="shared" si="1"/>
        <v>0</v>
      </c>
      <c r="G43" s="1791">
        <f t="shared" si="3"/>
        <v>0</v>
      </c>
    </row>
    <row r="44" spans="1:7" x14ac:dyDescent="0.25">
      <c r="A44" s="1651"/>
      <c r="B44" s="1932"/>
      <c r="C44" s="1652"/>
      <c r="D44" s="1842"/>
      <c r="E44" s="1538">
        <f t="shared" si="2"/>
        <v>0</v>
      </c>
      <c r="F44" s="1935">
        <f t="shared" si="1"/>
        <v>0</v>
      </c>
      <c r="G44" s="1791">
        <f t="shared" si="3"/>
        <v>0</v>
      </c>
    </row>
    <row r="45" spans="1:7" x14ac:dyDescent="0.25">
      <c r="A45" s="1651"/>
      <c r="B45" s="1932"/>
      <c r="C45" s="1652"/>
      <c r="D45" s="1842"/>
      <c r="E45" s="1538">
        <f t="shared" si="2"/>
        <v>0</v>
      </c>
      <c r="F45" s="1935">
        <f t="shared" si="1"/>
        <v>0</v>
      </c>
      <c r="G45" s="1791">
        <f t="shared" si="3"/>
        <v>0</v>
      </c>
    </row>
    <row r="46" spans="1:7" x14ac:dyDescent="0.25">
      <c r="A46" s="1651"/>
      <c r="B46" s="1932"/>
      <c r="C46" s="1652"/>
      <c r="D46" s="1842"/>
      <c r="E46" s="1538">
        <f t="shared" si="2"/>
        <v>0</v>
      </c>
      <c r="F46" s="1935">
        <f t="shared" si="1"/>
        <v>0</v>
      </c>
      <c r="G46" s="1791">
        <f t="shared" si="3"/>
        <v>0</v>
      </c>
    </row>
    <row r="47" spans="1:7" x14ac:dyDescent="0.25">
      <c r="A47" s="1651"/>
      <c r="B47" s="1665"/>
      <c r="C47" s="1652"/>
      <c r="D47" s="1842"/>
      <c r="E47" s="1538">
        <f t="shared" si="2"/>
        <v>0</v>
      </c>
      <c r="F47" s="1935">
        <f t="shared" si="1"/>
        <v>0</v>
      </c>
      <c r="G47" s="1791">
        <f t="shared" si="3"/>
        <v>0</v>
      </c>
    </row>
    <row r="48" spans="1:7" x14ac:dyDescent="0.25">
      <c r="A48" s="1651"/>
      <c r="B48" s="1665"/>
      <c r="C48" s="1652"/>
      <c r="D48" s="1842"/>
      <c r="E48" s="1538">
        <f t="shared" si="2"/>
        <v>0</v>
      </c>
      <c r="F48" s="1935">
        <f t="shared" si="1"/>
        <v>0</v>
      </c>
      <c r="G48" s="1791">
        <f t="shared" si="3"/>
        <v>0</v>
      </c>
    </row>
    <row r="49" spans="1:7" x14ac:dyDescent="0.25">
      <c r="A49" s="1651"/>
      <c r="B49" s="1665"/>
      <c r="C49" s="1652"/>
      <c r="D49" s="1842"/>
      <c r="E49" s="1538">
        <f t="shared" si="2"/>
        <v>0</v>
      </c>
      <c r="F49" s="1935">
        <f t="shared" si="1"/>
        <v>0</v>
      </c>
      <c r="G49" s="1791">
        <f t="shared" si="3"/>
        <v>0</v>
      </c>
    </row>
    <row r="50" spans="1:7" x14ac:dyDescent="0.25">
      <c r="A50" s="1651"/>
      <c r="B50" s="1665"/>
      <c r="C50" s="1652"/>
      <c r="D50" s="1842"/>
      <c r="E50" s="1538">
        <f t="shared" si="2"/>
        <v>0</v>
      </c>
      <c r="F50" s="1935">
        <f t="shared" si="1"/>
        <v>0</v>
      </c>
      <c r="G50" s="1791">
        <f t="shared" si="3"/>
        <v>0</v>
      </c>
    </row>
    <row r="51" spans="1:7" x14ac:dyDescent="0.25">
      <c r="A51" s="1651"/>
      <c r="B51" s="1665"/>
      <c r="C51" s="1652"/>
      <c r="D51" s="1842"/>
      <c r="E51" s="1538">
        <f t="shared" si="2"/>
        <v>0</v>
      </c>
      <c r="F51" s="1935">
        <f t="shared" si="1"/>
        <v>0</v>
      </c>
      <c r="G51" s="1791">
        <f t="shared" si="3"/>
        <v>0</v>
      </c>
    </row>
    <row r="52" spans="1:7" x14ac:dyDescent="0.25">
      <c r="A52" s="1651"/>
      <c r="B52" s="1665"/>
      <c r="C52" s="1652"/>
      <c r="D52" s="1842"/>
      <c r="E52" s="1538">
        <f t="shared" si="2"/>
        <v>0</v>
      </c>
      <c r="F52" s="1935">
        <f t="shared" si="1"/>
        <v>0</v>
      </c>
      <c r="G52" s="1791">
        <f t="shared" si="3"/>
        <v>0</v>
      </c>
    </row>
    <row r="53" spans="1:7" x14ac:dyDescent="0.25">
      <c r="A53" s="1651"/>
      <c r="B53" s="1665"/>
      <c r="C53" s="1652"/>
      <c r="D53" s="1842"/>
      <c r="E53" s="1538">
        <f t="shared" si="2"/>
        <v>0</v>
      </c>
      <c r="F53" s="1935">
        <f t="shared" si="1"/>
        <v>0</v>
      </c>
      <c r="G53" s="1791">
        <f t="shared" si="3"/>
        <v>0</v>
      </c>
    </row>
    <row r="54" spans="1:7" x14ac:dyDescent="0.25">
      <c r="A54" s="1651"/>
      <c r="B54" s="1665"/>
      <c r="C54" s="1652"/>
      <c r="D54" s="1842"/>
      <c r="E54" s="1538">
        <f t="shared" si="2"/>
        <v>0</v>
      </c>
      <c r="F54" s="1935">
        <f t="shared" si="1"/>
        <v>0</v>
      </c>
      <c r="G54" s="1791">
        <f t="shared" si="3"/>
        <v>0</v>
      </c>
    </row>
    <row r="55" spans="1:7" x14ac:dyDescent="0.25">
      <c r="A55" s="1651"/>
      <c r="B55" s="1665"/>
      <c r="C55" s="1652"/>
      <c r="D55" s="1842"/>
      <c r="E55" s="1538">
        <f t="shared" si="2"/>
        <v>0</v>
      </c>
      <c r="F55" s="1935">
        <f t="shared" si="1"/>
        <v>0</v>
      </c>
      <c r="G55" s="1791">
        <f t="shared" si="3"/>
        <v>0</v>
      </c>
    </row>
    <row r="56" spans="1:7" x14ac:dyDescent="0.25">
      <c r="A56" s="1651"/>
      <c r="B56" s="1665"/>
      <c r="C56" s="1652"/>
      <c r="D56" s="1842"/>
      <c r="E56" s="1538">
        <f t="shared" si="2"/>
        <v>0</v>
      </c>
      <c r="F56" s="1935">
        <f t="shared" si="1"/>
        <v>0</v>
      </c>
      <c r="G56" s="1791">
        <f t="shared" si="3"/>
        <v>0</v>
      </c>
    </row>
    <row r="57" spans="1:7" x14ac:dyDescent="0.25">
      <c r="A57" s="1651"/>
      <c r="B57" s="1665"/>
      <c r="C57" s="1652"/>
      <c r="D57" s="1842"/>
      <c r="E57" s="1538">
        <f t="shared" si="2"/>
        <v>0</v>
      </c>
      <c r="F57" s="1935">
        <f t="shared" si="1"/>
        <v>0</v>
      </c>
      <c r="G57" s="1791">
        <f t="shared" si="3"/>
        <v>0</v>
      </c>
    </row>
    <row r="58" spans="1:7" x14ac:dyDescent="0.25">
      <c r="A58" s="1651"/>
      <c r="B58" s="1665"/>
      <c r="C58" s="1652"/>
      <c r="D58" s="1842"/>
      <c r="E58" s="1538">
        <f t="shared" si="2"/>
        <v>0</v>
      </c>
      <c r="F58" s="1935">
        <f t="shared" si="1"/>
        <v>0</v>
      </c>
      <c r="G58" s="1791">
        <f t="shared" si="3"/>
        <v>0</v>
      </c>
    </row>
    <row r="59" spans="1:7" x14ac:dyDescent="0.25">
      <c r="A59" s="1651"/>
      <c r="B59" s="1665"/>
      <c r="C59" s="1652"/>
      <c r="D59" s="1842"/>
      <c r="E59" s="1538">
        <f t="shared" si="2"/>
        <v>0</v>
      </c>
      <c r="F59" s="1935">
        <f t="shared" si="1"/>
        <v>0</v>
      </c>
      <c r="G59" s="1791">
        <f t="shared" si="3"/>
        <v>0</v>
      </c>
    </row>
    <row r="60" spans="1:7" x14ac:dyDescent="0.25">
      <c r="A60" s="1651"/>
      <c r="B60" s="1665"/>
      <c r="C60" s="1652"/>
      <c r="D60" s="1842"/>
      <c r="E60" s="1538">
        <f t="shared" si="2"/>
        <v>0</v>
      </c>
      <c r="F60" s="1935">
        <f t="shared" si="1"/>
        <v>0</v>
      </c>
      <c r="G60" s="1791">
        <f t="shared" si="3"/>
        <v>0</v>
      </c>
    </row>
    <row r="61" spans="1:7" x14ac:dyDescent="0.25">
      <c r="A61" s="1651"/>
      <c r="B61" s="1665"/>
      <c r="C61" s="1652"/>
      <c r="D61" s="1842"/>
      <c r="E61" s="1538">
        <f t="shared" si="2"/>
        <v>0</v>
      </c>
      <c r="F61" s="1935">
        <f t="shared" si="1"/>
        <v>0</v>
      </c>
      <c r="G61" s="1791">
        <f t="shared" si="3"/>
        <v>0</v>
      </c>
    </row>
    <row r="62" spans="1:7" x14ac:dyDescent="0.25">
      <c r="A62" s="1651"/>
      <c r="B62" s="1665"/>
      <c r="C62" s="1652"/>
      <c r="D62" s="1842"/>
      <c r="E62" s="1538">
        <f t="shared" si="2"/>
        <v>0</v>
      </c>
      <c r="F62" s="1935">
        <f t="shared" si="1"/>
        <v>0</v>
      </c>
      <c r="G62" s="1791">
        <f t="shared" si="3"/>
        <v>0</v>
      </c>
    </row>
    <row r="63" spans="1:7" x14ac:dyDescent="0.25">
      <c r="A63" s="1651"/>
      <c r="B63" s="1665"/>
      <c r="C63" s="1652"/>
      <c r="D63" s="1842"/>
      <c r="E63" s="1538">
        <f t="shared" si="2"/>
        <v>0</v>
      </c>
      <c r="F63" s="1935">
        <f t="shared" si="1"/>
        <v>0</v>
      </c>
      <c r="G63" s="1791">
        <f t="shared" si="3"/>
        <v>0</v>
      </c>
    </row>
    <row r="64" spans="1:7" x14ac:dyDescent="0.25">
      <c r="A64" s="1651"/>
      <c r="B64" s="1665"/>
      <c r="C64" s="1652"/>
      <c r="D64" s="1842"/>
      <c r="E64" s="1538">
        <f t="shared" si="2"/>
        <v>0</v>
      </c>
      <c r="F64" s="1935">
        <f t="shared" si="1"/>
        <v>0</v>
      </c>
      <c r="G64" s="1791">
        <f t="shared" si="3"/>
        <v>0</v>
      </c>
    </row>
    <row r="65" spans="1:7" x14ac:dyDescent="0.25">
      <c r="A65" s="1653"/>
      <c r="B65" s="1665"/>
      <c r="C65" s="1654"/>
      <c r="D65" s="1842"/>
      <c r="E65" s="1538">
        <f t="shared" si="2"/>
        <v>0</v>
      </c>
      <c r="F65" s="1935">
        <f t="shared" si="1"/>
        <v>0</v>
      </c>
      <c r="G65" s="1791">
        <f t="shared" si="3"/>
        <v>0</v>
      </c>
    </row>
    <row r="66" spans="1:7" x14ac:dyDescent="0.25">
      <c r="A66" s="1651"/>
      <c r="B66" s="1665"/>
      <c r="C66" s="1652"/>
      <c r="D66" s="1842"/>
      <c r="E66" s="1538">
        <f t="shared" si="2"/>
        <v>0</v>
      </c>
      <c r="F66" s="1935">
        <f t="shared" si="1"/>
        <v>0</v>
      </c>
      <c r="G66" s="1791">
        <f t="shared" si="3"/>
        <v>0</v>
      </c>
    </row>
    <row r="67" spans="1:7" x14ac:dyDescent="0.25">
      <c r="A67" s="1651"/>
      <c r="B67" s="1665"/>
      <c r="C67" s="1652"/>
      <c r="D67" s="1842"/>
      <c r="E67" s="1538">
        <f t="shared" si="2"/>
        <v>0</v>
      </c>
      <c r="F67" s="1935">
        <f t="shared" si="1"/>
        <v>0</v>
      </c>
      <c r="G67" s="1791">
        <f t="shared" si="3"/>
        <v>0</v>
      </c>
    </row>
    <row r="68" spans="1:7" x14ac:dyDescent="0.25">
      <c r="A68" s="1651"/>
      <c r="B68" s="1665"/>
      <c r="C68" s="1652"/>
      <c r="D68" s="1842"/>
      <c r="E68" s="1538">
        <f t="shared" si="2"/>
        <v>0</v>
      </c>
      <c r="F68" s="1935">
        <f t="shared" si="1"/>
        <v>0</v>
      </c>
      <c r="G68" s="1791">
        <f t="shared" si="3"/>
        <v>0</v>
      </c>
    </row>
    <row r="69" spans="1:7" x14ac:dyDescent="0.25">
      <c r="A69" s="1651"/>
      <c r="B69" s="1665"/>
      <c r="C69" s="1652"/>
      <c r="D69" s="1842"/>
      <c r="E69" s="1538">
        <f t="shared" si="2"/>
        <v>0</v>
      </c>
      <c r="F69" s="1935">
        <f t="shared" si="1"/>
        <v>0</v>
      </c>
      <c r="G69" s="1791">
        <f t="shared" si="3"/>
        <v>0</v>
      </c>
    </row>
    <row r="70" spans="1:7" x14ac:dyDescent="0.25">
      <c r="A70" s="1651"/>
      <c r="B70" s="1665"/>
      <c r="C70" s="1652"/>
      <c r="D70" s="1842"/>
      <c r="E70" s="1538">
        <f t="shared" si="2"/>
        <v>0</v>
      </c>
      <c r="F70" s="1935">
        <f t="shared" si="1"/>
        <v>0</v>
      </c>
      <c r="G70" s="1791">
        <f t="shared" si="3"/>
        <v>0</v>
      </c>
    </row>
    <row r="71" spans="1:7" x14ac:dyDescent="0.25">
      <c r="A71" s="1651"/>
      <c r="B71" s="1665"/>
      <c r="C71" s="1652"/>
      <c r="D71" s="1842"/>
      <c r="E71" s="1538">
        <f t="shared" si="2"/>
        <v>0</v>
      </c>
      <c r="F71" s="1935">
        <f t="shared" si="1"/>
        <v>0</v>
      </c>
      <c r="G71" s="1791">
        <f t="shared" si="3"/>
        <v>0</v>
      </c>
    </row>
    <row r="72" spans="1:7" x14ac:dyDescent="0.25">
      <c r="A72" s="1651"/>
      <c r="B72" s="1665"/>
      <c r="C72" s="1652"/>
      <c r="D72" s="1842"/>
      <c r="E72" s="1538">
        <f t="shared" si="2"/>
        <v>0</v>
      </c>
      <c r="F72" s="1935">
        <f t="shared" si="1"/>
        <v>0</v>
      </c>
      <c r="G72" s="1791">
        <f t="shared" si="3"/>
        <v>0</v>
      </c>
    </row>
    <row r="73" spans="1:7" x14ac:dyDescent="0.25">
      <c r="A73" s="1651"/>
      <c r="B73" s="1665"/>
      <c r="C73" s="1652"/>
      <c r="D73" s="1842"/>
      <c r="E73" s="1538">
        <f t="shared" si="2"/>
        <v>0</v>
      </c>
      <c r="F73" s="1935">
        <f t="shared" si="1"/>
        <v>0</v>
      </c>
      <c r="G73" s="1791">
        <f t="shared" si="3"/>
        <v>0</v>
      </c>
    </row>
    <row r="74" spans="1:7" x14ac:dyDescent="0.25">
      <c r="A74" s="1651"/>
      <c r="B74" s="1665"/>
      <c r="C74" s="1652"/>
      <c r="D74" s="1842"/>
      <c r="E74" s="1538">
        <f t="shared" ref="E74:E85" si="4">IF(D74&lt;=25000,D74,IF(D74&gt;25000,25000,0))</f>
        <v>0</v>
      </c>
      <c r="F74" s="1935">
        <f t="shared" si="1"/>
        <v>0</v>
      </c>
      <c r="G74" s="1791">
        <f t="shared" ref="G74:G85" si="5">IF(F74=0,0,D74-F74)</f>
        <v>0</v>
      </c>
    </row>
    <row r="75" spans="1:7" x14ac:dyDescent="0.25">
      <c r="A75" s="1651"/>
      <c r="B75" s="1665"/>
      <c r="C75" s="1652"/>
      <c r="D75" s="1842"/>
      <c r="E75" s="1538">
        <f t="shared" si="4"/>
        <v>0</v>
      </c>
      <c r="F75" s="1935">
        <f t="shared" si="1"/>
        <v>0</v>
      </c>
      <c r="G75" s="1791">
        <f t="shared" si="5"/>
        <v>0</v>
      </c>
    </row>
    <row r="76" spans="1:7" x14ac:dyDescent="0.25">
      <c r="A76" s="1651"/>
      <c r="B76" s="1665"/>
      <c r="C76" s="1652"/>
      <c r="D76" s="1842"/>
      <c r="E76" s="1538">
        <f t="shared" si="4"/>
        <v>0</v>
      </c>
      <c r="F76" s="1935">
        <f t="shared" si="1"/>
        <v>0</v>
      </c>
      <c r="G76" s="1791">
        <f t="shared" si="5"/>
        <v>0</v>
      </c>
    </row>
    <row r="77" spans="1:7" x14ac:dyDescent="0.25">
      <c r="A77" s="1651"/>
      <c r="B77" s="1665"/>
      <c r="C77" s="1652"/>
      <c r="D77" s="1842"/>
      <c r="E77" s="1538">
        <f t="shared" si="4"/>
        <v>0</v>
      </c>
      <c r="F77" s="1935">
        <f t="shared" si="1"/>
        <v>0</v>
      </c>
      <c r="G77" s="1791">
        <f t="shared" si="5"/>
        <v>0</v>
      </c>
    </row>
    <row r="78" spans="1:7" x14ac:dyDescent="0.25">
      <c r="A78" s="1651"/>
      <c r="B78" s="1665"/>
      <c r="C78" s="1652"/>
      <c r="D78" s="1842"/>
      <c r="E78" s="1538">
        <f t="shared" si="4"/>
        <v>0</v>
      </c>
      <c r="F78" s="1935">
        <f t="shared" si="1"/>
        <v>0</v>
      </c>
      <c r="G78" s="1791">
        <f t="shared" si="5"/>
        <v>0</v>
      </c>
    </row>
    <row r="79" spans="1:7" x14ac:dyDescent="0.25">
      <c r="A79" s="1651"/>
      <c r="B79" s="1665"/>
      <c r="C79" s="1652"/>
      <c r="D79" s="1842"/>
      <c r="E79" s="1538">
        <f t="shared" si="4"/>
        <v>0</v>
      </c>
      <c r="F79" s="1935">
        <f t="shared" si="1"/>
        <v>0</v>
      </c>
      <c r="G79" s="1791">
        <f t="shared" si="5"/>
        <v>0</v>
      </c>
    </row>
    <row r="80" spans="1:7" x14ac:dyDescent="0.25">
      <c r="A80" s="1651"/>
      <c r="B80" s="1665"/>
      <c r="C80" s="1652"/>
      <c r="D80" s="1842"/>
      <c r="E80" s="1538">
        <f t="shared" si="4"/>
        <v>0</v>
      </c>
      <c r="F80" s="1935">
        <f t="shared" si="1"/>
        <v>0</v>
      </c>
      <c r="G80" s="1791">
        <f t="shared" si="5"/>
        <v>0</v>
      </c>
    </row>
    <row r="81" spans="1:7" x14ac:dyDescent="0.25">
      <c r="A81" s="1651"/>
      <c r="B81" s="1665"/>
      <c r="C81" s="1652"/>
      <c r="D81" s="1842"/>
      <c r="E81" s="1538">
        <f t="shared" si="4"/>
        <v>0</v>
      </c>
      <c r="F81" s="1935">
        <f t="shared" si="1"/>
        <v>0</v>
      </c>
      <c r="G81" s="1791">
        <f t="shared" si="5"/>
        <v>0</v>
      </c>
    </row>
    <row r="82" spans="1:7" x14ac:dyDescent="0.25">
      <c r="A82" s="1651"/>
      <c r="B82" s="1665"/>
      <c r="C82" s="1652"/>
      <c r="D82" s="1842"/>
      <c r="E82" s="1538">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5"/>
        <v>0</v>
      </c>
    </row>
    <row r="83" spans="1:7" x14ac:dyDescent="0.25">
      <c r="A83" s="1651"/>
      <c r="B83" s="1665"/>
      <c r="C83" s="1652"/>
      <c r="D83" s="1842"/>
      <c r="E83" s="1538">
        <f t="shared" si="4"/>
        <v>0</v>
      </c>
      <c r="F83" s="1935">
        <f t="shared" si="6"/>
        <v>0</v>
      </c>
      <c r="G83" s="1791">
        <f t="shared" si="5"/>
        <v>0</v>
      </c>
    </row>
    <row r="84" spans="1:7" x14ac:dyDescent="0.25">
      <c r="A84" s="1651"/>
      <c r="B84" s="1665"/>
      <c r="C84" s="1652"/>
      <c r="D84" s="1842"/>
      <c r="E84" s="1538">
        <f t="shared" si="4"/>
        <v>0</v>
      </c>
      <c r="F84" s="1935">
        <f t="shared" si="6"/>
        <v>0</v>
      </c>
      <c r="G84" s="1791">
        <f t="shared" si="5"/>
        <v>0</v>
      </c>
    </row>
    <row r="85" spans="1:7" x14ac:dyDescent="0.25">
      <c r="A85" s="1651"/>
      <c r="B85" s="1665"/>
      <c r="C85" s="1652"/>
      <c r="D85" s="1842"/>
      <c r="E85" s="1538">
        <f t="shared" si="4"/>
        <v>0</v>
      </c>
      <c r="F85" s="1935">
        <f t="shared" si="6"/>
        <v>0</v>
      </c>
      <c r="G85" s="1791">
        <f t="shared" si="5"/>
        <v>0</v>
      </c>
    </row>
    <row r="86" spans="1:7" x14ac:dyDescent="0.25">
      <c r="A86" s="1651"/>
      <c r="B86" s="1665"/>
      <c r="C86" s="1652"/>
      <c r="D86" s="1842"/>
      <c r="E86" s="1538">
        <f t="shared" si="2"/>
        <v>0</v>
      </c>
      <c r="F86" s="1935">
        <f t="shared" si="6"/>
        <v>0</v>
      </c>
      <c r="G86" s="1791">
        <f t="shared" si="3"/>
        <v>0</v>
      </c>
    </row>
    <row r="87" spans="1:7" x14ac:dyDescent="0.25">
      <c r="A87" s="1651"/>
      <c r="B87" s="1665"/>
      <c r="C87" s="1652"/>
      <c r="D87" s="1842"/>
      <c r="E87" s="1538">
        <f t="shared" si="2"/>
        <v>0</v>
      </c>
      <c r="F87" s="1935">
        <f t="shared" si="6"/>
        <v>0</v>
      </c>
      <c r="G87" s="1791">
        <f t="shared" si="3"/>
        <v>0</v>
      </c>
    </row>
    <row r="88" spans="1:7" x14ac:dyDescent="0.25">
      <c r="A88" s="1651"/>
      <c r="B88" s="1665"/>
      <c r="C88" s="1652"/>
      <c r="D88" s="1842"/>
      <c r="E88" s="1538">
        <f t="shared" si="2"/>
        <v>0</v>
      </c>
      <c r="F88" s="1935">
        <f t="shared" si="6"/>
        <v>0</v>
      </c>
      <c r="G88" s="1791">
        <f t="shared" si="3"/>
        <v>0</v>
      </c>
    </row>
    <row r="89" spans="1:7" x14ac:dyDescent="0.25">
      <c r="A89" s="1651"/>
      <c r="B89" s="1665"/>
      <c r="C89" s="1652"/>
      <c r="D89" s="1842"/>
      <c r="E89" s="1538">
        <f t="shared" si="2"/>
        <v>0</v>
      </c>
      <c r="F89" s="1935">
        <f t="shared" si="6"/>
        <v>0</v>
      </c>
      <c r="G89" s="1791">
        <f t="shared" si="3"/>
        <v>0</v>
      </c>
    </row>
    <row r="90" spans="1:7" x14ac:dyDescent="0.25">
      <c r="A90" s="1651"/>
      <c r="B90" s="1665"/>
      <c r="C90" s="1652"/>
      <c r="D90" s="1842"/>
      <c r="E90" s="1538">
        <f t="shared" si="2"/>
        <v>0</v>
      </c>
      <c r="F90" s="1935">
        <f t="shared" si="6"/>
        <v>0</v>
      </c>
      <c r="G90" s="1791">
        <f t="shared" si="3"/>
        <v>0</v>
      </c>
    </row>
    <row r="91" spans="1:7" x14ac:dyDescent="0.25">
      <c r="A91" s="1651"/>
      <c r="B91" s="1665"/>
      <c r="C91" s="1652"/>
      <c r="D91" s="1842"/>
      <c r="E91" s="1538">
        <f t="shared" si="2"/>
        <v>0</v>
      </c>
      <c r="F91" s="1935">
        <f t="shared" si="6"/>
        <v>0</v>
      </c>
      <c r="G91" s="1791">
        <f t="shared" si="3"/>
        <v>0</v>
      </c>
    </row>
    <row r="92" spans="1:7" x14ac:dyDescent="0.25">
      <c r="A92" s="1651"/>
      <c r="B92" s="1665"/>
      <c r="C92" s="1652"/>
      <c r="D92" s="1842"/>
      <c r="E92" s="1538">
        <f t="shared" si="2"/>
        <v>0</v>
      </c>
      <c r="F92" s="1935">
        <f t="shared" si="6"/>
        <v>0</v>
      </c>
      <c r="G92" s="1791">
        <f t="shared" si="3"/>
        <v>0</v>
      </c>
    </row>
    <row r="93" spans="1:7" x14ac:dyDescent="0.25">
      <c r="A93" s="1651"/>
      <c r="B93" s="1665"/>
      <c r="C93" s="1652"/>
      <c r="D93" s="1842"/>
      <c r="E93" s="1538">
        <f t="shared" si="2"/>
        <v>0</v>
      </c>
      <c r="F93" s="1935">
        <f t="shared" si="6"/>
        <v>0</v>
      </c>
      <c r="G93" s="1791">
        <f t="shared" si="3"/>
        <v>0</v>
      </c>
    </row>
    <row r="94" spans="1:7" x14ac:dyDescent="0.25">
      <c r="A94" s="1651"/>
      <c r="B94" s="1665"/>
      <c r="C94" s="1652"/>
      <c r="D94" s="1842"/>
      <c r="E94" s="1538">
        <f t="shared" ref="E94" si="7">IF(D94&lt;=25000,D94,IF(D94&gt;25000,25000,0))</f>
        <v>0</v>
      </c>
      <c r="F94" s="1935">
        <f t="shared" si="6"/>
        <v>0</v>
      </c>
      <c r="G94" s="1791">
        <f t="shared" ref="G94" si="8">IF(F94=0,0,D94-F94)</f>
        <v>0</v>
      </c>
    </row>
    <row r="95" spans="1:7" x14ac:dyDescent="0.25">
      <c r="A95" s="1651"/>
      <c r="B95" s="1665"/>
      <c r="C95" s="1652"/>
      <c r="D95" s="1842"/>
      <c r="E95" s="1538">
        <f t="shared" si="2"/>
        <v>0</v>
      </c>
      <c r="F95" s="1935">
        <f t="shared" si="6"/>
        <v>0</v>
      </c>
      <c r="G95" s="1791">
        <f t="shared" si="3"/>
        <v>0</v>
      </c>
    </row>
    <row r="96" spans="1:7" x14ac:dyDescent="0.25">
      <c r="A96" s="1651"/>
      <c r="B96" s="1665"/>
      <c r="C96" s="1652"/>
      <c r="D96" s="1842"/>
      <c r="E96" s="1538">
        <f t="shared" ref="E96:E99" si="9">IF(D96&lt;=25000,D96,IF(D96&gt;25000,25000,0))</f>
        <v>0</v>
      </c>
      <c r="F96" s="1935">
        <f t="shared" si="6"/>
        <v>0</v>
      </c>
      <c r="G96" s="1791">
        <f t="shared" ref="G96:G99" si="10">IF(F96=0,0,D96-F96)</f>
        <v>0</v>
      </c>
    </row>
    <row r="97" spans="1:7" x14ac:dyDescent="0.25">
      <c r="A97" s="1651"/>
      <c r="B97" s="1665"/>
      <c r="C97" s="1652"/>
      <c r="D97" s="1842"/>
      <c r="E97" s="1538">
        <f t="shared" si="9"/>
        <v>0</v>
      </c>
      <c r="F97" s="1935">
        <f t="shared" si="6"/>
        <v>0</v>
      </c>
      <c r="G97" s="1791">
        <f t="shared" si="10"/>
        <v>0</v>
      </c>
    </row>
    <row r="98" spans="1:7" x14ac:dyDescent="0.25">
      <c r="A98" s="1651"/>
      <c r="B98" s="1665"/>
      <c r="C98" s="1652"/>
      <c r="D98" s="1842"/>
      <c r="E98" s="1538">
        <f t="shared" si="9"/>
        <v>0</v>
      </c>
      <c r="F98" s="1935">
        <f t="shared" si="6"/>
        <v>0</v>
      </c>
      <c r="G98" s="1791">
        <f t="shared" si="10"/>
        <v>0</v>
      </c>
    </row>
    <row r="99" spans="1:7" x14ac:dyDescent="0.25">
      <c r="A99" s="1651"/>
      <c r="B99" s="1665"/>
      <c r="C99" s="1652"/>
      <c r="D99" s="1842"/>
      <c r="E99" s="1538">
        <f t="shared" si="9"/>
        <v>0</v>
      </c>
      <c r="F99" s="1935">
        <f t="shared" si="6"/>
        <v>0</v>
      </c>
      <c r="G99" s="1791">
        <f t="shared" si="10"/>
        <v>0</v>
      </c>
    </row>
    <row r="100" spans="1:7" x14ac:dyDescent="0.25">
      <c r="A100" s="1651"/>
      <c r="B100" s="1665"/>
      <c r="C100" s="1652"/>
      <c r="D100" s="1842"/>
      <c r="E100" s="1538">
        <f t="shared" ref="E100" si="11">IF(D100&lt;=25000,D100,IF(D100&gt;25000,25000,0))</f>
        <v>0</v>
      </c>
      <c r="F100" s="1935">
        <f t="shared" si="6"/>
        <v>0</v>
      </c>
      <c r="G100" s="1791">
        <f t="shared" ref="G100" si="12">IF(F100=0,0,D100-F100)</f>
        <v>0</v>
      </c>
    </row>
    <row r="101" spans="1:7" x14ac:dyDescent="0.25">
      <c r="A101" s="1651"/>
      <c r="B101" s="1665"/>
      <c r="C101" s="1652"/>
      <c r="D101" s="1842"/>
      <c r="E101" s="1538">
        <f t="shared" ref="E101:E113" si="13">IF(D101&lt;=25000,D101,IF(D101&gt;25000,25000,0))</f>
        <v>0</v>
      </c>
      <c r="F101" s="1935">
        <f t="shared" si="6"/>
        <v>0</v>
      </c>
      <c r="G101" s="1791">
        <f t="shared" ref="G101:G113" si="14">IF(F101=0,0,D101-F101)</f>
        <v>0</v>
      </c>
    </row>
    <row r="102" spans="1:7" x14ac:dyDescent="0.25">
      <c r="A102" s="1651"/>
      <c r="B102" s="1665"/>
      <c r="C102" s="1652"/>
      <c r="D102" s="1842"/>
      <c r="E102" s="1538">
        <f t="shared" si="13"/>
        <v>0</v>
      </c>
      <c r="F102" s="1935">
        <f t="shared" si="6"/>
        <v>0</v>
      </c>
      <c r="G102" s="1791">
        <f t="shared" si="14"/>
        <v>0</v>
      </c>
    </row>
    <row r="103" spans="1:7" x14ac:dyDescent="0.25">
      <c r="A103" s="1651"/>
      <c r="B103" s="1665"/>
      <c r="C103" s="1652"/>
      <c r="D103" s="1842"/>
      <c r="E103" s="1538">
        <f t="shared" si="13"/>
        <v>0</v>
      </c>
      <c r="F103" s="1935">
        <f t="shared" si="6"/>
        <v>0</v>
      </c>
      <c r="G103" s="1791">
        <f t="shared" si="14"/>
        <v>0</v>
      </c>
    </row>
    <row r="104" spans="1:7" x14ac:dyDescent="0.25">
      <c r="A104" s="1651"/>
      <c r="B104" s="1665"/>
      <c r="C104" s="1652"/>
      <c r="D104" s="1842"/>
      <c r="E104" s="1538">
        <f t="shared" si="13"/>
        <v>0</v>
      </c>
      <c r="F104" s="1935">
        <f t="shared" si="6"/>
        <v>0</v>
      </c>
      <c r="G104" s="1791">
        <f t="shared" si="14"/>
        <v>0</v>
      </c>
    </row>
    <row r="105" spans="1:7" x14ac:dyDescent="0.25">
      <c r="A105" s="1651"/>
      <c r="B105" s="1665"/>
      <c r="C105" s="1652"/>
      <c r="D105" s="1842"/>
      <c r="E105" s="1538">
        <f t="shared" si="13"/>
        <v>0</v>
      </c>
      <c r="F105" s="1935">
        <f t="shared" si="6"/>
        <v>0</v>
      </c>
      <c r="G105" s="1791">
        <f t="shared" si="14"/>
        <v>0</v>
      </c>
    </row>
    <row r="106" spans="1:7" x14ac:dyDescent="0.25">
      <c r="A106" s="1651"/>
      <c r="B106" s="1665"/>
      <c r="C106" s="1652"/>
      <c r="D106" s="1842"/>
      <c r="E106" s="1538">
        <f t="shared" si="13"/>
        <v>0</v>
      </c>
      <c r="F106" s="1935">
        <f t="shared" si="6"/>
        <v>0</v>
      </c>
      <c r="G106" s="1791">
        <f t="shared" si="14"/>
        <v>0</v>
      </c>
    </row>
    <row r="107" spans="1:7" x14ac:dyDescent="0.25">
      <c r="A107" s="1651"/>
      <c r="B107" s="1665"/>
      <c r="C107" s="1652"/>
      <c r="D107" s="1842"/>
      <c r="E107" s="1538">
        <f t="shared" si="13"/>
        <v>0</v>
      </c>
      <c r="F107" s="1935">
        <f t="shared" si="6"/>
        <v>0</v>
      </c>
      <c r="G107" s="1791">
        <f t="shared" si="14"/>
        <v>0</v>
      </c>
    </row>
    <row r="108" spans="1:7" x14ac:dyDescent="0.25">
      <c r="A108" s="1651"/>
      <c r="B108" s="1665"/>
      <c r="C108" s="1652"/>
      <c r="D108" s="1842"/>
      <c r="E108" s="1538">
        <f t="shared" si="13"/>
        <v>0</v>
      </c>
      <c r="F108" s="1935">
        <f t="shared" si="6"/>
        <v>0</v>
      </c>
      <c r="G108" s="1791">
        <f t="shared" si="14"/>
        <v>0</v>
      </c>
    </row>
    <row r="109" spans="1:7" x14ac:dyDescent="0.25">
      <c r="A109" s="1651"/>
      <c r="B109" s="1665"/>
      <c r="C109" s="1652"/>
      <c r="D109" s="1842"/>
      <c r="E109" s="1538">
        <f t="shared" si="13"/>
        <v>0</v>
      </c>
      <c r="F109" s="1935">
        <f t="shared" si="6"/>
        <v>0</v>
      </c>
      <c r="G109" s="1791">
        <f t="shared" si="14"/>
        <v>0</v>
      </c>
    </row>
    <row r="110" spans="1:7" x14ac:dyDescent="0.25">
      <c r="A110" s="1651"/>
      <c r="B110" s="1665"/>
      <c r="C110" s="1652"/>
      <c r="D110" s="1842"/>
      <c r="E110" s="1538">
        <f t="shared" si="13"/>
        <v>0</v>
      </c>
      <c r="F110" s="1935">
        <f t="shared" si="6"/>
        <v>0</v>
      </c>
      <c r="G110" s="1791">
        <f t="shared" si="14"/>
        <v>0</v>
      </c>
    </row>
    <row r="111" spans="1:7" x14ac:dyDescent="0.25">
      <c r="A111" s="1651"/>
      <c r="B111" s="1665"/>
      <c r="C111" s="1652"/>
      <c r="D111" s="1842"/>
      <c r="E111" s="1538">
        <f t="shared" si="13"/>
        <v>0</v>
      </c>
      <c r="F111" s="1935">
        <f t="shared" si="6"/>
        <v>0</v>
      </c>
      <c r="G111" s="1791">
        <f t="shared" si="14"/>
        <v>0</v>
      </c>
    </row>
    <row r="112" spans="1:7" x14ac:dyDescent="0.25">
      <c r="A112" s="1651"/>
      <c r="B112" s="1665"/>
      <c r="C112" s="1652"/>
      <c r="D112" s="1842"/>
      <c r="E112" s="1538">
        <f t="shared" si="13"/>
        <v>0</v>
      </c>
      <c r="F112" s="1935">
        <f t="shared" si="6"/>
        <v>0</v>
      </c>
      <c r="G112" s="1791">
        <f t="shared" si="14"/>
        <v>0</v>
      </c>
    </row>
    <row r="113" spans="1:7" x14ac:dyDescent="0.25">
      <c r="A113" s="1651"/>
      <c r="B113" s="1665"/>
      <c r="C113" s="1652"/>
      <c r="D113" s="1842"/>
      <c r="E113" s="1538">
        <f t="shared" si="13"/>
        <v>0</v>
      </c>
      <c r="F113" s="1935">
        <f t="shared" si="6"/>
        <v>0</v>
      </c>
      <c r="G113" s="1791">
        <f t="shared" si="14"/>
        <v>0</v>
      </c>
    </row>
    <row r="114" spans="1:7" x14ac:dyDescent="0.25">
      <c r="A114" s="1651"/>
      <c r="B114" s="1665"/>
      <c r="C114" s="1652"/>
      <c r="D114" s="1842"/>
      <c r="E114" s="1538">
        <f t="shared" ref="E114:E126" si="15">IF(D114&lt;=25000,D114,IF(D114&gt;25000,25000,0))</f>
        <v>0</v>
      </c>
      <c r="F114" s="1935">
        <f t="shared" si="6"/>
        <v>0</v>
      </c>
      <c r="G114" s="1791">
        <f t="shared" ref="G114:G126" si="16">IF(F114=0,0,D114-F114)</f>
        <v>0</v>
      </c>
    </row>
    <row r="115" spans="1:7" x14ac:dyDescent="0.25">
      <c r="A115" s="1651"/>
      <c r="B115" s="1665"/>
      <c r="C115" s="1652"/>
      <c r="D115" s="1842"/>
      <c r="E115" s="1538">
        <f t="shared" si="15"/>
        <v>0</v>
      </c>
      <c r="F115" s="1935">
        <f t="shared" si="6"/>
        <v>0</v>
      </c>
      <c r="G115" s="1791">
        <f t="shared" si="16"/>
        <v>0</v>
      </c>
    </row>
    <row r="116" spans="1:7" x14ac:dyDescent="0.25">
      <c r="A116" s="1651"/>
      <c r="B116" s="1665"/>
      <c r="C116" s="1652"/>
      <c r="D116" s="1842"/>
      <c r="E116" s="1538">
        <f t="shared" si="15"/>
        <v>0</v>
      </c>
      <c r="F116" s="1935">
        <f t="shared" si="6"/>
        <v>0</v>
      </c>
      <c r="G116" s="1791">
        <f t="shared" si="16"/>
        <v>0</v>
      </c>
    </row>
    <row r="117" spans="1:7" x14ac:dyDescent="0.25">
      <c r="A117" s="1651"/>
      <c r="B117" s="1665"/>
      <c r="C117" s="1652"/>
      <c r="D117" s="1842"/>
      <c r="E117" s="1538">
        <f t="shared" si="15"/>
        <v>0</v>
      </c>
      <c r="F117" s="1935">
        <f t="shared" si="6"/>
        <v>0</v>
      </c>
      <c r="G117" s="1791">
        <f t="shared" si="16"/>
        <v>0</v>
      </c>
    </row>
    <row r="118" spans="1:7" x14ac:dyDescent="0.25">
      <c r="A118" s="1651"/>
      <c r="B118" s="1665"/>
      <c r="C118" s="1652"/>
      <c r="D118" s="1842"/>
      <c r="E118" s="1538">
        <f t="shared" si="15"/>
        <v>0</v>
      </c>
      <c r="F118" s="1935">
        <f t="shared" si="6"/>
        <v>0</v>
      </c>
      <c r="G118" s="1791">
        <f t="shared" si="16"/>
        <v>0</v>
      </c>
    </row>
    <row r="119" spans="1:7" x14ac:dyDescent="0.25">
      <c r="A119" s="1651"/>
      <c r="B119" s="1665"/>
      <c r="C119" s="1652"/>
      <c r="D119" s="1842"/>
      <c r="E119" s="1538">
        <f t="shared" si="15"/>
        <v>0</v>
      </c>
      <c r="F119" s="1935">
        <f t="shared" si="6"/>
        <v>0</v>
      </c>
      <c r="G119" s="1791">
        <f t="shared" si="16"/>
        <v>0</v>
      </c>
    </row>
    <row r="120" spans="1:7" x14ac:dyDescent="0.25">
      <c r="A120" s="1651"/>
      <c r="B120" s="1665"/>
      <c r="C120" s="1652"/>
      <c r="D120" s="1842"/>
      <c r="E120" s="1538">
        <f t="shared" si="15"/>
        <v>0</v>
      </c>
      <c r="F120" s="1935">
        <f t="shared" si="6"/>
        <v>0</v>
      </c>
      <c r="G120" s="1791">
        <f t="shared" si="16"/>
        <v>0</v>
      </c>
    </row>
    <row r="121" spans="1:7" x14ac:dyDescent="0.25">
      <c r="A121" s="1651"/>
      <c r="B121" s="1665"/>
      <c r="C121" s="1652"/>
      <c r="D121" s="1842"/>
      <c r="E121" s="1538">
        <f t="shared" si="15"/>
        <v>0</v>
      </c>
      <c r="F121" s="1935">
        <f t="shared" si="6"/>
        <v>0</v>
      </c>
      <c r="G121" s="1791">
        <f t="shared" si="16"/>
        <v>0</v>
      </c>
    </row>
    <row r="122" spans="1:7" x14ac:dyDescent="0.25">
      <c r="A122" s="1651"/>
      <c r="B122" s="1665"/>
      <c r="C122" s="1652"/>
      <c r="D122" s="1842"/>
      <c r="E122" s="1538">
        <f t="shared" si="15"/>
        <v>0</v>
      </c>
      <c r="F122" s="1935">
        <f t="shared" si="6"/>
        <v>0</v>
      </c>
      <c r="G122" s="1791">
        <f t="shared" si="16"/>
        <v>0</v>
      </c>
    </row>
    <row r="123" spans="1:7" x14ac:dyDescent="0.25">
      <c r="A123" s="1651"/>
      <c r="B123" s="1665"/>
      <c r="C123" s="1652"/>
      <c r="D123" s="1842"/>
      <c r="E123" s="1538">
        <f t="shared" si="15"/>
        <v>0</v>
      </c>
      <c r="F123" s="1935">
        <f t="shared" si="6"/>
        <v>0</v>
      </c>
      <c r="G123" s="1791">
        <f t="shared" si="16"/>
        <v>0</v>
      </c>
    </row>
    <row r="124" spans="1:7" x14ac:dyDescent="0.25">
      <c r="A124" s="1651"/>
      <c r="B124" s="1665"/>
      <c r="C124" s="1652"/>
      <c r="D124" s="1842"/>
      <c r="E124" s="1538">
        <f t="shared" si="15"/>
        <v>0</v>
      </c>
      <c r="F124" s="1935">
        <f t="shared" si="6"/>
        <v>0</v>
      </c>
      <c r="G124" s="1791">
        <f t="shared" si="16"/>
        <v>0</v>
      </c>
    </row>
    <row r="125" spans="1:7" x14ac:dyDescent="0.25">
      <c r="A125" s="1651"/>
      <c r="B125" s="1665"/>
      <c r="C125" s="1652"/>
      <c r="D125" s="1842"/>
      <c r="E125" s="1538">
        <f t="shared" si="15"/>
        <v>0</v>
      </c>
      <c r="F125" s="1935">
        <f t="shared" si="6"/>
        <v>0</v>
      </c>
      <c r="G125" s="1791">
        <f t="shared" si="16"/>
        <v>0</v>
      </c>
    </row>
    <row r="126" spans="1:7" x14ac:dyDescent="0.25">
      <c r="A126" s="1651"/>
      <c r="B126" s="1665"/>
      <c r="C126" s="1652"/>
      <c r="D126" s="1842"/>
      <c r="E126" s="1538">
        <f t="shared" si="15"/>
        <v>0</v>
      </c>
      <c r="F126" s="1935">
        <f t="shared" si="6"/>
        <v>0</v>
      </c>
      <c r="G126" s="1791">
        <f t="shared" si="16"/>
        <v>0</v>
      </c>
    </row>
    <row r="127" spans="1:7" x14ac:dyDescent="0.25">
      <c r="A127" s="1651"/>
      <c r="B127" s="1665"/>
      <c r="C127" s="1652"/>
      <c r="D127" s="1842"/>
      <c r="E127" s="1538">
        <f t="shared" ref="E127:E135" si="17">IF(D127&lt;=25000,D127,IF(D127&gt;25000,25000,0))</f>
        <v>0</v>
      </c>
      <c r="F127" s="1935">
        <f t="shared" si="6"/>
        <v>0</v>
      </c>
      <c r="G127" s="1791">
        <f t="shared" ref="G127:G135" si="18">IF(F127=0,0,D127-F127)</f>
        <v>0</v>
      </c>
    </row>
    <row r="128" spans="1:7" x14ac:dyDescent="0.25">
      <c r="A128" s="1651"/>
      <c r="B128" s="1665"/>
      <c r="C128" s="1652"/>
      <c r="D128" s="1842"/>
      <c r="E128" s="1538">
        <f t="shared" si="17"/>
        <v>0</v>
      </c>
      <c r="F128" s="1935">
        <f t="shared" si="6"/>
        <v>0</v>
      </c>
      <c r="G128" s="1791">
        <f t="shared" si="18"/>
        <v>0</v>
      </c>
    </row>
    <row r="129" spans="1:7" x14ac:dyDescent="0.25">
      <c r="A129" s="1651"/>
      <c r="B129" s="1665"/>
      <c r="C129" s="1652"/>
      <c r="D129" s="1842"/>
      <c r="E129" s="1538">
        <f t="shared" si="17"/>
        <v>0</v>
      </c>
      <c r="F129" s="1935">
        <f t="shared" si="6"/>
        <v>0</v>
      </c>
      <c r="G129" s="1791">
        <f t="shared" si="18"/>
        <v>0</v>
      </c>
    </row>
    <row r="130" spans="1:7" x14ac:dyDescent="0.25">
      <c r="A130" s="1651"/>
      <c r="B130" s="1665"/>
      <c r="C130" s="1652"/>
      <c r="D130" s="1842"/>
      <c r="E130" s="1538">
        <f t="shared" si="17"/>
        <v>0</v>
      </c>
      <c r="F130" s="1935">
        <f t="shared" si="6"/>
        <v>0</v>
      </c>
      <c r="G130" s="1791">
        <f t="shared" si="18"/>
        <v>0</v>
      </c>
    </row>
    <row r="131" spans="1:7" x14ac:dyDescent="0.25">
      <c r="A131" s="1651"/>
      <c r="B131" s="1665"/>
      <c r="C131" s="1652"/>
      <c r="D131" s="1842"/>
      <c r="E131" s="1538">
        <f t="shared" si="17"/>
        <v>0</v>
      </c>
      <c r="F131" s="1935">
        <f t="shared" si="6"/>
        <v>0</v>
      </c>
      <c r="G131" s="1791">
        <f t="shared" si="18"/>
        <v>0</v>
      </c>
    </row>
    <row r="132" spans="1:7" x14ac:dyDescent="0.25">
      <c r="A132" s="1651"/>
      <c r="B132" s="1835"/>
      <c r="C132" s="1652"/>
      <c r="D132" s="1842"/>
      <c r="E132" s="1538">
        <f t="shared" si="17"/>
        <v>0</v>
      </c>
      <c r="F132" s="1935">
        <f t="shared" si="6"/>
        <v>0</v>
      </c>
      <c r="G132" s="1791">
        <f t="shared" si="18"/>
        <v>0</v>
      </c>
    </row>
    <row r="133" spans="1:7" x14ac:dyDescent="0.25">
      <c r="A133" s="1651"/>
      <c r="B133" s="1835"/>
      <c r="C133" s="1652"/>
      <c r="D133" s="1842"/>
      <c r="E133" s="1538">
        <f t="shared" si="17"/>
        <v>0</v>
      </c>
      <c r="F133" s="1935">
        <f t="shared" si="6"/>
        <v>0</v>
      </c>
      <c r="G133" s="1791">
        <f t="shared" si="18"/>
        <v>0</v>
      </c>
    </row>
    <row r="134" spans="1:7" x14ac:dyDescent="0.25">
      <c r="A134" s="1651"/>
      <c r="B134" s="1665"/>
      <c r="C134" s="1652"/>
      <c r="D134" s="1842"/>
      <c r="E134" s="1538">
        <f t="shared" si="17"/>
        <v>0</v>
      </c>
      <c r="F134" s="1935">
        <f t="shared" si="6"/>
        <v>0</v>
      </c>
      <c r="G134" s="1791">
        <f t="shared" si="18"/>
        <v>0</v>
      </c>
    </row>
    <row r="135" spans="1:7" x14ac:dyDescent="0.25">
      <c r="A135" s="1651"/>
      <c r="B135" s="1665"/>
      <c r="C135" s="1652"/>
      <c r="D135" s="1842"/>
      <c r="E135" s="1538">
        <f t="shared" si="17"/>
        <v>0</v>
      </c>
      <c r="F135" s="1935">
        <f t="shared" si="6"/>
        <v>0</v>
      </c>
      <c r="G135" s="1791">
        <f t="shared" si="18"/>
        <v>0</v>
      </c>
    </row>
    <row r="136" spans="1:7" x14ac:dyDescent="0.25">
      <c r="A136" s="1651"/>
      <c r="B136" s="1665"/>
      <c r="C136" s="1652"/>
      <c r="D136" s="1842"/>
      <c r="E136" s="1538">
        <f t="shared" ref="E136:E140" si="19">IF(D136&lt;=25000,D136,IF(D136&gt;25000,25000,0))</f>
        <v>0</v>
      </c>
      <c r="F136" s="1935">
        <f t="shared" si="6"/>
        <v>0</v>
      </c>
      <c r="G136" s="1791">
        <f t="shared" ref="G136:G140" si="20">IF(F136=0,0,D136-F136)</f>
        <v>0</v>
      </c>
    </row>
    <row r="137" spans="1:7" x14ac:dyDescent="0.25">
      <c r="A137" s="1651"/>
      <c r="B137" s="1665"/>
      <c r="C137" s="1652"/>
      <c r="D137" s="1842"/>
      <c r="E137" s="1538">
        <f t="shared" si="19"/>
        <v>0</v>
      </c>
      <c r="F137" s="1935">
        <f t="shared" si="6"/>
        <v>0</v>
      </c>
      <c r="G137" s="1791">
        <f t="shared" si="20"/>
        <v>0</v>
      </c>
    </row>
    <row r="138" spans="1:7" x14ac:dyDescent="0.25">
      <c r="A138" s="1651"/>
      <c r="B138" s="1665"/>
      <c r="C138" s="1652"/>
      <c r="D138" s="1842"/>
      <c r="E138" s="1538">
        <f t="shared" si="19"/>
        <v>0</v>
      </c>
      <c r="F138" s="1935">
        <f t="shared" si="6"/>
        <v>0</v>
      </c>
      <c r="G138" s="1791">
        <f t="shared" si="20"/>
        <v>0</v>
      </c>
    </row>
    <row r="139" spans="1:7" x14ac:dyDescent="0.25">
      <c r="A139" s="1651"/>
      <c r="B139" s="1665"/>
      <c r="C139" s="1652"/>
      <c r="D139" s="1842"/>
      <c r="E139" s="1538">
        <f t="shared" si="19"/>
        <v>0</v>
      </c>
      <c r="F139" s="1935">
        <f t="shared" si="6"/>
        <v>0</v>
      </c>
      <c r="G139" s="1791">
        <f t="shared" si="20"/>
        <v>0</v>
      </c>
    </row>
    <row r="140" spans="1:7" x14ac:dyDescent="0.25">
      <c r="A140" s="1651"/>
      <c r="B140" s="1665"/>
      <c r="C140" s="1652"/>
      <c r="D140" s="1842"/>
      <c r="E140" s="1538">
        <f t="shared" si="19"/>
        <v>0</v>
      </c>
      <c r="F140" s="1935">
        <f t="shared" si="6"/>
        <v>0</v>
      </c>
      <c r="G140" s="1791">
        <f t="shared" si="20"/>
        <v>0</v>
      </c>
    </row>
    <row r="141" spans="1:7" x14ac:dyDescent="0.25">
      <c r="A141" s="1651"/>
      <c r="B141" s="1664"/>
      <c r="C141" s="1652"/>
      <c r="D141" s="1842"/>
      <c r="E141" s="1538">
        <f t="shared" si="2"/>
        <v>0</v>
      </c>
      <c r="F141" s="1935">
        <f t="shared" si="6"/>
        <v>0</v>
      </c>
      <c r="G141" s="1791">
        <f t="shared" si="3"/>
        <v>0</v>
      </c>
    </row>
    <row r="142" spans="1:7" x14ac:dyDescent="0.25">
      <c r="A142" s="1794" t="s">
        <v>156</v>
      </c>
      <c r="B142" s="1795"/>
      <c r="C142" s="1796"/>
      <c r="D142" s="1792">
        <f>SUM(D18:D141)</f>
        <v>381707</v>
      </c>
      <c r="E142" s="1539">
        <f t="shared" si="0"/>
        <v>25000</v>
      </c>
      <c r="F142" s="1930">
        <f>SUM(F18:F141)</f>
        <v>25000</v>
      </c>
      <c r="G142" s="1793">
        <f>SUM(G18:G141)</f>
        <v>356707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3" colorId="8" zoomScale="110" zoomScaleNormal="110" workbookViewId="0">
      <selection activeCell="E30" sqref="E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60" t="s">
        <v>1679</v>
      </c>
      <c r="B5" s="2361"/>
      <c r="C5" s="2361"/>
      <c r="D5" s="2361"/>
      <c r="E5" s="2361"/>
      <c r="F5" s="2361"/>
      <c r="G5" s="2362"/>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1912</v>
      </c>
      <c r="B10" s="971"/>
      <c r="C10" s="976"/>
      <c r="D10" s="972"/>
      <c r="E10" s="973">
        <f>+'Expenditures 15-22'!E63+'Expenditures 15-22'!F63</f>
        <v>382582</v>
      </c>
      <c r="F10" s="974"/>
      <c r="G10" s="975"/>
      <c r="H10" s="162"/>
      <c r="I10" s="162"/>
    </row>
    <row r="11" spans="1:9" s="668" customFormat="1" ht="22.5" customHeight="1" x14ac:dyDescent="0.2">
      <c r="A11" s="2365" t="s">
        <v>1955</v>
      </c>
      <c r="B11" s="2366"/>
      <c r="C11" s="2366"/>
      <c r="D11" s="2367"/>
      <c r="E11" s="977">
        <v>46861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6792523</v>
      </c>
      <c r="F19" s="1797"/>
      <c r="G19" s="1799">
        <f>'Expenditures 15-22'!K33-SUM('Expenditures 15-22'!G33,'Expenditures 15-22'!I33)+'Expenditures 15-22'!D229</f>
        <v>6792523</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781504</v>
      </c>
      <c r="F21" s="1800"/>
      <c r="G21" s="1803">
        <f>'Expenditures 15-22'!K42-SUM('Expenditures 15-22'!G42,'Expenditures 15-22'!I42)+'Expenditures 15-22'!K120-SUM('Expenditures 15-22'!G120,'Expenditures 15-22'!I120)+'Expenditures 15-22'!K180-SUM('Expenditures 15-22'!G180,'Expenditures 15-22'!I180)+'Expenditures 15-22'!D238</f>
        <v>781504</v>
      </c>
      <c r="H21" s="987"/>
      <c r="I21" s="162"/>
    </row>
    <row r="22" spans="1:9" s="668" customFormat="1" ht="12" customHeight="1" x14ac:dyDescent="0.2">
      <c r="A22" s="994" t="s">
        <v>564</v>
      </c>
      <c r="B22" s="995"/>
      <c r="C22" s="993">
        <v>2200</v>
      </c>
      <c r="D22" s="1800"/>
      <c r="E22" s="1802">
        <f>'Expenditures 15-22'!K47-SUM('Expenditures 15-22'!G47,'Expenditures 15-22'!I47)+'Expenditures 15-22'!D243</f>
        <v>102702</v>
      </c>
      <c r="F22" s="1800"/>
      <c r="G22" s="1803">
        <f>'Expenditures 15-22'!K47-SUM('Expenditures 15-22'!G47,'Expenditures 15-22'!I47)+'Expenditures 15-22'!D243</f>
        <v>102702</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1149576</v>
      </c>
      <c r="F23" s="1800"/>
      <c r="G23" s="1802">
        <f>'Expenditures 15-22'!K53-SUM('Expenditures 15-22'!G53,'Expenditures 15-22'!I53)+'Expenditures 15-22'!D257+'Expenditures 15-22'!K330-SUM('Expenditures 15-22'!G330,'Expenditures 15-22'!I330)</f>
        <v>1149576</v>
      </c>
      <c r="H23" s="987"/>
      <c r="I23" s="162"/>
    </row>
    <row r="24" spans="1:9" s="668" customFormat="1" ht="12" customHeight="1" x14ac:dyDescent="0.2">
      <c r="A24" s="994" t="s">
        <v>566</v>
      </c>
      <c r="B24" s="995"/>
      <c r="C24" s="993">
        <v>2400</v>
      </c>
      <c r="D24" s="1800"/>
      <c r="E24" s="1802">
        <f>'Expenditures 15-22'!K57-SUM('Expenditures 15-22'!G57,'Expenditures 15-22'!I57)+'Expenditures 15-22'!D261</f>
        <v>412729</v>
      </c>
      <c r="F24" s="1800"/>
      <c r="G24" s="1803">
        <f>'Expenditures 15-22'!K57-SUM('Expenditures 15-22'!G57,'Expenditures 15-22'!I57)+'Expenditures 15-22'!D261</f>
        <v>412729</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122730</v>
      </c>
      <c r="E27" s="1802">
        <f>E8</f>
        <v>0</v>
      </c>
      <c r="F27" s="1802">
        <f>'Expenditures 15-22'!K60-SUM('Expenditures 15-22'!G60,'Expenditures 15-22'!I60)+'Expenditures 15-22'!D264-E8</f>
        <v>122730</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894529</v>
      </c>
      <c r="F28" s="1804">
        <f>'Expenditures 15-22'!K61-SUM('Expenditures 15-22'!G61,'Expenditures 15-22'!I61)+'Expenditures 15-22'!K124-SUM('Expenditures 15-22'!G124,'Expenditures 15-22'!I124)+'Expenditures 15-22'!D266-E9</f>
        <v>894529</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8695</v>
      </c>
      <c r="F29" s="1800"/>
      <c r="G29" s="1803">
        <f>'Expenditures 15-22'!K62-SUM('Expenditures 15-22'!G62,'Expenditures 15-22'!I62)+'Expenditures 15-22'!K125-SUM('Expenditures 15-22'!G125,'Expenditures 15-22'!I125)+'Expenditures 15-22'!K182-SUM('Expenditures 15-22'!G182,'Expenditures 15-22'!I182)+'Expenditures 15-22'!D267</f>
        <v>8695</v>
      </c>
      <c r="H29" s="985"/>
    </row>
    <row r="30" spans="1:9" ht="12" customHeight="1" x14ac:dyDescent="0.2">
      <c r="A30" s="994" t="s">
        <v>100</v>
      </c>
      <c r="B30" s="997"/>
      <c r="C30" s="993">
        <v>2560</v>
      </c>
      <c r="D30" s="1800"/>
      <c r="E30" s="1802">
        <f>'Expenditures 15-22'!K63-SUM('Expenditures 15-22'!G63,'Expenditures 15-22'!I63)+'Expenditures 15-22'!D268-E10</f>
        <v>126688</v>
      </c>
      <c r="F30" s="1800"/>
      <c r="G30" s="1802">
        <f>'Expenditures 15-22'!K63-SUM('Expenditures 15-22'!G63,'Expenditures 15-22'!I63)+'Expenditures 15-22'!D268-E10</f>
        <v>126688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76285</v>
      </c>
      <c r="F35" s="1800"/>
      <c r="G35" s="1802">
        <f>'Expenditures 15-22'!K69-SUM('Expenditures 15-22'!G69,'Expenditures 15-22'!I69)+'Expenditures 15-22'!D274</f>
        <v>76285</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176328</v>
      </c>
      <c r="F39" s="1800"/>
      <c r="G39" s="1802">
        <f>'Expenditures 15-22'!K75-SUM('Expenditures 15-22'!G75,'Expenditures 15-22'!I75)+'Expenditures 15-22'!K130-SUM('Expenditures 15-22'!G130,'Expenditures 15-22'!I130)+'Expenditures 15-22'!K185-SUM('Expenditures 15-22'!G185,'Expenditures 15-22'!I185)+'Expenditures 15-22'!D280</f>
        <v>176328</v>
      </c>
    </row>
    <row r="40" spans="1:7" ht="12" customHeight="1" x14ac:dyDescent="0.2">
      <c r="A40" s="990" t="s">
        <v>1803</v>
      </c>
      <c r="B40" s="991"/>
      <c r="C40" s="993"/>
      <c r="D40" s="1800"/>
      <c r="E40" s="1804">
        <f>-'Contracts Paid in CY 29'!G142</f>
        <v>-356707</v>
      </c>
      <c r="F40" s="1800"/>
      <c r="G40" s="1804">
        <f>-'Contracts Paid in CY 29'!G142</f>
        <v>-356707</v>
      </c>
    </row>
    <row r="41" spans="1:7" ht="12" customHeight="1" x14ac:dyDescent="0.2">
      <c r="A41" s="998" t="s">
        <v>156</v>
      </c>
      <c r="B41" s="999"/>
      <c r="C41" s="1000"/>
      <c r="D41" s="1804">
        <f>SUM(D19:D39)</f>
        <v>122730</v>
      </c>
      <c r="E41" s="1804">
        <f>SUM(E19:E40)</f>
        <v>10164852</v>
      </c>
      <c r="F41" s="1804">
        <f>SUM(F19:F39)</f>
        <v>1017259</v>
      </c>
      <c r="G41" s="1804">
        <f>SUM(G19:G40)</f>
        <v>9270323</v>
      </c>
    </row>
    <row r="42" spans="1:7" x14ac:dyDescent="0.2">
      <c r="A42" s="987"/>
      <c r="B42" s="162"/>
      <c r="C42" s="1001"/>
      <c r="D42" s="2363" t="s">
        <v>522</v>
      </c>
      <c r="E42" s="2364"/>
      <c r="F42" s="1002" t="s">
        <v>523</v>
      </c>
      <c r="G42" s="1003"/>
    </row>
    <row r="43" spans="1:7" ht="12" customHeight="1" x14ac:dyDescent="0.2">
      <c r="A43" s="987"/>
      <c r="B43" s="162"/>
      <c r="C43" s="1001"/>
      <c r="D43" s="1805" t="s">
        <v>473</v>
      </c>
      <c r="E43" s="1806">
        <f>D41</f>
        <v>122730</v>
      </c>
      <c r="F43" s="1805" t="s">
        <v>473</v>
      </c>
      <c r="G43" s="1806">
        <f>F41</f>
        <v>1017259</v>
      </c>
    </row>
    <row r="44" spans="1:7" ht="12" customHeight="1" x14ac:dyDescent="0.2">
      <c r="A44" s="987"/>
      <c r="B44" s="162"/>
      <c r="C44" s="1001"/>
      <c r="D44" s="1805" t="s">
        <v>474</v>
      </c>
      <c r="E44" s="1806">
        <f>E41</f>
        <v>10164852</v>
      </c>
      <c r="F44" s="1805" t="s">
        <v>474</v>
      </c>
      <c r="G44" s="1806">
        <f>G41</f>
        <v>9270323</v>
      </c>
    </row>
    <row r="45" spans="1:7" ht="12" customHeight="1" x14ac:dyDescent="0.2">
      <c r="A45" s="987"/>
      <c r="B45" s="162"/>
      <c r="C45" s="162"/>
      <c r="D45" s="1807" t="s">
        <v>1006</v>
      </c>
      <c r="E45" s="1808">
        <f>(E43/E44)</f>
        <v>1.2073958381292714E-2</v>
      </c>
      <c r="F45" s="1807" t="s">
        <v>1006</v>
      </c>
      <c r="G45" s="1808">
        <f>(G43/G44)</f>
        <v>0.10973285396851869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82" t="s">
        <v>1379</v>
      </c>
      <c r="B1" s="2382"/>
      <c r="C1" s="2382"/>
      <c r="D1" s="2382"/>
      <c r="E1" s="2382"/>
      <c r="F1" s="2382"/>
    </row>
    <row r="2" spans="1:10" x14ac:dyDescent="0.2">
      <c r="A2" s="1885" t="s">
        <v>1891</v>
      </c>
      <c r="B2" s="1846"/>
      <c r="C2" s="1885"/>
      <c r="D2" s="1846"/>
      <c r="E2" s="1846"/>
      <c r="F2" s="1847"/>
    </row>
    <row r="3" spans="1:10" x14ac:dyDescent="0.2">
      <c r="A3" s="1885" t="s">
        <v>1956</v>
      </c>
      <c r="B3" s="1846"/>
      <c r="C3" s="1885"/>
      <c r="D3" s="1846"/>
      <c r="E3" s="1846"/>
      <c r="F3" s="1847"/>
    </row>
    <row r="4" spans="1:10" ht="3.75" customHeight="1" x14ac:dyDescent="0.2">
      <c r="A4" s="1846"/>
      <c r="B4" s="1846"/>
      <c r="C4" s="1846"/>
      <c r="D4" s="1846"/>
      <c r="E4" s="1846"/>
      <c r="F4" s="1847"/>
    </row>
    <row r="5" spans="1:10" ht="15" x14ac:dyDescent="0.25">
      <c r="A5" s="2383" t="s">
        <v>1546</v>
      </c>
      <c r="B5" s="2384"/>
      <c r="C5" s="2385"/>
      <c r="D5" s="2385"/>
      <c r="E5" s="2385"/>
      <c r="F5" s="2385"/>
    </row>
    <row r="6" spans="1:10" ht="12" customHeight="1" x14ac:dyDescent="0.25">
      <c r="A6" s="1848"/>
      <c r="B6" s="1849"/>
      <c r="C6" s="2386" t="str">
        <f>COVER!A17</f>
        <v>Whiteside School District No. 115</v>
      </c>
      <c r="D6" s="2386"/>
      <c r="E6" s="2386"/>
      <c r="F6" s="1850"/>
    </row>
    <row r="7" spans="1:10" ht="11.25" customHeight="1" thickBot="1" x14ac:dyDescent="0.3">
      <c r="A7" s="1848"/>
      <c r="B7" s="1849"/>
      <c r="C7" s="2387" t="str">
        <f>COVER!A13</f>
        <v>50-082-1150-02</v>
      </c>
      <c r="D7" s="2387"/>
      <c r="E7" s="2387"/>
      <c r="F7" s="1850"/>
    </row>
    <row r="8" spans="1:10" ht="25.5" customHeight="1" thickBot="1" x14ac:dyDescent="0.25">
      <c r="A8" s="1891" t="s">
        <v>1887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2044</v>
      </c>
      <c r="D26" s="1863" t="s">
        <v>2044</v>
      </c>
      <c r="E26" s="1866"/>
      <c r="F26" s="1865" t="s">
        <v>2063</v>
      </c>
      <c r="H26" s="1876">
        <f t="shared" si="0"/>
        <v>5</v>
      </c>
      <c r="I26" s="1876">
        <f t="shared" si="1"/>
        <v>5</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v>
      </c>
      <c r="I34" s="1876">
        <f>SUM(I11:I32)</f>
        <v>5</v>
      </c>
      <c r="J34" s="1876">
        <f>SUM(J11:J32)</f>
        <v>0</v>
      </c>
      <c r="K34" s="1876">
        <f>SUM(H34:J34)</f>
        <v>10</v>
      </c>
    </row>
    <row r="35" spans="1:11" ht="12" customHeight="1" x14ac:dyDescent="0.2">
      <c r="A35" s="1869" t="s">
        <v>1392</v>
      </c>
      <c r="B35" s="1870"/>
      <c r="C35" s="2388"/>
      <c r="D35" s="2388"/>
      <c r="E35" s="2388"/>
      <c r="F35" s="2389"/>
    </row>
    <row r="36" spans="1:11" ht="12" customHeight="1" x14ac:dyDescent="0.2">
      <c r="A36" s="2371"/>
      <c r="B36" s="2372"/>
      <c r="C36" s="2372"/>
      <c r="D36" s="2372"/>
      <c r="E36" s="2372"/>
      <c r="F36" s="2373"/>
    </row>
    <row r="37" spans="1:11" ht="12" customHeight="1" x14ac:dyDescent="0.2">
      <c r="A37" s="2371"/>
      <c r="B37" s="2372"/>
      <c r="C37" s="2372"/>
      <c r="D37" s="2372"/>
      <c r="E37" s="2372"/>
      <c r="F37" s="2373"/>
    </row>
    <row r="38" spans="1:11" ht="12" customHeight="1" x14ac:dyDescent="0.2">
      <c r="A38" s="2374"/>
      <c r="B38" s="2375"/>
      <c r="C38" s="2375"/>
      <c r="D38" s="2375"/>
      <c r="E38" s="2375"/>
      <c r="F38" s="2376"/>
    </row>
    <row r="39" spans="1:11" ht="4.5" hidden="1" customHeight="1" x14ac:dyDescent="0.2">
      <c r="A39" s="1871"/>
      <c r="B39" s="1871"/>
      <c r="C39" s="1871"/>
      <c r="D39" s="1871"/>
      <c r="E39" s="1871"/>
      <c r="F39" s="1871"/>
    </row>
    <row r="40" spans="1:11" s="1868" customFormat="1" ht="12" customHeight="1" x14ac:dyDescent="0.25">
      <c r="A40" s="1872" t="s">
        <v>1391</v>
      </c>
      <c r="B40" s="1873"/>
      <c r="C40" s="2377"/>
      <c r="D40" s="2377"/>
      <c r="E40" s="2377"/>
      <c r="F40" s="2378"/>
      <c r="H40" s="1877"/>
      <c r="I40" s="1877"/>
      <c r="J40" s="1877"/>
      <c r="K40" s="1877"/>
    </row>
    <row r="41" spans="1:11" s="1868" customFormat="1" ht="12" customHeight="1" x14ac:dyDescent="0.25">
      <c r="A41" s="2379"/>
      <c r="B41" s="2380"/>
      <c r="C41" s="2380"/>
      <c r="D41" s="2380"/>
      <c r="E41" s="2380"/>
      <c r="F41" s="2381"/>
      <c r="H41" s="1877"/>
      <c r="I41" s="1877"/>
      <c r="J41" s="1877"/>
      <c r="K41" s="1877"/>
    </row>
    <row r="42" spans="1:11" s="1868" customFormat="1" ht="12" customHeight="1" x14ac:dyDescent="0.25">
      <c r="A42" s="2379"/>
      <c r="B42" s="2380"/>
      <c r="C42" s="2380"/>
      <c r="D42" s="2380"/>
      <c r="E42" s="2380"/>
      <c r="F42" s="2381"/>
      <c r="H42" s="1877"/>
      <c r="I42" s="1877"/>
      <c r="J42" s="1877"/>
      <c r="K42" s="1877"/>
    </row>
    <row r="43" spans="1:11" s="1868" customFormat="1" ht="15" x14ac:dyDescent="0.25">
      <c r="A43" s="2368"/>
      <c r="B43" s="2369"/>
      <c r="C43" s="2369"/>
      <c r="D43" s="2369"/>
      <c r="E43" s="2369"/>
      <c r="F43" s="2370"/>
      <c r="H43" s="1877"/>
      <c r="I43" s="1877"/>
      <c r="J43" s="1877"/>
      <c r="K43" s="1877"/>
    </row>
    <row r="44" spans="1:11" s="1868" customFormat="1" ht="12" hidden="1" customHeight="1" x14ac:dyDescent="0.25">
      <c r="A44" s="2368"/>
      <c r="B44" s="2369"/>
      <c r="C44" s="2369"/>
      <c r="D44" s="2369"/>
      <c r="E44" s="2369"/>
      <c r="F44" s="2370"/>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C26" sqref="C26:D2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0"/>
      <c r="C6" s="1640"/>
      <c r="D6" s="1640"/>
      <c r="E6" s="1641"/>
      <c r="F6" s="1015"/>
      <c r="G6" s="1009"/>
      <c r="H6" s="1016" t="s">
        <v>1028</v>
      </c>
      <c r="I6" s="2395" t="str">
        <f>COVER!A17</f>
        <v>Whiteside School District No. 115</v>
      </c>
      <c r="J6" s="2396"/>
      <c r="Q6" s="1662"/>
    </row>
    <row r="7" spans="1:17" x14ac:dyDescent="0.2">
      <c r="A7" s="2397" t="s">
        <v>869</v>
      </c>
      <c r="B7" s="2398"/>
      <c r="C7" s="2398"/>
      <c r="D7" s="2398"/>
      <c r="E7" s="2399"/>
      <c r="F7" s="1017"/>
      <c r="G7" s="1009"/>
      <c r="H7" s="1016" t="s">
        <v>372</v>
      </c>
      <c r="I7" s="2400" t="str">
        <f>COVER!A13</f>
        <v>50-082-1150-02</v>
      </c>
      <c r="J7" s="2400"/>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1957</v>
      </c>
      <c r="F9" s="1023"/>
      <c r="G9" s="1023"/>
      <c r="H9" s="1894"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401" t="s">
        <v>481</v>
      </c>
      <c r="B11" s="2402"/>
      <c r="C11" s="240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172243</v>
      </c>
      <c r="F12" s="1039"/>
      <c r="G12" s="1809">
        <f t="shared" ref="G12:G18" si="0">SUM(E12:F12)</f>
        <v>172243</v>
      </c>
      <c r="H12" s="1040">
        <v>175124</v>
      </c>
      <c r="I12" s="1039"/>
      <c r="J12" s="1809">
        <f t="shared" ref="J12:J18" si="1">SUM(H12:I12)</f>
        <v>175124</v>
      </c>
    </row>
    <row r="13" spans="1:17" ht="15" customHeight="1" x14ac:dyDescent="0.2">
      <c r="A13" s="1035">
        <v>2</v>
      </c>
      <c r="B13" s="1036" t="s">
        <v>42</v>
      </c>
      <c r="C13" s="1037"/>
      <c r="D13" s="1038">
        <v>2330</v>
      </c>
      <c r="E13" s="1809">
        <f>'Expenditures 15-22'!K51</f>
        <v>21524</v>
      </c>
      <c r="F13" s="1039"/>
      <c r="G13" s="1809">
        <f t="shared" si="0"/>
        <v>21524</v>
      </c>
      <c r="H13" s="1040">
        <v>23458</v>
      </c>
      <c r="I13" s="1039"/>
      <c r="J13" s="1809">
        <f t="shared" si="1"/>
        <v>23458</v>
      </c>
    </row>
    <row r="14" spans="1:17" ht="15" customHeight="1" x14ac:dyDescent="0.2">
      <c r="A14" s="1035">
        <v>3</v>
      </c>
      <c r="B14" s="1036" t="s">
        <v>43</v>
      </c>
      <c r="C14" s="1037"/>
      <c r="D14" s="1041">
        <v>2490</v>
      </c>
      <c r="E14" s="1809">
        <f>'Expenditures 15-22'!K56</f>
        <v>5911</v>
      </c>
      <c r="F14" s="1039"/>
      <c r="G14" s="1809">
        <f t="shared" si="0"/>
        <v>5911</v>
      </c>
      <c r="H14" s="1040">
        <v>6762</v>
      </c>
      <c r="I14" s="1039"/>
      <c r="J14" s="1809">
        <f t="shared" si="1"/>
        <v>6762</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404" t="s">
        <v>7</v>
      </c>
      <c r="C18" s="2405"/>
      <c r="D18" s="2406"/>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199678</v>
      </c>
      <c r="F19" s="1811">
        <f t="shared" si="2"/>
        <v>0</v>
      </c>
      <c r="G19" s="1811">
        <f t="shared" si="2"/>
        <v>199678</v>
      </c>
      <c r="H19" s="1811">
        <f t="shared" si="2"/>
        <v>205344</v>
      </c>
      <c r="I19" s="1811">
        <f t="shared" si="2"/>
        <v>0</v>
      </c>
      <c r="J19" s="1811">
        <f t="shared" si="2"/>
        <v>205344</v>
      </c>
    </row>
    <row r="20" spans="1:10" ht="13.5" thickTop="1" x14ac:dyDescent="0.2">
      <c r="A20" s="1035">
        <v>9</v>
      </c>
      <c r="B20" s="2407" t="s">
        <v>1959</v>
      </c>
      <c r="C20" s="2407"/>
      <c r="D20" s="2408"/>
      <c r="E20" s="1046"/>
      <c r="F20" s="1046"/>
      <c r="G20" s="1046"/>
      <c r="H20" s="1046"/>
      <c r="I20" s="1046"/>
      <c r="J20" s="1812">
        <f>IF(AND(G19&gt;0,J19&gt;0),(((J19-G19)/G19)),"Enter Budget Data")</f>
        <v>2.8375684852612708E-2</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1972</v>
      </c>
      <c r="B24" s="1047"/>
    </row>
    <row r="25" spans="1:10" x14ac:dyDescent="0.2">
      <c r="A25" s="1049"/>
      <c r="B25" s="1047"/>
    </row>
    <row r="26" spans="1:10" ht="20.100000000000001" customHeight="1" x14ac:dyDescent="0.2">
      <c r="B26" s="1047"/>
      <c r="C26" s="2413"/>
      <c r="D26" s="2413"/>
      <c r="E26" s="1050"/>
      <c r="F26" s="2412"/>
      <c r="G26" s="2412"/>
    </row>
    <row r="27" spans="1:10" x14ac:dyDescent="0.2">
      <c r="B27" s="1047"/>
      <c r="C27" s="1051" t="s">
        <v>1033</v>
      </c>
      <c r="D27" s="1052"/>
      <c r="E27" s="1053"/>
      <c r="F27" s="2409" t="s">
        <v>1509</v>
      </c>
      <c r="G27" s="2409"/>
    </row>
    <row r="28" spans="1:10" ht="28.5" customHeight="1" x14ac:dyDescent="0.2">
      <c r="B28" s="1047"/>
      <c r="C28" s="2411"/>
      <c r="D28" s="2411"/>
      <c r="E28" s="1054"/>
      <c r="F28" s="2411"/>
      <c r="G28" s="2411"/>
    </row>
    <row r="29" spans="1:10" x14ac:dyDescent="0.2">
      <c r="B29" s="1047"/>
      <c r="C29" s="1055" t="s">
        <v>1561</v>
      </c>
      <c r="E29" s="1056"/>
      <c r="F29" s="2410" t="s">
        <v>1510</v>
      </c>
      <c r="G29" s="241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92" t="s">
        <v>132</v>
      </c>
      <c r="D33" s="2393"/>
      <c r="E33" s="2393"/>
      <c r="F33" s="2393"/>
      <c r="G33" s="2393"/>
      <c r="H33" s="2393"/>
      <c r="I33" s="2393"/>
    </row>
    <row r="34" spans="1:10" ht="10.35" customHeight="1" x14ac:dyDescent="0.2">
      <c r="C34" s="2393"/>
      <c r="D34" s="2393"/>
      <c r="E34" s="2393"/>
      <c r="F34" s="2393"/>
      <c r="G34" s="2393"/>
      <c r="H34" s="2393"/>
      <c r="I34" s="2393"/>
    </row>
    <row r="35" spans="1:10" ht="7.5" customHeight="1" x14ac:dyDescent="0.2">
      <c r="C35" s="1062"/>
    </row>
    <row r="36" spans="1:10" ht="13.5" customHeight="1" x14ac:dyDescent="0.2">
      <c r="B36" s="1061"/>
      <c r="C36" s="2394" t="s">
        <v>1961</v>
      </c>
      <c r="D36" s="2393"/>
      <c r="E36" s="2393"/>
      <c r="F36" s="2393"/>
      <c r="G36" s="2393"/>
      <c r="H36" s="2393"/>
      <c r="I36" s="2393"/>
      <c r="J36" s="1063"/>
    </row>
    <row r="37" spans="1:10" ht="22.5" customHeight="1" x14ac:dyDescent="0.2">
      <c r="C37" s="2393"/>
      <c r="D37" s="2393"/>
      <c r="E37" s="2393"/>
      <c r="F37" s="2393"/>
      <c r="G37" s="2393"/>
      <c r="H37" s="2393"/>
      <c r="I37" s="2393"/>
      <c r="J37" s="1063"/>
    </row>
    <row r="38" spans="1:10" ht="7.5" customHeight="1" x14ac:dyDescent="0.2">
      <c r="C38" s="1062"/>
      <c r="D38" s="1064"/>
      <c r="E38" s="1065"/>
      <c r="F38" s="1066"/>
      <c r="G38" s="1065"/>
    </row>
    <row r="39" spans="1:10" ht="13.5" customHeight="1" x14ac:dyDescent="0.2">
      <c r="B39" s="1061"/>
      <c r="C39" s="2390" t="s">
        <v>882</v>
      </c>
      <c r="D39" s="2391"/>
      <c r="E39" s="2391"/>
      <c r="F39" s="2391"/>
      <c r="G39" s="2391"/>
      <c r="H39" s="2391"/>
      <c r="I39" s="239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Whiteside School District No. 115</v>
      </c>
    </row>
    <row r="65" spans="2:2" x14ac:dyDescent="0.2">
      <c r="B65" s="1070" t="str">
        <f>COVER!A13</f>
        <v>50-082-1150-02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414" t="s">
        <v>1685</v>
      </c>
      <c r="B18" s="241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5" t="s">
        <v>1690</v>
      </c>
      <c r="B1" s="2416"/>
      <c r="C1" s="2416"/>
      <c r="D1" s="2416"/>
      <c r="E1" s="2416"/>
      <c r="F1" s="2417"/>
    </row>
    <row r="2" spans="1:8" ht="45" customHeight="1" x14ac:dyDescent="0.2">
      <c r="A2" s="2425" t="s">
        <v>1965</v>
      </c>
      <c r="B2" s="2426"/>
      <c r="C2" s="2426"/>
      <c r="D2" s="2426"/>
      <c r="E2" s="2426"/>
      <c r="F2" s="2427"/>
      <c r="G2" s="1074"/>
      <c r="H2" s="1074"/>
    </row>
    <row r="3" spans="1:8" ht="57" customHeight="1" x14ac:dyDescent="0.2">
      <c r="A3" s="2428" t="s">
        <v>1686</v>
      </c>
      <c r="B3" s="2429"/>
      <c r="C3" s="2429"/>
      <c r="D3" s="2429"/>
      <c r="E3" s="2429"/>
      <c r="F3" s="2430"/>
      <c r="G3" s="1074"/>
      <c r="H3" s="1074"/>
    </row>
    <row r="4" spans="1:8" ht="14.25" customHeight="1" x14ac:dyDescent="0.2">
      <c r="A4" s="2434" t="s">
        <v>1966</v>
      </c>
      <c r="B4" s="2435"/>
      <c r="C4" s="2435"/>
      <c r="D4" s="2435"/>
      <c r="E4" s="2435"/>
      <c r="F4" s="2436"/>
      <c r="G4" s="1074"/>
      <c r="H4" s="1074"/>
    </row>
    <row r="5" spans="1:8" ht="14.25" customHeight="1" x14ac:dyDescent="0.2">
      <c r="A5" s="2437" t="s">
        <v>1962</v>
      </c>
      <c r="B5" s="2438"/>
      <c r="C5" s="2438"/>
      <c r="D5" s="2438"/>
      <c r="E5" s="2438"/>
      <c r="F5" s="2439"/>
      <c r="G5" s="1074"/>
      <c r="H5" s="1074"/>
    </row>
    <row r="6" spans="1:8" s="1075" customFormat="1" ht="41.25" customHeight="1" x14ac:dyDescent="0.2">
      <c r="A6" s="2431" t="s">
        <v>1691</v>
      </c>
      <c r="B6" s="2432"/>
      <c r="C6" s="2432"/>
      <c r="D6" s="2432"/>
      <c r="E6" s="2432"/>
      <c r="F6" s="243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9020729</v>
      </c>
      <c r="C8" s="1813">
        <f>'Acct Summary 7-8'!D8</f>
        <v>601906</v>
      </c>
      <c r="D8" s="1813">
        <f>'Acct Summary 7-8'!F8</f>
        <v>654663</v>
      </c>
      <c r="E8" s="1813">
        <f>'Acct Summary 7-8'!I8</f>
        <v>118029</v>
      </c>
      <c r="F8" s="1813">
        <f>SUM(B8:E8)</f>
        <v>10395327</v>
      </c>
    </row>
    <row r="9" spans="1:8" s="1079" customFormat="1" ht="14.25" customHeight="1" thickBot="1" x14ac:dyDescent="0.25">
      <c r="A9" s="1078" t="s">
        <v>1369</v>
      </c>
      <c r="B9" s="1814">
        <f>'Acct Summary 7-8'!C17</f>
        <v>9562845</v>
      </c>
      <c r="C9" s="1814">
        <f>'Acct Summary 7-8'!D17</f>
        <v>642513</v>
      </c>
      <c r="D9" s="1814">
        <f>'Acct Summary 7-8'!F17</f>
        <v>747884</v>
      </c>
      <c r="E9" s="1813"/>
      <c r="F9" s="1813">
        <f>SUM(B9:E9)</f>
        <v>10953242</v>
      </c>
    </row>
    <row r="10" spans="1:8" s="1079" customFormat="1" ht="14.25" thickTop="1" thickBot="1" x14ac:dyDescent="0.25">
      <c r="A10" s="1080" t="s">
        <v>1370</v>
      </c>
      <c r="B10" s="1815">
        <f>(B8-B9)</f>
        <v>-542116</v>
      </c>
      <c r="C10" s="1815">
        <f>(C8-C9)</f>
        <v>-40607</v>
      </c>
      <c r="D10" s="1815">
        <f>(D8-D9)</f>
        <v>-93221</v>
      </c>
      <c r="E10" s="1814">
        <f>(E8-E9)</f>
        <v>118029</v>
      </c>
      <c r="F10" s="1816">
        <f>SUM(F8-F9)</f>
        <v>-557915</v>
      </c>
    </row>
    <row r="11" spans="1:8" s="1079" customFormat="1" ht="14.25" thickTop="1" thickBot="1" x14ac:dyDescent="0.25">
      <c r="A11" s="1081" t="s">
        <v>1963</v>
      </c>
      <c r="B11" s="1817">
        <f>'Acct Summary 7-8'!C81</f>
        <v>274203</v>
      </c>
      <c r="C11" s="1817">
        <f>'Acct Summary 7-8'!D81</f>
        <v>74078</v>
      </c>
      <c r="D11" s="1817">
        <f>'Acct Summary 7-8'!F81</f>
        <v>-62272</v>
      </c>
      <c r="E11" s="1817">
        <f>'Acct Summary 7-8'!I81</f>
        <v>1602873</v>
      </c>
      <c r="F11" s="1818">
        <f>SUM(B11:E11)</f>
        <v>1888882</v>
      </c>
    </row>
    <row r="12" spans="1:8" ht="16.5" customHeight="1" thickTop="1" x14ac:dyDescent="0.2">
      <c r="A12" s="1082"/>
      <c r="B12" s="1083"/>
      <c r="C12" s="2419" t="str">
        <f>IF(AND(F10&lt;0,F11&gt;=0,ABS(F10*3)&gt;ABS(F11)),A16,IF(AND(F10&lt;0,F11&gt;0,ABS(F10*3)&lt;=ABS(F11)),A17,IF(AND(F10&lt;0,F11&lt;0),A16,IF(F11=0,A19,A18))))</f>
        <v>Unbalanced -  however, a deficit reduction plan is not required at this time.</v>
      </c>
      <c r="D12" s="2420"/>
      <c r="E12" s="2420"/>
      <c r="F12" s="2421"/>
    </row>
    <row r="13" spans="1:8" ht="19.5" customHeight="1" x14ac:dyDescent="0.2">
      <c r="A13" s="1084"/>
      <c r="B13" s="1085"/>
      <c r="C13" s="2419"/>
      <c r="D13" s="2420"/>
      <c r="E13" s="2420"/>
      <c r="F13" s="2421"/>
      <c r="H13" s="1074"/>
    </row>
    <row r="14" spans="1:8" ht="19.5" customHeight="1" x14ac:dyDescent="0.2">
      <c r="A14" s="1084"/>
      <c r="B14" s="1085"/>
      <c r="C14" s="2419"/>
      <c r="D14" s="2420"/>
      <c r="E14" s="2420"/>
      <c r="F14" s="2421"/>
      <c r="H14" s="1074"/>
    </row>
    <row r="15" spans="1:8" ht="17.25" customHeight="1" x14ac:dyDescent="0.2">
      <c r="A15" s="1084"/>
      <c r="B15" s="1085"/>
      <c r="C15" s="2422"/>
      <c r="D15" s="2423"/>
      <c r="E15" s="2423"/>
      <c r="F15" s="2424"/>
      <c r="H15" s="1074"/>
    </row>
    <row r="16" spans="1:8" s="310" customFormat="1" ht="51.75" hidden="1" customHeight="1" x14ac:dyDescent="0.2">
      <c r="A16" s="2418" t="s">
        <v>1687</v>
      </c>
      <c r="B16" s="2418"/>
      <c r="C16" s="2418"/>
      <c r="D16" s="2418"/>
      <c r="E16" s="241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50-082-1150-02</v>
      </c>
    </row>
    <row r="3" spans="1:2" x14ac:dyDescent="0.2">
      <c r="A3" t="s">
        <v>956</v>
      </c>
      <c r="B3" s="138" t="str">
        <f>COVER!A15</f>
        <v>St. Clair</v>
      </c>
    </row>
    <row r="4" spans="1:2" x14ac:dyDescent="0.2">
      <c r="A4" t="s">
        <v>1007</v>
      </c>
      <c r="B4" s="138" t="str">
        <f>COVER!A17</f>
        <v>Whiteside School District No. 115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066-003590</v>
      </c>
    </row>
    <row r="16" spans="1:2" x14ac:dyDescent="0.2">
      <c r="A16" t="s">
        <v>422</v>
      </c>
      <c r="B16" s="138" t="str">
        <f>COVER!T13</f>
        <v>C. J. Schlosser &amp; Company, L.L.C.</v>
      </c>
    </row>
    <row r="17" spans="1:2" x14ac:dyDescent="0.2">
      <c r="A17" t="s">
        <v>884</v>
      </c>
      <c r="B17" s="138" t="str">
        <f>COVER!T15</f>
        <v>Kevin Tepen</v>
      </c>
    </row>
    <row r="18" spans="1:2" x14ac:dyDescent="0.2">
      <c r="A18" t="s">
        <v>1150</v>
      </c>
      <c r="B18" s="138" t="str">
        <f>COVER!T17</f>
        <v>233 East Center Drive</v>
      </c>
    </row>
    <row r="19" spans="1:2" x14ac:dyDescent="0.2">
      <c r="A19" t="s">
        <v>886</v>
      </c>
      <c r="B19" s="138" t="str">
        <f>COVER!T25</f>
        <v>ktepen@cjsco.com</v>
      </c>
    </row>
    <row r="20" spans="1:2" x14ac:dyDescent="0.2">
      <c r="A20" t="s">
        <v>887</v>
      </c>
      <c r="B20" s="138" t="str">
        <f>COVER!T19</f>
        <v>Alton</v>
      </c>
    </row>
    <row r="21" spans="1:2" x14ac:dyDescent="0.2">
      <c r="A21" t="s">
        <v>479</v>
      </c>
      <c r="B21" s="138" t="str">
        <f>COVER!X19</f>
        <v>IL</v>
      </c>
    </row>
    <row r="22" spans="1:2" x14ac:dyDescent="0.2">
      <c r="A22" t="s">
        <v>888</v>
      </c>
      <c r="B22" s="138">
        <f>COVER!Z19</f>
        <v>62002</v>
      </c>
    </row>
    <row r="23" spans="1:2" x14ac:dyDescent="0.2">
      <c r="A23" t="s">
        <v>1152</v>
      </c>
      <c r="B23" s="138" t="str">
        <f>COVER!T21</f>
        <v>(618) 465-7717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274003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274203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274203</v>
      </c>
      <c r="D92" s="2" t="str">
        <f t="shared" si="0"/>
        <v>Error?</v>
      </c>
    </row>
    <row r="93" spans="1:4" x14ac:dyDescent="0.2">
      <c r="A93" s="5">
        <v>32</v>
      </c>
      <c r="B93" s="138">
        <f>'Assets-Liab 5-6'!C41</f>
        <v>274203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137640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137640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63562</v>
      </c>
      <c r="C122" s="2" t="s">
        <v>573</v>
      </c>
      <c r="D122" s="2" t="str">
        <f t="shared" si="0"/>
        <v>Error?</v>
      </c>
    </row>
    <row r="123" spans="1:4" x14ac:dyDescent="0.2">
      <c r="A123" s="5">
        <v>62</v>
      </c>
      <c r="B123" s="138">
        <f>'Assets-Liab 5-6'!D39</f>
        <v>74078</v>
      </c>
      <c r="D123" s="2" t="str">
        <f t="shared" si="0"/>
        <v>Error?</v>
      </c>
    </row>
    <row r="124" spans="1:4" x14ac:dyDescent="0.2">
      <c r="A124" s="5">
        <v>63</v>
      </c>
      <c r="B124" s="138">
        <f>'Assets-Liab 5-6'!D41</f>
        <v>137640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356496</v>
      </c>
      <c r="D129" s="2" t="str">
        <f t="shared" si="1"/>
        <v>Error?</v>
      </c>
    </row>
    <row r="130" spans="1:4" x14ac:dyDescent="0.2">
      <c r="A130" s="5">
        <v>69</v>
      </c>
      <c r="B130" s="138">
        <f>'Assets-Liab 5-6'!E12</f>
        <v>0</v>
      </c>
      <c r="D130" s="2" t="str">
        <f t="shared" si="1"/>
        <v>Error?</v>
      </c>
    </row>
    <row r="131" spans="1:4" x14ac:dyDescent="0.2">
      <c r="A131" s="5">
        <v>70</v>
      </c>
      <c r="B131" s="138">
        <f>'Assets-Liab 5-6'!E13</f>
        <v>356496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356496</v>
      </c>
      <c r="D140" s="2" t="str">
        <f t="shared" si="1"/>
        <v>Error?</v>
      </c>
    </row>
    <row r="141" spans="1:4" x14ac:dyDescent="0.2">
      <c r="A141" s="5">
        <v>80</v>
      </c>
      <c r="B141" s="138">
        <f>'Assets-Liab 5-6'!E41</f>
        <v>356496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2906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65178</v>
      </c>
      <c r="C169" s="2" t="s">
        <v>573</v>
      </c>
      <c r="D169" s="2" t="str">
        <f t="shared" si="1"/>
        <v>Error?</v>
      </c>
    </row>
    <row r="170" spans="1:4" x14ac:dyDescent="0.2">
      <c r="A170" s="5">
        <v>109</v>
      </c>
      <c r="B170" s="138">
        <f>'Assets-Liab 5-6'!F39</f>
        <v>-62272</v>
      </c>
      <c r="D170" s="2" t="str">
        <f t="shared" si="1"/>
        <v>Error?</v>
      </c>
    </row>
    <row r="171" spans="1:4" x14ac:dyDescent="0.2">
      <c r="A171" s="5">
        <v>110</v>
      </c>
      <c r="B171" s="138">
        <f>'Assets-Liab 5-6'!F41</f>
        <v>2906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126223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126223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69</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69</v>
      </c>
      <c r="C188" s="2" t="s">
        <v>573</v>
      </c>
      <c r="D188" s="2" t="str">
        <f t="shared" si="1"/>
        <v>Error?</v>
      </c>
    </row>
    <row r="189" spans="1:4" x14ac:dyDescent="0.2">
      <c r="A189" s="5">
        <v>128</v>
      </c>
      <c r="B189" s="138">
        <f>'Assets-Liab 5-6'!G39</f>
        <v>126154</v>
      </c>
      <c r="D189" s="2" t="str">
        <f t="shared" si="1"/>
        <v>Error?</v>
      </c>
    </row>
    <row r="190" spans="1:4" x14ac:dyDescent="0.2">
      <c r="A190" s="5">
        <v>129</v>
      </c>
      <c r="B190" s="138">
        <f>'Assets-Liab 5-6'!G41</f>
        <v>126223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631291</v>
      </c>
      <c r="D273" s="2" t="str">
        <f t="shared" si="3"/>
        <v>Error?</v>
      </c>
    </row>
    <row r="274" spans="1:4" x14ac:dyDescent="0.2">
      <c r="A274" s="5">
        <v>213</v>
      </c>
      <c r="B274" s="138">
        <f>'Assets-Liab 5-6'!M17</f>
        <v>15236228</v>
      </c>
      <c r="D274" s="2" t="str">
        <f t="shared" si="3"/>
        <v>Error?</v>
      </c>
    </row>
    <row r="275" spans="1:4" x14ac:dyDescent="0.2">
      <c r="A275" s="5">
        <v>214</v>
      </c>
      <c r="B275" s="138">
        <f>'Assets-Liab 5-6'!M18</f>
        <v>1858835</v>
      </c>
      <c r="D275" s="2" t="str">
        <f t="shared" si="3"/>
        <v>Error?</v>
      </c>
    </row>
    <row r="276" spans="1:4" x14ac:dyDescent="0.2">
      <c r="A276" s="5">
        <v>215</v>
      </c>
      <c r="B276" s="138">
        <f>'Assets-Liab 5-6'!M19</f>
        <v>1558608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19284962</v>
      </c>
      <c r="C279" s="2" t="s">
        <v>573</v>
      </c>
      <c r="D279" s="2" t="str">
        <f t="shared" si="3"/>
        <v>Error?</v>
      </c>
    </row>
    <row r="280" spans="1:4" x14ac:dyDescent="0.2">
      <c r="A280" s="5">
        <v>219</v>
      </c>
      <c r="B280" s="138">
        <f>'Assets-Liab 5-6'!M40</f>
        <v>19284962</v>
      </c>
      <c r="D280" s="2" t="str">
        <f t="shared" si="3"/>
        <v>Error?</v>
      </c>
    </row>
    <row r="281" spans="1:4" x14ac:dyDescent="0.2">
      <c r="A281" s="5">
        <v>220</v>
      </c>
      <c r="B281" s="138">
        <f>'Assets-Liab 5-6'!M41</f>
        <v>19284962</v>
      </c>
      <c r="C281" s="2" t="s">
        <v>573</v>
      </c>
      <c r="D281" s="2" t="str">
        <f t="shared" si="3"/>
        <v>Error?</v>
      </c>
    </row>
    <row r="282" spans="1:4" x14ac:dyDescent="0.2">
      <c r="A282" s="5">
        <v>221</v>
      </c>
      <c r="B282" s="138">
        <f>'Assets-Liab 5-6'!N21</f>
        <v>205000</v>
      </c>
      <c r="D282" s="2" t="str">
        <f t="shared" si="3"/>
        <v>Error?</v>
      </c>
    </row>
    <row r="283" spans="1:4" x14ac:dyDescent="0.2">
      <c r="A283" s="5">
        <v>222</v>
      </c>
      <c r="B283" s="138">
        <f>'Assets-Liab 5-6'!N22</f>
        <v>0</v>
      </c>
      <c r="D283" s="2" t="str">
        <f t="shared" si="3"/>
        <v>Error?</v>
      </c>
    </row>
    <row r="284" spans="1:4" x14ac:dyDescent="0.2">
      <c r="A284" s="5">
        <v>223</v>
      </c>
      <c r="B284" s="138">
        <f>'Assets-Liab 5-6'!N23</f>
        <v>205000</v>
      </c>
      <c r="C284" s="2" t="s">
        <v>573</v>
      </c>
      <c r="D284" s="2" t="str">
        <f t="shared" si="3"/>
        <v>Error?</v>
      </c>
    </row>
    <row r="285" spans="1:4" x14ac:dyDescent="0.2">
      <c r="A285" s="5">
        <v>224</v>
      </c>
      <c r="B285" s="138">
        <f>'Assets-Liab 5-6'!N36</f>
        <v>205000</v>
      </c>
      <c r="D285" s="2" t="str">
        <f t="shared" si="3"/>
        <v>Error?</v>
      </c>
    </row>
    <row r="286" spans="1:4" x14ac:dyDescent="0.2">
      <c r="A286" s="10">
        <v>225</v>
      </c>
      <c r="D286" s="2" t="str">
        <f t="shared" si="3"/>
        <v>OK</v>
      </c>
    </row>
    <row r="287" spans="1:4" x14ac:dyDescent="0.2">
      <c r="A287" s="5">
        <v>226</v>
      </c>
      <c r="B287" s="138">
        <f>'Assets-Liab 5-6'!N37</f>
        <v>205000</v>
      </c>
      <c r="C287" s="2" t="s">
        <v>573</v>
      </c>
      <c r="D287" s="2" t="str">
        <f t="shared" si="3"/>
        <v>Error?</v>
      </c>
    </row>
    <row r="288" spans="1:4" x14ac:dyDescent="0.2">
      <c r="A288" s="5">
        <v>227</v>
      </c>
      <c r="B288" s="138">
        <f>'Assets-Liab 5-6'!N41</f>
        <v>205000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3617322</v>
      </c>
      <c r="D705" s="2" t="str">
        <f t="shared" si="10"/>
        <v>Error?</v>
      </c>
    </row>
    <row r="706" spans="1:4" x14ac:dyDescent="0.2">
      <c r="A706" s="5">
        <v>645</v>
      </c>
      <c r="B706" s="138">
        <f>'Expenditures 15-22'!C16</f>
        <v>17572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61741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5601464</v>
      </c>
      <c r="C720" s="2" t="s">
        <v>573</v>
      </c>
      <c r="D720" s="2" t="str">
        <f t="shared" si="10"/>
        <v>Error?</v>
      </c>
    </row>
    <row r="721" spans="1:4" x14ac:dyDescent="0.2">
      <c r="A721" s="5">
        <v>660</v>
      </c>
      <c r="B721" s="138">
        <f>'Expenditures 15-22'!C36</f>
        <v>122796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86247</v>
      </c>
      <c r="D723" s="2" t="str">
        <f t="shared" si="10"/>
        <v>Error?</v>
      </c>
    </row>
    <row r="724" spans="1:4" x14ac:dyDescent="0.2">
      <c r="A724" s="5">
        <v>663</v>
      </c>
      <c r="B724" s="138">
        <f>'Expenditures 15-22'!C39</f>
        <v>70423</v>
      </c>
      <c r="D724" s="2" t="str">
        <f t="shared" si="10"/>
        <v>Error?</v>
      </c>
    </row>
    <row r="725" spans="1:4" x14ac:dyDescent="0.2">
      <c r="A725" s="5">
        <v>664</v>
      </c>
      <c r="B725" s="138">
        <f>'Expenditures 15-22'!C40</f>
        <v>315960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595426</v>
      </c>
      <c r="C727" s="2" t="s">
        <v>573</v>
      </c>
      <c r="D727" s="2" t="str">
        <f t="shared" si="10"/>
        <v>Error?</v>
      </c>
    </row>
    <row r="728" spans="1:4" x14ac:dyDescent="0.2">
      <c r="A728" s="5">
        <v>667</v>
      </c>
      <c r="B728" s="138">
        <f>'Expenditures 15-22'!C44</f>
        <v>38293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38293</v>
      </c>
      <c r="C731" s="2" t="s">
        <v>573</v>
      </c>
      <c r="D731" s="2" t="str">
        <f t="shared" si="10"/>
        <v>Error?</v>
      </c>
    </row>
    <row r="732" spans="1:4" x14ac:dyDescent="0.2">
      <c r="A732" s="5">
        <v>671</v>
      </c>
      <c r="B732" s="138">
        <f>'Expenditures 15-22'!C49</f>
        <v>2400</v>
      </c>
      <c r="D732" s="2" t="str">
        <f t="shared" si="10"/>
        <v>Error?</v>
      </c>
    </row>
    <row r="733" spans="1:4" x14ac:dyDescent="0.2">
      <c r="A733" s="5">
        <v>672</v>
      </c>
      <c r="B733" s="138">
        <f>'Expenditures 15-22'!C50</f>
        <v>154079</v>
      </c>
      <c r="D733" s="2" t="str">
        <f t="shared" si="10"/>
        <v>Error?</v>
      </c>
    </row>
    <row r="734" spans="1:4" x14ac:dyDescent="0.2">
      <c r="A734" s="5">
        <v>673</v>
      </c>
      <c r="B734" s="138">
        <f>'Expenditures 15-22'!C53</f>
        <v>175226</v>
      </c>
      <c r="C734" s="2" t="s">
        <v>573</v>
      </c>
      <c r="D734" s="2" t="str">
        <f t="shared" si="10"/>
        <v>Error?</v>
      </c>
    </row>
    <row r="735" spans="1:4" x14ac:dyDescent="0.2">
      <c r="A735" s="5">
        <v>674</v>
      </c>
      <c r="B735" s="138">
        <f>'Expenditures 15-22'!C55</f>
        <v>319117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319117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68295</v>
      </c>
      <c r="D739" s="2" t="str">
        <f t="shared" si="10"/>
        <v>Error?</v>
      </c>
    </row>
    <row r="740" spans="1:4" x14ac:dyDescent="0.2">
      <c r="A740" s="5">
        <v>679</v>
      </c>
      <c r="B740" s="138">
        <f>'Expenditures 15-22'!C61</f>
        <v>183441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104697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356433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33845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33845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1518340</v>
      </c>
      <c r="C755" s="2" t="s">
        <v>573</v>
      </c>
      <c r="D755" s="2" t="str">
        <f t="shared" si="10"/>
        <v>Error?</v>
      </c>
    </row>
    <row r="756" spans="1:4" x14ac:dyDescent="0.2">
      <c r="A756" s="5">
        <v>695</v>
      </c>
      <c r="B756" s="138">
        <f>'Expenditures 15-22'!C75</f>
        <v>130925</v>
      </c>
      <c r="D756" s="2" t="str">
        <f t="shared" si="10"/>
        <v>Error?</v>
      </c>
    </row>
    <row r="757" spans="1:4" x14ac:dyDescent="0.2">
      <c r="A757" s="5">
        <v>696</v>
      </c>
      <c r="B757" s="138">
        <f>'Expenditures 15-22'!C114</f>
        <v>7250729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402107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644979</v>
      </c>
      <c r="C778" s="2" t="s">
        <v>573</v>
      </c>
      <c r="D778" s="2" t="str">
        <f t="shared" si="11"/>
        <v>Error?</v>
      </c>
    </row>
    <row r="779" spans="1:4" x14ac:dyDescent="0.2">
      <c r="A779" s="5">
        <v>718</v>
      </c>
      <c r="B779" s="138">
        <f>'Expenditures 15-22'!D36</f>
        <v>20140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12625</v>
      </c>
      <c r="D781" s="2" t="str">
        <f t="shared" si="11"/>
        <v>Error?</v>
      </c>
    </row>
    <row r="782" spans="1:4" x14ac:dyDescent="0.2">
      <c r="A782" s="5">
        <v>721</v>
      </c>
      <c r="B782" s="138">
        <f>'Expenditures 15-22'!D39</f>
        <v>10445</v>
      </c>
      <c r="D782" s="2" t="str">
        <f t="shared" si="11"/>
        <v>Error?</v>
      </c>
    </row>
    <row r="783" spans="1:4" x14ac:dyDescent="0.2">
      <c r="A783" s="5">
        <v>722</v>
      </c>
      <c r="B783" s="138">
        <f>'Expenditures 15-22'!D40</f>
        <v>57045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100255</v>
      </c>
      <c r="C785" s="2" t="s">
        <v>573</v>
      </c>
      <c r="D785" s="2" t="str">
        <f t="shared" si="11"/>
        <v>Error?</v>
      </c>
    </row>
    <row r="786" spans="1:4" x14ac:dyDescent="0.2">
      <c r="A786" s="5">
        <v>725</v>
      </c>
      <c r="B786" s="138">
        <f>'Expenditures 15-22'!D44</f>
        <v>20891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20891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16568</v>
      </c>
      <c r="D791" s="2" t="str">
        <f t="shared" si="11"/>
        <v>Error?</v>
      </c>
    </row>
    <row r="792" spans="1:4" x14ac:dyDescent="0.2">
      <c r="A792" s="5">
        <v>731</v>
      </c>
      <c r="B792" s="138">
        <f>'Expenditures 15-22'!D53</f>
        <v>19320</v>
      </c>
      <c r="C792" s="2" t="s">
        <v>573</v>
      </c>
      <c r="D792" s="2" t="str">
        <f t="shared" si="11"/>
        <v>Error?</v>
      </c>
    </row>
    <row r="793" spans="1:4" x14ac:dyDescent="0.2">
      <c r="A793" s="5">
        <v>732</v>
      </c>
      <c r="B793" s="138">
        <f>'Expenditures 15-22'!D55</f>
        <v>55739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55739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10668</v>
      </c>
      <c r="D797" s="2" t="str">
        <f t="shared" si="11"/>
        <v>Error?</v>
      </c>
    </row>
    <row r="798" spans="1:4" x14ac:dyDescent="0.2">
      <c r="A798" s="5">
        <v>737</v>
      </c>
      <c r="B798" s="138">
        <f>'Expenditures 15-22'!D61</f>
        <v>41218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5172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57058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5334</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5334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258597</v>
      </c>
      <c r="C813" s="2" t="s">
        <v>573</v>
      </c>
      <c r="D813" s="2" t="str">
        <f t="shared" si="11"/>
        <v>Error?</v>
      </c>
    </row>
    <row r="814" spans="1:4" x14ac:dyDescent="0.2">
      <c r="A814" s="5">
        <v>753</v>
      </c>
      <c r="B814" s="138">
        <f>'Expenditures 15-22'!D75</f>
        <v>162</v>
      </c>
      <c r="D814" s="2" t="str">
        <f t="shared" si="11"/>
        <v>Error?</v>
      </c>
    </row>
    <row r="815" spans="1:4" x14ac:dyDescent="0.2">
      <c r="A815" s="5">
        <v>754</v>
      </c>
      <c r="B815" s="138">
        <f>'Expenditures 15-22'!D114</f>
        <v>903738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123986</v>
      </c>
      <c r="D821" s="2" t="str">
        <f t="shared" si="11"/>
        <v>Error?</v>
      </c>
    </row>
    <row r="822" spans="1:4" x14ac:dyDescent="0.2">
      <c r="A822" s="5">
        <v>761</v>
      </c>
      <c r="B822" s="138">
        <f>'Expenditures 15-22'!E16</f>
        <v>119</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9990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147312</v>
      </c>
      <c r="C836" s="2" t="s">
        <v>573</v>
      </c>
      <c r="D836" s="2" t="str">
        <f t="shared" si="12"/>
        <v>Error?</v>
      </c>
    </row>
    <row r="837" spans="1:4" x14ac:dyDescent="0.2">
      <c r="A837" s="5">
        <v>776</v>
      </c>
      <c r="B837" s="138">
        <f>'Expenditures 15-22'!E36</f>
        <v>60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64763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64932</v>
      </c>
      <c r="C843" s="2" t="s">
        <v>573</v>
      </c>
      <c r="D843" s="2" t="str">
        <f t="shared" si="12"/>
        <v>Error?</v>
      </c>
    </row>
    <row r="844" spans="1:4" x14ac:dyDescent="0.2">
      <c r="A844" s="5">
        <v>783</v>
      </c>
      <c r="B844" s="138">
        <f>'Expenditures 15-22'!E44</f>
        <v>2088</v>
      </c>
      <c r="D844" s="2" t="str">
        <f t="shared" si="12"/>
        <v>Error?</v>
      </c>
    </row>
    <row r="845" spans="1:4" x14ac:dyDescent="0.2">
      <c r="A845" s="5">
        <v>784</v>
      </c>
      <c r="B845" s="138">
        <f>'Expenditures 15-22'!E45</f>
        <v>22690</v>
      </c>
      <c r="D845" s="2" t="str">
        <f t="shared" si="12"/>
        <v>Error?</v>
      </c>
    </row>
    <row r="846" spans="1:4" x14ac:dyDescent="0.2">
      <c r="A846" s="5">
        <v>785</v>
      </c>
      <c r="B846" s="138">
        <f>'Expenditures 15-22'!E46</f>
        <v>8288</v>
      </c>
      <c r="D846" s="2" t="str">
        <f t="shared" si="12"/>
        <v>Error?</v>
      </c>
    </row>
    <row r="847" spans="1:4" x14ac:dyDescent="0.2">
      <c r="A847" s="5">
        <v>786</v>
      </c>
      <c r="B847" s="138">
        <f>'Expenditures 15-22'!E47</f>
        <v>33066</v>
      </c>
      <c r="C847" s="2" t="s">
        <v>573</v>
      </c>
      <c r="D847" s="2" t="str">
        <f t="shared" si="12"/>
        <v>Error?</v>
      </c>
    </row>
    <row r="848" spans="1:4" x14ac:dyDescent="0.2">
      <c r="A848" s="5">
        <v>787</v>
      </c>
      <c r="B848" s="138">
        <f>'Expenditures 15-22'!E49</f>
        <v>39968</v>
      </c>
      <c r="D848" s="2" t="str">
        <f t="shared" si="12"/>
        <v>Error?</v>
      </c>
    </row>
    <row r="849" spans="1:4" x14ac:dyDescent="0.2">
      <c r="A849" s="5">
        <v>788</v>
      </c>
      <c r="B849" s="138">
        <f>'Expenditures 15-22'!E50</f>
        <v>599</v>
      </c>
      <c r="D849" s="2" t="str">
        <f t="shared" si="12"/>
        <v>Error?</v>
      </c>
    </row>
    <row r="850" spans="1:4" x14ac:dyDescent="0.2">
      <c r="A850" s="5">
        <v>789</v>
      </c>
      <c r="B850" s="138">
        <f>'Expenditures 15-22'!E53</f>
        <v>40567</v>
      </c>
      <c r="C850" s="2" t="s">
        <v>573</v>
      </c>
      <c r="D850" s="2" t="str">
        <f t="shared" si="12"/>
        <v>Error?</v>
      </c>
    </row>
    <row r="851" spans="1:4" x14ac:dyDescent="0.2">
      <c r="A851" s="5">
        <v>790</v>
      </c>
      <c r="B851" s="138">
        <f>'Expenditures 15-22'!E55</f>
        <v>5459</v>
      </c>
      <c r="D851" s="2" t="str">
        <f t="shared" si="12"/>
        <v>Error?</v>
      </c>
    </row>
    <row r="852" spans="1:4" x14ac:dyDescent="0.2">
      <c r="A852" s="5">
        <v>791</v>
      </c>
      <c r="B852" s="138">
        <f>'Expenditures 15-22'!E56</f>
        <v>5911</v>
      </c>
      <c r="D852" s="2" t="str">
        <f t="shared" si="12"/>
        <v>Error?</v>
      </c>
    </row>
    <row r="853" spans="1:4" x14ac:dyDescent="0.2">
      <c r="A853" s="5">
        <v>792</v>
      </c>
      <c r="B853" s="138">
        <f>'Expenditures 15-22'!E57</f>
        <v>11370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16214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381668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397882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25341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25341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573158</v>
      </c>
      <c r="C871" s="2" t="s">
        <v>573</v>
      </c>
      <c r="D871" s="2" t="str">
        <f t="shared" si="12"/>
        <v>Error?</v>
      </c>
    </row>
    <row r="872" spans="1:4" x14ac:dyDescent="0.2">
      <c r="A872" s="5">
        <v>811</v>
      </c>
      <c r="B872" s="138">
        <f>'Expenditures 15-22'!E75</f>
        <v>17190</v>
      </c>
      <c r="D872" s="2" t="str">
        <f t="shared" si="12"/>
        <v>Error?</v>
      </c>
    </row>
    <row r="873" spans="1:4" x14ac:dyDescent="0.2">
      <c r="A873" s="5">
        <v>812</v>
      </c>
      <c r="B873" s="138">
        <f>'Expenditures 15-22'!E114</f>
        <v>824506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91082</v>
      </c>
      <c r="D879" s="2" t="str">
        <f t="shared" si="12"/>
        <v>Error?</v>
      </c>
    </row>
    <row r="880" spans="1:4" x14ac:dyDescent="0.2">
      <c r="A880" s="5">
        <v>819</v>
      </c>
      <c r="B880" s="138">
        <f>'Expenditures 15-22'!F16</f>
        <v>1714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3802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184806</v>
      </c>
      <c r="C894" s="2" t="s">
        <v>573</v>
      </c>
      <c r="D894" s="2" t="str">
        <f t="shared" si="12"/>
        <v>Error?</v>
      </c>
    </row>
    <row r="895" spans="1:4" x14ac:dyDescent="0.2">
      <c r="A895" s="5">
        <v>834</v>
      </c>
      <c r="B895" s="138">
        <f>'Expenditures 15-22'!F36</f>
        <v>570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1997</v>
      </c>
      <c r="D897" s="2" t="str">
        <f t="shared" si="13"/>
        <v>Error?</v>
      </c>
    </row>
    <row r="898" spans="1:4" x14ac:dyDescent="0.2">
      <c r="A898" s="5">
        <v>837</v>
      </c>
      <c r="B898" s="138">
        <f>'Expenditures 15-22'!F39</f>
        <v>734</v>
      </c>
      <c r="D898" s="2" t="str">
        <f t="shared" si="13"/>
        <v>Error?</v>
      </c>
    </row>
    <row r="899" spans="1:4" x14ac:dyDescent="0.2">
      <c r="A899" s="5">
        <v>838</v>
      </c>
      <c r="B899" s="138">
        <f>'Expenditures 15-22'!F40</f>
        <v>334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3635</v>
      </c>
      <c r="C901" s="2" t="s">
        <v>573</v>
      </c>
      <c r="D901" s="2" t="str">
        <f t="shared" si="13"/>
        <v>Error?</v>
      </c>
    </row>
    <row r="902" spans="1:4" x14ac:dyDescent="0.2">
      <c r="A902" s="5">
        <v>841</v>
      </c>
      <c r="B902" s="138">
        <f>'Expenditures 15-22'!F44</f>
        <v>115</v>
      </c>
      <c r="D902" s="2" t="str">
        <f t="shared" si="13"/>
        <v>Error?</v>
      </c>
    </row>
    <row r="903" spans="1:4" x14ac:dyDescent="0.2">
      <c r="A903" s="5">
        <v>842</v>
      </c>
      <c r="B903" s="138">
        <f>'Expenditures 15-22'!F45</f>
        <v>847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962</v>
      </c>
      <c r="C905" s="2" t="s">
        <v>573</v>
      </c>
      <c r="D905" s="2" t="str">
        <f t="shared" si="13"/>
        <v>Error?</v>
      </c>
    </row>
    <row r="906" spans="1:4" x14ac:dyDescent="0.2">
      <c r="A906" s="5">
        <v>845</v>
      </c>
      <c r="B906" s="138">
        <f>'Expenditures 15-22'!F49</f>
        <v>7771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7796</v>
      </c>
      <c r="C908" s="2" t="s">
        <v>573</v>
      </c>
      <c r="D908" s="2" t="str">
        <f t="shared" si="13"/>
        <v>Error?</v>
      </c>
    </row>
    <row r="909" spans="1:4" x14ac:dyDescent="0.2">
      <c r="A909" s="5">
        <v>848</v>
      </c>
      <c r="B909" s="138">
        <f>'Expenditures 15-22'!F55</f>
        <v>5274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5274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1658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6245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6245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25570</v>
      </c>
      <c r="C929" s="2" t="s">
        <v>573</v>
      </c>
      <c r="D929" s="2" t="str">
        <f t="shared" si="13"/>
        <v>Error?</v>
      </c>
    </row>
    <row r="930" spans="1:4" x14ac:dyDescent="0.2">
      <c r="A930" s="5">
        <v>869</v>
      </c>
      <c r="B930" s="138">
        <f>'Expenditures 15-22'!F75</f>
        <v>13397</v>
      </c>
      <c r="D930" s="2" t="str">
        <f t="shared" si="13"/>
        <v>Error?</v>
      </c>
    </row>
    <row r="931" spans="1:4" x14ac:dyDescent="0.2">
      <c r="A931" s="5">
        <v>870</v>
      </c>
      <c r="B931" s="138">
        <f>'Expenditures 15-22'!F114</f>
        <v>223773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3147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3147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36771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3000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3000</v>
      </c>
      <c r="C1021" s="2" t="s">
        <v>573</v>
      </c>
      <c r="D1021" s="2" t="str">
        <f t="shared" si="14"/>
        <v>Error?</v>
      </c>
    </row>
    <row r="1022" spans="1:4" x14ac:dyDescent="0.2">
      <c r="A1022" s="5">
        <v>961</v>
      </c>
      <c r="B1022" s="138">
        <f>'Expenditures 15-22'!H49</f>
        <v>3884</v>
      </c>
      <c r="D1022" s="2" t="str">
        <f t="shared" si="14"/>
        <v>Error?</v>
      </c>
    </row>
    <row r="1023" spans="1:4" x14ac:dyDescent="0.2">
      <c r="A1023" s="5">
        <v>962</v>
      </c>
      <c r="B1023" s="138">
        <f>'Expenditures 15-22'!H50</f>
        <v>997</v>
      </c>
      <c r="D1023" s="2" t="str">
        <f t="shared" ref="D1023:D1086" si="15">IF(ISBLANK(B1023),"OK",IF(A1023-B1023=0,"OK","Error?"))</f>
        <v>Error?</v>
      </c>
    </row>
    <row r="1024" spans="1:4" x14ac:dyDescent="0.2">
      <c r="A1024" s="5">
        <v>963</v>
      </c>
      <c r="B1024" s="138">
        <f>'Expenditures 15-22'!H53</f>
        <v>4881</v>
      </c>
      <c r="C1024" s="2" t="s">
        <v>573</v>
      </c>
      <c r="D1024" s="2" t="str">
        <f t="shared" si="15"/>
        <v>Error?</v>
      </c>
    </row>
    <row r="1025" spans="1:4" x14ac:dyDescent="0.2">
      <c r="A1025" s="5">
        <v>964</v>
      </c>
      <c r="B1025" s="138">
        <f>'Expenditures 15-22'!H55</f>
        <v>2138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2138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16826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16826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26845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293336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356952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4235563</v>
      </c>
      <c r="C1093" s="2" t="s">
        <v>573</v>
      </c>
      <c r="D1093" s="2" t="str">
        <f t="shared" si="16"/>
        <v>Error?</v>
      </c>
    </row>
    <row r="1094" spans="1:4" x14ac:dyDescent="0.2">
      <c r="A1094" s="5">
        <v>1033</v>
      </c>
      <c r="B1094" s="138">
        <f>'Expenditures 15-22'!K16</f>
        <v>19405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78030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6618479</v>
      </c>
      <c r="C1108" s="2" t="s">
        <v>573</v>
      </c>
      <c r="D1108" s="2" t="str">
        <f t="shared" si="16"/>
        <v>Error?</v>
      </c>
    </row>
    <row r="1109" spans="1:4" x14ac:dyDescent="0.2">
      <c r="A1109" s="5">
        <v>1048</v>
      </c>
      <c r="B1109" s="138">
        <f>'Expenditures 15-22'!K36</f>
        <v>143566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165632</v>
      </c>
      <c r="C1111" s="2" t="s">
        <v>573</v>
      </c>
      <c r="D1111" s="2" t="str">
        <f t="shared" si="16"/>
        <v>Error?</v>
      </c>
    </row>
    <row r="1112" spans="1:4" x14ac:dyDescent="0.2">
      <c r="A1112" s="5">
        <v>1051</v>
      </c>
      <c r="B1112" s="138">
        <f>'Expenditures 15-22'!K39</f>
        <v>81602</v>
      </c>
      <c r="C1112" s="2" t="s">
        <v>573</v>
      </c>
      <c r="D1112" s="2" t="str">
        <f t="shared" si="16"/>
        <v>Error?</v>
      </c>
    </row>
    <row r="1113" spans="1:4" x14ac:dyDescent="0.2">
      <c r="A1113" s="5">
        <v>1052</v>
      </c>
      <c r="B1113" s="138">
        <f>'Expenditures 15-22'!K40</f>
        <v>373448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764248</v>
      </c>
      <c r="C1115" s="2" t="s">
        <v>573</v>
      </c>
      <c r="D1115" s="2" t="str">
        <f t="shared" si="16"/>
        <v>Error?</v>
      </c>
    </row>
    <row r="1116" spans="1:4" x14ac:dyDescent="0.2">
      <c r="A1116" s="5">
        <v>1055</v>
      </c>
      <c r="B1116" s="138">
        <f>'Expenditures 15-22'!K44</f>
        <v>61387</v>
      </c>
      <c r="C1116" s="2" t="s">
        <v>573</v>
      </c>
      <c r="D1116" s="2" t="str">
        <f t="shared" si="16"/>
        <v>Error?</v>
      </c>
    </row>
    <row r="1117" spans="1:4" x14ac:dyDescent="0.2">
      <c r="A1117" s="5">
        <v>1056</v>
      </c>
      <c r="B1117" s="138">
        <f>'Expenditures 15-22'!K45</f>
        <v>26537</v>
      </c>
      <c r="C1117" s="2" t="s">
        <v>573</v>
      </c>
      <c r="D1117" s="2" t="str">
        <f t="shared" si="16"/>
        <v>Error?</v>
      </c>
    </row>
    <row r="1118" spans="1:4" x14ac:dyDescent="0.2">
      <c r="A1118" s="5">
        <v>1057</v>
      </c>
      <c r="B1118" s="138">
        <f>'Expenditures 15-22'!K46</f>
        <v>8288</v>
      </c>
      <c r="C1118" s="2" t="s">
        <v>573</v>
      </c>
      <c r="D1118" s="2" t="str">
        <f t="shared" si="16"/>
        <v>Error?</v>
      </c>
    </row>
    <row r="1119" spans="1:4" x14ac:dyDescent="0.2">
      <c r="A1119" s="5">
        <v>1058</v>
      </c>
      <c r="B1119" s="138">
        <f>'Expenditures 15-22'!K47</f>
        <v>96212</v>
      </c>
      <c r="C1119" s="2" t="s">
        <v>573</v>
      </c>
      <c r="D1119" s="2" t="str">
        <f t="shared" si="16"/>
        <v>Error?</v>
      </c>
    </row>
    <row r="1120" spans="1:4" x14ac:dyDescent="0.2">
      <c r="A1120" s="5">
        <v>1059</v>
      </c>
      <c r="B1120" s="138">
        <f>'Expenditures 15-22'!K49</f>
        <v>54023</v>
      </c>
      <c r="C1120" s="2" t="s">
        <v>573</v>
      </c>
      <c r="D1120" s="2" t="str">
        <f t="shared" si="16"/>
        <v>Error?</v>
      </c>
    </row>
    <row r="1121" spans="1:4" x14ac:dyDescent="0.2">
      <c r="A1121" s="5">
        <v>1060</v>
      </c>
      <c r="B1121" s="138">
        <f>'Expenditures 15-22'!K50</f>
        <v>172243</v>
      </c>
      <c r="C1121" s="2" t="s">
        <v>573</v>
      </c>
      <c r="D1121" s="2" t="str">
        <f t="shared" si="16"/>
        <v>Error?</v>
      </c>
    </row>
    <row r="1122" spans="1:4" x14ac:dyDescent="0.2">
      <c r="A1122" s="5">
        <v>1061</v>
      </c>
      <c r="B1122" s="138">
        <f>'Expenditures 15-22'!K53</f>
        <v>247790</v>
      </c>
      <c r="C1122" s="2" t="s">
        <v>573</v>
      </c>
      <c r="D1122" s="2" t="str">
        <f t="shared" si="16"/>
        <v>Error?</v>
      </c>
    </row>
    <row r="1123" spans="1:4" x14ac:dyDescent="0.2">
      <c r="A1123" s="5">
        <v>1062</v>
      </c>
      <c r="B1123" s="138">
        <f>'Expenditures 15-22'!K55</f>
        <v>387727</v>
      </c>
      <c r="C1123" s="2" t="s">
        <v>573</v>
      </c>
      <c r="D1123" s="2" t="str">
        <f t="shared" si="16"/>
        <v>Error?</v>
      </c>
    </row>
    <row r="1124" spans="1:4" x14ac:dyDescent="0.2">
      <c r="A1124" s="5">
        <v>1063</v>
      </c>
      <c r="B1124" s="138">
        <f>'Expenditures 15-22'!K56</f>
        <v>5911</v>
      </c>
      <c r="C1124" s="2" t="s">
        <v>573</v>
      </c>
      <c r="D1124" s="2" t="str">
        <f t="shared" si="16"/>
        <v>Error?</v>
      </c>
    </row>
    <row r="1125" spans="1:4" x14ac:dyDescent="0.2">
      <c r="A1125" s="5">
        <v>1064</v>
      </c>
      <c r="B1125" s="138">
        <f>'Expenditures 15-22'!K57</f>
        <v>393638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112747</v>
      </c>
      <c r="C1127" s="2" t="s">
        <v>573</v>
      </c>
      <c r="D1127" s="2" t="str">
        <f t="shared" si="16"/>
        <v>Error?</v>
      </c>
    </row>
    <row r="1128" spans="1:4" x14ac:dyDescent="0.2">
      <c r="A1128" s="5">
        <v>1067</v>
      </c>
      <c r="B1128" s="138">
        <f>'Expenditures 15-22'!K61</f>
        <v>224659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492451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829857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70765</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70765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2402510</v>
      </c>
      <c r="C1143" s="2" t="s">
        <v>573</v>
      </c>
      <c r="D1143" s="2" t="str">
        <f t="shared" si="16"/>
        <v>Error?</v>
      </c>
    </row>
    <row r="1144" spans="1:4" x14ac:dyDescent="0.2">
      <c r="A1144" s="5">
        <v>1083</v>
      </c>
      <c r="B1144" s="138">
        <f>'Expenditures 15-22'!K75</f>
        <v>161674</v>
      </c>
      <c r="C1144" s="2" t="s">
        <v>573</v>
      </c>
      <c r="D1144" s="2" t="str">
        <f t="shared" si="16"/>
        <v>Error?</v>
      </c>
    </row>
    <row r="1145" spans="1:4" x14ac:dyDescent="0.2">
      <c r="A1145" s="5">
        <v>1084</v>
      </c>
      <c r="B1145" s="138">
        <f>'Expenditures 15-22'!K102</f>
        <v>380182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9562845</v>
      </c>
      <c r="C1152" s="2" t="s">
        <v>573</v>
      </c>
      <c r="D1152" s="2" t="str">
        <f t="shared" si="17"/>
        <v>Error?</v>
      </c>
    </row>
    <row r="1153" spans="1:4" x14ac:dyDescent="0.2">
      <c r="A1153" s="5">
        <v>1092</v>
      </c>
      <c r="B1153" s="138">
        <f>'Expenditures 15-22'!K115</f>
        <v>-542116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147414</v>
      </c>
      <c r="D1221" s="2" t="str">
        <f t="shared" si="18"/>
        <v>Error?</v>
      </c>
    </row>
    <row r="1222" spans="1:4" x14ac:dyDescent="0.2">
      <c r="A1222" s="10">
        <v>1161</v>
      </c>
      <c r="D1222" s="2" t="str">
        <f t="shared" si="18"/>
        <v>OK</v>
      </c>
    </row>
    <row r="1223" spans="1:4" x14ac:dyDescent="0.2">
      <c r="A1223" s="5">
        <v>1162</v>
      </c>
      <c r="B1223" s="138">
        <f>'Expenditures 15-22'!C127</f>
        <v>147414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147414</v>
      </c>
      <c r="C1225" s="2" t="s">
        <v>573</v>
      </c>
      <c r="D1225" s="2" t="str">
        <f t="shared" si="18"/>
        <v>Error?</v>
      </c>
    </row>
    <row r="1226" spans="1:4" x14ac:dyDescent="0.2">
      <c r="A1226" s="5">
        <v>1165</v>
      </c>
      <c r="B1226" s="138">
        <f>'Expenditures 15-22'!C151</f>
        <v>147414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20125</v>
      </c>
      <c r="D1229" s="2" t="str">
        <f t="shared" si="18"/>
        <v>Error?</v>
      </c>
    </row>
    <row r="1230" spans="1:4" x14ac:dyDescent="0.2">
      <c r="A1230" s="10">
        <v>1169</v>
      </c>
      <c r="D1230" s="2" t="str">
        <f t="shared" si="18"/>
        <v>OK</v>
      </c>
    </row>
    <row r="1231" spans="1:4" x14ac:dyDescent="0.2">
      <c r="A1231" s="5">
        <v>1170</v>
      </c>
      <c r="B1231" s="138">
        <f>'Expenditures 15-22'!D127</f>
        <v>20125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20125</v>
      </c>
      <c r="C1233" s="2" t="s">
        <v>573</v>
      </c>
      <c r="D1233" s="2" t="str">
        <f t="shared" si="18"/>
        <v>Error?</v>
      </c>
    </row>
    <row r="1234" spans="1:4" x14ac:dyDescent="0.2">
      <c r="A1234" s="5">
        <v>1173</v>
      </c>
      <c r="B1234" s="138">
        <f>'Expenditures 15-22'!D151</f>
        <v>20125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121141</v>
      </c>
      <c r="D1237" s="2" t="str">
        <f t="shared" si="18"/>
        <v>Error?</v>
      </c>
    </row>
    <row r="1238" spans="1:4" x14ac:dyDescent="0.2">
      <c r="A1238" s="10">
        <v>1177</v>
      </c>
      <c r="D1238" s="2" t="str">
        <f t="shared" si="18"/>
        <v>OK</v>
      </c>
    </row>
    <row r="1239" spans="1:4" x14ac:dyDescent="0.2">
      <c r="A1239" s="5">
        <v>1178</v>
      </c>
      <c r="B1239" s="138">
        <f>'Expenditures 15-22'!E127</f>
        <v>121141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121141</v>
      </c>
      <c r="C1241" s="2" t="s">
        <v>573</v>
      </c>
      <c r="D1241" s="2" t="str">
        <f t="shared" si="18"/>
        <v>Error?</v>
      </c>
    </row>
    <row r="1242" spans="1:4" x14ac:dyDescent="0.2">
      <c r="A1242" s="5">
        <v>1181</v>
      </c>
      <c r="B1242" s="138">
        <f>'Expenditures 15-22'!E151</f>
        <v>121141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327474</v>
      </c>
      <c r="D1245" s="2" t="str">
        <f t="shared" si="18"/>
        <v>Error?</v>
      </c>
    </row>
    <row r="1246" spans="1:4" x14ac:dyDescent="0.2">
      <c r="A1246" s="10">
        <v>1185</v>
      </c>
      <c r="D1246" s="2" t="str">
        <f t="shared" si="18"/>
        <v>OK</v>
      </c>
    </row>
    <row r="1247" spans="1:4" x14ac:dyDescent="0.2">
      <c r="A1247" s="5">
        <v>1186</v>
      </c>
      <c r="B1247" s="138">
        <f>'Expenditures 15-22'!F127</f>
        <v>327474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327474</v>
      </c>
      <c r="C1249" s="2" t="s">
        <v>573</v>
      </c>
      <c r="D1249" s="2" t="str">
        <f t="shared" si="18"/>
        <v>Error?</v>
      </c>
    </row>
    <row r="1250" spans="1:4" x14ac:dyDescent="0.2">
      <c r="A1250" s="5">
        <v>1189</v>
      </c>
      <c r="B1250" s="138">
        <f>'Expenditures 15-22'!F151</f>
        <v>327474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26180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26180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26180</v>
      </c>
      <c r="C1258" s="2" t="s">
        <v>573</v>
      </c>
      <c r="D1258" s="2" t="str">
        <f t="shared" si="18"/>
        <v>Error?</v>
      </c>
    </row>
    <row r="1259" spans="1:4" x14ac:dyDescent="0.2">
      <c r="A1259" s="5">
        <v>1198</v>
      </c>
      <c r="B1259" s="138">
        <f>'Expenditures 15-22'!G151</f>
        <v>26180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179</v>
      </c>
      <c r="D1262" s="2" t="str">
        <f t="shared" si="18"/>
        <v>Error?</v>
      </c>
    </row>
    <row r="1263" spans="1:4" x14ac:dyDescent="0.2">
      <c r="A1263" s="10">
        <v>1202</v>
      </c>
      <c r="D1263" s="2" t="str">
        <f t="shared" si="18"/>
        <v>OK</v>
      </c>
    </row>
    <row r="1264" spans="1:4" x14ac:dyDescent="0.2">
      <c r="A1264" s="5">
        <v>1203</v>
      </c>
      <c r="B1264" s="138">
        <f>'Expenditures 15-22'!H127</f>
        <v>179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642513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642513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642513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642513</v>
      </c>
      <c r="C1288" s="2" t="s">
        <v>573</v>
      </c>
      <c r="D1288" s="2" t="str">
        <f t="shared" si="19"/>
        <v>Error?</v>
      </c>
    </row>
    <row r="1289" spans="1:4" x14ac:dyDescent="0.2">
      <c r="A1289" s="5">
        <v>1228</v>
      </c>
      <c r="B1289" s="138">
        <f>'Expenditures 15-22'!K152</f>
        <v>-40607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28280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793280</v>
      </c>
      <c r="C1317" s="2" t="s">
        <v>573</v>
      </c>
      <c r="D1317" s="2" t="str">
        <f t="shared" si="19"/>
        <v>Error?</v>
      </c>
    </row>
    <row r="1318" spans="1:4" x14ac:dyDescent="0.2">
      <c r="A1318" s="5">
        <v>1257</v>
      </c>
      <c r="B1318" s="138">
        <f>'Expenditures 15-22'!H174</f>
        <v>793280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28280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765000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793280</v>
      </c>
      <c r="C1331" s="2" t="s">
        <v>573</v>
      </c>
      <c r="D1331" s="2" t="str">
        <f t="shared" si="19"/>
        <v>Error?</v>
      </c>
    </row>
    <row r="1332" spans="1:4" x14ac:dyDescent="0.2">
      <c r="A1332" s="5">
        <v>1271</v>
      </c>
      <c r="B1332" s="138">
        <f>'Expenditures 15-22'!K174</f>
        <v>793280</v>
      </c>
      <c r="C1332" s="2" t="s">
        <v>573</v>
      </c>
      <c r="D1332" s="2" t="str">
        <f t="shared" si="19"/>
        <v>Error?</v>
      </c>
    </row>
    <row r="1333" spans="1:4" x14ac:dyDescent="0.2">
      <c r="A1333" s="5">
        <v>1272</v>
      </c>
      <c r="B1333" s="138">
        <f>'Expenditures 15-22'!K175</f>
        <v>-175579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8695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8695</v>
      </c>
      <c r="C1351" s="2" t="s">
        <v>573</v>
      </c>
      <c r="D1351" s="2" t="str">
        <f t="shared" si="20"/>
        <v>Error?</v>
      </c>
    </row>
    <row r="1352" spans="1:4" x14ac:dyDescent="0.2">
      <c r="A1352" s="5">
        <v>1291</v>
      </c>
      <c r="B1352" s="138">
        <f>'Expenditures 15-22'!E196</f>
        <v>739189</v>
      </c>
      <c r="C1352" s="2" t="s">
        <v>573</v>
      </c>
      <c r="D1352" s="2" t="str">
        <f t="shared" si="20"/>
        <v>Error?</v>
      </c>
    </row>
    <row r="1353" spans="1:4" x14ac:dyDescent="0.2">
      <c r="A1353" s="5">
        <v>1292</v>
      </c>
      <c r="B1353" s="138">
        <f>'Expenditures 15-22'!E210</f>
        <v>747884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8695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8695</v>
      </c>
      <c r="C1381" s="2" t="s">
        <v>573</v>
      </c>
      <c r="D1381" s="2" t="str">
        <f t="shared" si="20"/>
        <v>Error?</v>
      </c>
    </row>
    <row r="1382" spans="1:4" x14ac:dyDescent="0.2">
      <c r="A1382" s="5">
        <v>1321</v>
      </c>
      <c r="B1382" s="138">
        <f>'Expenditures 15-22'!K196</f>
        <v>739189</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747884</v>
      </c>
      <c r="C1388" s="2" t="s">
        <v>573</v>
      </c>
      <c r="D1388" s="2" t="str">
        <f t="shared" si="20"/>
        <v>Error?</v>
      </c>
    </row>
    <row r="1389" spans="1:4" x14ac:dyDescent="0.2">
      <c r="A1389" s="5">
        <v>1328</v>
      </c>
      <c r="B1389" s="138">
        <f>'Expenditures 15-22'!K211</f>
        <v>-93221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1344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1135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177191</v>
      </c>
      <c r="C1410" s="2" t="s">
        <v>573</v>
      </c>
      <c r="D1410" s="2" t="str">
        <f t="shared" si="21"/>
        <v>Error?</v>
      </c>
    </row>
    <row r="1411" spans="1:4" x14ac:dyDescent="0.2">
      <c r="A1411" s="5">
        <v>1350</v>
      </c>
      <c r="B1411" s="138">
        <f>'Expenditures 15-22'!D232</f>
        <v>2232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10122</v>
      </c>
      <c r="D1413" s="2" t="str">
        <f t="shared" si="21"/>
        <v>Error?</v>
      </c>
    </row>
    <row r="1414" spans="1:4" x14ac:dyDescent="0.2">
      <c r="A1414" s="5">
        <v>1353</v>
      </c>
      <c r="B1414" s="138">
        <f>'Expenditures 15-22'!D235</f>
        <v>919</v>
      </c>
      <c r="D1414" s="2" t="str">
        <f t="shared" si="21"/>
        <v>Error?</v>
      </c>
    </row>
    <row r="1415" spans="1:4" x14ac:dyDescent="0.2">
      <c r="A1415" s="5">
        <v>1354</v>
      </c>
      <c r="B1415" s="138">
        <f>'Expenditures 15-22'!D236</f>
        <v>3983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17256</v>
      </c>
      <c r="C1417" s="2" t="s">
        <v>573</v>
      </c>
      <c r="D1417" s="2" t="str">
        <f t="shared" si="21"/>
        <v>Error?</v>
      </c>
    </row>
    <row r="1418" spans="1:4" x14ac:dyDescent="0.2">
      <c r="A1418" s="5">
        <v>1357</v>
      </c>
      <c r="B1418" s="138">
        <f>'Expenditures 15-22'!D240</f>
        <v>6490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6490</v>
      </c>
      <c r="C1421" s="2" t="s">
        <v>573</v>
      </c>
      <c r="D1421" s="2" t="str">
        <f t="shared" si="21"/>
        <v>Error?</v>
      </c>
    </row>
    <row r="1422" spans="1:4" x14ac:dyDescent="0.2">
      <c r="A1422" s="5">
        <v>1361</v>
      </c>
      <c r="B1422" s="138">
        <f>'Expenditures 15-22'!D245</f>
        <v>280</v>
      </c>
      <c r="D1422" s="2" t="str">
        <f t="shared" si="21"/>
        <v>Error?</v>
      </c>
    </row>
    <row r="1423" spans="1:4" x14ac:dyDescent="0.2">
      <c r="A1423" s="5">
        <v>1362</v>
      </c>
      <c r="B1423" s="138">
        <f>'Expenditures 15-22'!D246</f>
        <v>3998</v>
      </c>
      <c r="D1423" s="2" t="str">
        <f t="shared" si="21"/>
        <v>Error?</v>
      </c>
    </row>
    <row r="1424" spans="1:4" x14ac:dyDescent="0.2">
      <c r="A1424" s="5">
        <v>1363</v>
      </c>
      <c r="B1424" s="138">
        <f>'Expenditures 15-22'!D257</f>
        <v>64928</v>
      </c>
      <c r="C1424" s="2" t="s">
        <v>573</v>
      </c>
      <c r="D1424" s="2" t="str">
        <f t="shared" si="21"/>
        <v>Error?</v>
      </c>
    </row>
    <row r="1425" spans="1:4" x14ac:dyDescent="0.2">
      <c r="A1425" s="5">
        <v>1364</v>
      </c>
      <c r="B1425" s="138">
        <f>'Expenditures 15-22'!D259</f>
        <v>19091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19091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53537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16819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80339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5520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5520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193624</v>
      </c>
      <c r="C1446" s="2" t="s">
        <v>573</v>
      </c>
      <c r="D1446" s="2" t="str">
        <f t="shared" si="21"/>
        <v>Error?</v>
      </c>
    </row>
    <row r="1447" spans="1:4" x14ac:dyDescent="0.2">
      <c r="A1447" s="5">
        <v>1386</v>
      </c>
      <c r="B1447" s="138">
        <f>'Expenditures 15-22'!D280</f>
        <v>14654</v>
      </c>
      <c r="D1447" s="2" t="str">
        <f t="shared" si="21"/>
        <v>Error?</v>
      </c>
    </row>
    <row r="1448" spans="1:4" x14ac:dyDescent="0.2">
      <c r="A1448" s="5">
        <v>1387</v>
      </c>
      <c r="B1448" s="138">
        <f>'Expenditures 15-22'!D295</f>
        <v>385469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1344</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1135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177191</v>
      </c>
      <c r="C1474" s="2" t="s">
        <v>573</v>
      </c>
      <c r="D1474" s="2" t="str">
        <f t="shared" si="22"/>
        <v>Error?</v>
      </c>
    </row>
    <row r="1475" spans="1:4" x14ac:dyDescent="0.2">
      <c r="A1475" s="5">
        <v>1414</v>
      </c>
      <c r="B1475" s="138">
        <f>'Expenditures 15-22'!K232</f>
        <v>2232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10122</v>
      </c>
      <c r="C1477" s="2" t="s">
        <v>573</v>
      </c>
      <c r="D1477" s="2" t="str">
        <f t="shared" si="22"/>
        <v>Error?</v>
      </c>
    </row>
    <row r="1478" spans="1:4" x14ac:dyDescent="0.2">
      <c r="A1478" s="5">
        <v>1417</v>
      </c>
      <c r="B1478" s="138">
        <f>'Expenditures 15-22'!K235</f>
        <v>919</v>
      </c>
      <c r="C1478" s="2" t="s">
        <v>573</v>
      </c>
      <c r="D1478" s="2" t="str">
        <f t="shared" si="22"/>
        <v>Error?</v>
      </c>
    </row>
    <row r="1479" spans="1:4" x14ac:dyDescent="0.2">
      <c r="A1479" s="5">
        <v>1418</v>
      </c>
      <c r="B1479" s="138">
        <f>'Expenditures 15-22'!K236</f>
        <v>3983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17256</v>
      </c>
      <c r="C1481" s="2" t="s">
        <v>573</v>
      </c>
      <c r="D1481" s="2" t="str">
        <f t="shared" si="22"/>
        <v>Error?</v>
      </c>
    </row>
    <row r="1482" spans="1:4" x14ac:dyDescent="0.2">
      <c r="A1482" s="5">
        <v>1421</v>
      </c>
      <c r="B1482" s="138">
        <f>'Expenditures 15-22'!K240</f>
        <v>6490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6490</v>
      </c>
      <c r="C1485" s="2" t="s">
        <v>573</v>
      </c>
      <c r="D1485" s="2" t="str">
        <f t="shared" si="22"/>
        <v>Error?</v>
      </c>
    </row>
    <row r="1486" spans="1:4" x14ac:dyDescent="0.2">
      <c r="A1486" s="5">
        <v>1425</v>
      </c>
      <c r="B1486" s="138">
        <f>'Expenditures 15-22'!K245</f>
        <v>280</v>
      </c>
      <c r="C1486" s="2" t="s">
        <v>573</v>
      </c>
      <c r="D1486" s="2" t="str">
        <f t="shared" si="22"/>
        <v>Error?</v>
      </c>
    </row>
    <row r="1487" spans="1:4" x14ac:dyDescent="0.2">
      <c r="A1487" s="5">
        <v>1426</v>
      </c>
      <c r="B1487" s="138">
        <f>'Expenditures 15-22'!K246</f>
        <v>3998</v>
      </c>
      <c r="C1487" s="2" t="s">
        <v>573</v>
      </c>
      <c r="D1487" s="2" t="str">
        <f t="shared" si="22"/>
        <v>Error?</v>
      </c>
    </row>
    <row r="1488" spans="1:4" x14ac:dyDescent="0.2">
      <c r="A1488" s="5">
        <v>1427</v>
      </c>
      <c r="B1488" s="138">
        <f>'Expenditures 15-22'!K257</f>
        <v>64928</v>
      </c>
      <c r="C1488" s="2" t="s">
        <v>573</v>
      </c>
      <c r="D1488" s="2" t="str">
        <f t="shared" si="22"/>
        <v>Error?</v>
      </c>
    </row>
    <row r="1489" spans="1:4" x14ac:dyDescent="0.2">
      <c r="A1489" s="5">
        <v>1428</v>
      </c>
      <c r="B1489" s="138">
        <f>'Expenditures 15-22'!K259</f>
        <v>19091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19091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9983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53537</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16819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80339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5520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5520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193624</v>
      </c>
      <c r="C1510" s="2" t="s">
        <v>573</v>
      </c>
      <c r="D1510" s="2" t="str">
        <f t="shared" si="22"/>
        <v>Error?</v>
      </c>
    </row>
    <row r="1511" spans="1:4" x14ac:dyDescent="0.2">
      <c r="A1511" s="5">
        <v>1450</v>
      </c>
      <c r="B1511" s="138">
        <f>'Expenditures 15-22'!K280</f>
        <v>14654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385469</v>
      </c>
      <c r="C1517" s="2" t="s">
        <v>573</v>
      </c>
      <c r="D1517" s="2" t="str">
        <f t="shared" si="22"/>
        <v>Error?</v>
      </c>
    </row>
    <row r="1518" spans="1:4" x14ac:dyDescent="0.2">
      <c r="A1518" s="5">
        <v>1457</v>
      </c>
      <c r="B1518" s="138">
        <f>'Expenditures 15-22'!K296</f>
        <v>-61571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708319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274203</v>
      </c>
      <c r="C1630" s="2" t="s">
        <v>573</v>
      </c>
      <c r="D1630" s="2" t="str">
        <f t="shared" si="24"/>
        <v>Error?</v>
      </c>
    </row>
    <row r="1631" spans="1:4" x14ac:dyDescent="0.2">
      <c r="A1631" s="5">
        <v>1570</v>
      </c>
      <c r="B1631" s="138">
        <f>'Acct Summary 7-8'!D79</f>
        <v>93685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74078</v>
      </c>
      <c r="C1644" s="2" t="s">
        <v>573</v>
      </c>
      <c r="D1644" s="2" t="str">
        <f t="shared" si="24"/>
        <v>Error?</v>
      </c>
    </row>
    <row r="1645" spans="1:4" x14ac:dyDescent="0.2">
      <c r="A1645" s="5">
        <v>1584</v>
      </c>
      <c r="B1645" s="138">
        <f>'Acct Summary 7-8'!E79</f>
        <v>532075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356496</v>
      </c>
      <c r="C1658" s="2" t="s">
        <v>573</v>
      </c>
      <c r="D1658" s="2" t="str">
        <f t="shared" si="24"/>
        <v>Error?</v>
      </c>
    </row>
    <row r="1659" spans="1:4" x14ac:dyDescent="0.2">
      <c r="A1659" s="5">
        <v>1598</v>
      </c>
      <c r="B1659" s="138">
        <f>'Acct Summary 7-8'!F79</f>
        <v>30949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-62272</v>
      </c>
      <c r="C1672" s="2" t="s">
        <v>573</v>
      </c>
      <c r="D1672" s="2" t="str">
        <f t="shared" si="25"/>
        <v>Error?</v>
      </c>
    </row>
    <row r="1673" spans="1:4" x14ac:dyDescent="0.2">
      <c r="A1673" s="5">
        <v>1612</v>
      </c>
      <c r="B1673" s="138">
        <f>'Acct Summary 7-8'!G79</f>
        <v>187725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126154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3625735</v>
      </c>
      <c r="C1744" s="2" t="s">
        <v>573</v>
      </c>
      <c r="D1744" s="2" t="str">
        <f t="shared" si="26"/>
        <v>Error?</v>
      </c>
    </row>
    <row r="1745" spans="1:5" x14ac:dyDescent="0.2">
      <c r="A1745" s="5">
        <v>1684</v>
      </c>
      <c r="B1745" s="138">
        <f>'Tax Sched 23'!B5</f>
        <v>577348</v>
      </c>
      <c r="C1745" s="2" t="s">
        <v>573</v>
      </c>
      <c r="D1745" s="2" t="str">
        <f t="shared" si="26"/>
        <v>Error?</v>
      </c>
    </row>
    <row r="1746" spans="1:5" x14ac:dyDescent="0.2">
      <c r="A1746" s="5">
        <v>1685</v>
      </c>
      <c r="B1746" s="138">
        <f>'Tax Sched 23'!B6</f>
        <v>613169</v>
      </c>
      <c r="C1746" s="2" t="s">
        <v>573</v>
      </c>
      <c r="D1746" s="2" t="str">
        <f t="shared" si="26"/>
        <v>Error?</v>
      </c>
    </row>
    <row r="1747" spans="1:5" x14ac:dyDescent="0.2">
      <c r="A1747" s="5">
        <v>1686</v>
      </c>
      <c r="B1747" s="138">
        <f>'Tax Sched 23'!B7</f>
        <v>277127</v>
      </c>
      <c r="C1747" s="2" t="s">
        <v>573</v>
      </c>
      <c r="D1747" s="2" t="str">
        <f t="shared" si="26"/>
        <v>Error?</v>
      </c>
    </row>
    <row r="1748" spans="1:5" x14ac:dyDescent="0.2">
      <c r="A1748" s="5">
        <v>1687</v>
      </c>
      <c r="B1748" s="138">
        <f>'Tax Sched 23'!B8</f>
        <v>109137</v>
      </c>
      <c r="C1748" s="2" t="s">
        <v>573</v>
      </c>
      <c r="D1748" s="2" t="str">
        <f t="shared" si="26"/>
        <v>Error?</v>
      </c>
    </row>
    <row r="1749" spans="1:5" x14ac:dyDescent="0.2">
      <c r="A1749" s="5">
        <v>1688</v>
      </c>
      <c r="B1749" s="138">
        <f>'Tax Sched 23'!B10</f>
        <v>115467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505943</v>
      </c>
      <c r="C1752" s="2" t="s">
        <v>573</v>
      </c>
      <c r="D1752" s="2" t="str">
        <f t="shared" si="26"/>
        <v>Error?</v>
      </c>
    </row>
    <row r="1753" spans="1:5" x14ac:dyDescent="0.2">
      <c r="A1753" s="5">
        <v>1692</v>
      </c>
      <c r="B1753" s="138">
        <f>'Tax Sched 23'!B12</f>
        <v>109137</v>
      </c>
      <c r="C1753" s="2" t="s">
        <v>573</v>
      </c>
      <c r="D1753" s="2" t="str">
        <f t="shared" si="26"/>
        <v>Error?</v>
      </c>
    </row>
    <row r="1754" spans="1:5" x14ac:dyDescent="0.2">
      <c r="A1754" s="5">
        <v>1693</v>
      </c>
      <c r="B1754" s="138">
        <f>'Tax Sched 23'!B14</f>
        <v>46187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6239560</v>
      </c>
      <c r="C1759" s="2" t="s">
        <v>573</v>
      </c>
      <c r="D1759" s="2" t="str">
        <f t="shared" si="26"/>
        <v>Error?</v>
      </c>
    </row>
    <row r="1760" spans="1:5" x14ac:dyDescent="0.2">
      <c r="A1760" s="5">
        <v>1699</v>
      </c>
      <c r="B1760" s="138">
        <f>'Tax Sched 23'!D4</f>
        <v>2528899</v>
      </c>
      <c r="C1760" s="2" t="s">
        <v>573</v>
      </c>
      <c r="D1760" s="2" t="str">
        <f t="shared" si="26"/>
        <v>Error?</v>
      </c>
    </row>
    <row r="1761" spans="1:5" x14ac:dyDescent="0.2">
      <c r="A1761" s="5">
        <v>1700</v>
      </c>
      <c r="B1761" s="138">
        <f>'Tax Sched 23'!D5</f>
        <v>402702</v>
      </c>
      <c r="C1761" s="2" t="s">
        <v>573</v>
      </c>
      <c r="D1761" s="2" t="str">
        <f t="shared" si="26"/>
        <v>Error?</v>
      </c>
    </row>
    <row r="1762" spans="1:5" s="8" customFormat="1" x14ac:dyDescent="0.2">
      <c r="A1762" s="5">
        <v>1701</v>
      </c>
      <c r="B1762" s="138">
        <f>'Tax Sched 23'!D6</f>
        <v>551689</v>
      </c>
      <c r="C1762" s="2" t="s">
        <v>573</v>
      </c>
      <c r="D1762" s="2" t="str">
        <f t="shared" si="26"/>
        <v>Error?</v>
      </c>
      <c r="E1762" s="9"/>
    </row>
    <row r="1763" spans="1:5" x14ac:dyDescent="0.2">
      <c r="A1763" s="5">
        <v>1702</v>
      </c>
      <c r="B1763" s="138">
        <f>'Tax Sched 23'!D7</f>
        <v>193293</v>
      </c>
      <c r="C1763" s="2" t="s">
        <v>573</v>
      </c>
      <c r="D1763" s="2" t="str">
        <f t="shared" si="26"/>
        <v>Error?</v>
      </c>
    </row>
    <row r="1764" spans="1:5" x14ac:dyDescent="0.2">
      <c r="A1764" s="5">
        <v>1703</v>
      </c>
      <c r="B1764" s="138">
        <f>'Tax Sched 23'!D8</f>
        <v>76511</v>
      </c>
      <c r="C1764" s="2" t="s">
        <v>573</v>
      </c>
      <c r="D1764" s="2" t="str">
        <f t="shared" si="26"/>
        <v>Error?</v>
      </c>
    </row>
    <row r="1765" spans="1:5" x14ac:dyDescent="0.2">
      <c r="A1765" s="5">
        <v>1704</v>
      </c>
      <c r="B1765" s="138">
        <f>'Tax Sched 23'!D10</f>
        <v>80537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354692</v>
      </c>
      <c r="C1768" s="2" t="s">
        <v>573</v>
      </c>
      <c r="D1768" s="2" t="str">
        <f t="shared" si="26"/>
        <v>Error?</v>
      </c>
    </row>
    <row r="1769" spans="1:5" x14ac:dyDescent="0.2">
      <c r="A1769" s="5">
        <v>1708</v>
      </c>
      <c r="B1769" s="138">
        <f>'Tax Sched 23'!D12</f>
        <v>76511</v>
      </c>
      <c r="C1769" s="2" t="s">
        <v>573</v>
      </c>
      <c r="D1769" s="2" t="str">
        <f t="shared" si="26"/>
        <v>Error?</v>
      </c>
    </row>
    <row r="1770" spans="1:5" x14ac:dyDescent="0.2">
      <c r="A1770" s="5">
        <v>1709</v>
      </c>
      <c r="B1770" s="138">
        <f>'Tax Sched 23'!D14</f>
        <v>32215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4463117</v>
      </c>
      <c r="C1775" s="2" t="s">
        <v>573</v>
      </c>
      <c r="D1775" s="2" t="str">
        <f t="shared" si="26"/>
        <v>Error?</v>
      </c>
    </row>
    <row r="1776" spans="1:5" x14ac:dyDescent="0.2">
      <c r="A1776" s="5">
        <v>1715</v>
      </c>
      <c r="B1776" s="138">
        <f>'Tax Sched 23'!C4</f>
        <v>1096836</v>
      </c>
      <c r="D1776" s="2" t="str">
        <f t="shared" si="26"/>
        <v>Error?</v>
      </c>
    </row>
    <row r="1777" spans="1:4" x14ac:dyDescent="0.2">
      <c r="A1777" s="5">
        <v>1716</v>
      </c>
      <c r="B1777" s="138">
        <f>'Tax Sched 23'!C5</f>
        <v>174646</v>
      </c>
      <c r="D1777" s="2" t="str">
        <f t="shared" si="26"/>
        <v>Error?</v>
      </c>
    </row>
    <row r="1778" spans="1:4" x14ac:dyDescent="0.2">
      <c r="A1778" s="5">
        <v>1717</v>
      </c>
      <c r="B1778" s="138">
        <f>'Tax Sched 23'!C6</f>
        <v>61480</v>
      </c>
      <c r="D1778" s="2" t="str">
        <f t="shared" si="26"/>
        <v>Error?</v>
      </c>
    </row>
    <row r="1779" spans="1:4" x14ac:dyDescent="0.2">
      <c r="A1779" s="5">
        <v>1718</v>
      </c>
      <c r="B1779" s="138">
        <f>'Tax Sched 23'!C7</f>
        <v>83834</v>
      </c>
      <c r="D1779" s="2" t="str">
        <f t="shared" si="26"/>
        <v>Error?</v>
      </c>
    </row>
    <row r="1780" spans="1:4" x14ac:dyDescent="0.2">
      <c r="A1780" s="5">
        <v>1719</v>
      </c>
      <c r="B1780" s="138">
        <f>'Tax Sched 23'!C8</f>
        <v>32626</v>
      </c>
      <c r="D1780" s="2" t="str">
        <f t="shared" si="26"/>
        <v>Error?</v>
      </c>
    </row>
    <row r="1781" spans="1:4" x14ac:dyDescent="0.2">
      <c r="A1781" s="5">
        <v>1720</v>
      </c>
      <c r="B1781" s="138">
        <f>'Tax Sched 23'!C10</f>
        <v>34930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151251</v>
      </c>
      <c r="D1784" s="2" t="str">
        <f t="shared" si="26"/>
        <v>Error?</v>
      </c>
    </row>
    <row r="1785" spans="1:4" x14ac:dyDescent="0.2">
      <c r="A1785" s="5">
        <v>1724</v>
      </c>
      <c r="B1785" s="138">
        <f>'Tax Sched 23'!C12</f>
        <v>32626</v>
      </c>
      <c r="D1785" s="2" t="str">
        <f t="shared" si="26"/>
        <v>Error?</v>
      </c>
    </row>
    <row r="1786" spans="1:4" x14ac:dyDescent="0.2">
      <c r="A1786" s="5">
        <v>1725</v>
      </c>
      <c r="B1786" s="138">
        <f>'Tax Sched 23'!C14</f>
        <v>13972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1776443</v>
      </c>
      <c r="C1791" s="2" t="s">
        <v>573</v>
      </c>
      <c r="D1791" s="2" t="str">
        <f t="shared" ref="D1791:D1854" si="27">IF(ISBLANK(B1791),"OK",IF(A1791-B1791=0,"OK","Error?"))</f>
        <v>Error?</v>
      </c>
    </row>
    <row r="1792" spans="1:4" x14ac:dyDescent="0.2">
      <c r="A1792" s="5">
        <v>1731</v>
      </c>
      <c r="B1792" s="138">
        <f>'Tax Sched 23'!F4</f>
        <v>2602977</v>
      </c>
      <c r="C1792" s="2" t="s">
        <v>573</v>
      </c>
      <c r="D1792" s="2" t="str">
        <f t="shared" si="27"/>
        <v>Error?</v>
      </c>
    </row>
    <row r="1793" spans="1:4" x14ac:dyDescent="0.2">
      <c r="A1793" s="5">
        <v>1732</v>
      </c>
      <c r="B1793" s="138">
        <f>'Tax Sched 23'!F5</f>
        <v>414496</v>
      </c>
      <c r="C1793" s="2" t="s">
        <v>573</v>
      </c>
      <c r="D1793" s="2" t="str">
        <f t="shared" si="27"/>
        <v>Error?</v>
      </c>
    </row>
    <row r="1794" spans="1:4" x14ac:dyDescent="0.2">
      <c r="A1794" s="5">
        <v>1733</v>
      </c>
      <c r="B1794" s="138">
        <f>'Tax Sched 23'!F6</f>
        <v>145898</v>
      </c>
      <c r="C1794" s="2" t="s">
        <v>573</v>
      </c>
      <c r="D1794" s="2" t="str">
        <f t="shared" si="27"/>
        <v>Error?</v>
      </c>
    </row>
    <row r="1795" spans="1:4" x14ac:dyDescent="0.2">
      <c r="A1795" s="5">
        <v>1734</v>
      </c>
      <c r="B1795" s="138">
        <f>'Tax Sched 23'!F7</f>
        <v>198954</v>
      </c>
      <c r="C1795" s="2" t="s">
        <v>573</v>
      </c>
      <c r="D1795" s="2" t="str">
        <f t="shared" si="27"/>
        <v>Error?</v>
      </c>
    </row>
    <row r="1796" spans="1:4" x14ac:dyDescent="0.2">
      <c r="A1796" s="5">
        <v>1735</v>
      </c>
      <c r="B1796" s="138">
        <f>'Tax Sched 23'!F8</f>
        <v>77426</v>
      </c>
      <c r="C1796" s="2" t="s">
        <v>573</v>
      </c>
      <c r="D1796" s="2" t="str">
        <f t="shared" si="27"/>
        <v>Error?</v>
      </c>
    </row>
    <row r="1797" spans="1:4" x14ac:dyDescent="0.2">
      <c r="A1797" s="5">
        <v>1736</v>
      </c>
      <c r="B1797" s="138">
        <f>'Tax Sched 23'!F10</f>
        <v>82898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358946</v>
      </c>
      <c r="C1800" s="2" t="s">
        <v>573</v>
      </c>
      <c r="D1800" s="2" t="str">
        <f t="shared" si="27"/>
        <v>Error?</v>
      </c>
    </row>
    <row r="1801" spans="1:4" x14ac:dyDescent="0.2">
      <c r="A1801" s="5">
        <v>1740</v>
      </c>
      <c r="B1801" s="138">
        <f>'Tax Sched 23'!F12</f>
        <v>77426</v>
      </c>
      <c r="C1801" s="2" t="s">
        <v>573</v>
      </c>
      <c r="D1801" s="2" t="str">
        <f t="shared" si="27"/>
        <v>Error?</v>
      </c>
    </row>
    <row r="1802" spans="1:4" x14ac:dyDescent="0.2">
      <c r="A1802" s="5">
        <v>1741</v>
      </c>
      <c r="B1802" s="138">
        <f>'Tax Sched 23'!F14</f>
        <v>33159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4215839</v>
      </c>
      <c r="C1807" s="2" t="s">
        <v>573</v>
      </c>
      <c r="D1807" s="2" t="str">
        <f t="shared" si="27"/>
        <v>Error?</v>
      </c>
    </row>
    <row r="1808" spans="1:4" x14ac:dyDescent="0.2">
      <c r="A1808" s="5">
        <v>1747</v>
      </c>
      <c r="B1808" s="138">
        <f>'Tax Sched 23'!E4</f>
        <v>3699813</v>
      </c>
      <c r="D1808" s="2" t="str">
        <f t="shared" si="27"/>
        <v>Error?</v>
      </c>
    </row>
    <row r="1809" spans="1:4" x14ac:dyDescent="0.2">
      <c r="A1809" s="5">
        <v>1748</v>
      </c>
      <c r="B1809" s="138">
        <f>'Tax Sched 23'!E5</f>
        <v>589142</v>
      </c>
      <c r="D1809" s="2" t="str">
        <f t="shared" si="27"/>
        <v>Error?</v>
      </c>
    </row>
    <row r="1810" spans="1:4" x14ac:dyDescent="0.2">
      <c r="A1810" s="5">
        <v>1749</v>
      </c>
      <c r="B1810" s="138">
        <f>'Tax Sched 23'!E6</f>
        <v>207378</v>
      </c>
      <c r="D1810" s="2" t="str">
        <f t="shared" si="27"/>
        <v>Error?</v>
      </c>
    </row>
    <row r="1811" spans="1:4" x14ac:dyDescent="0.2">
      <c r="A1811" s="5">
        <v>1750</v>
      </c>
      <c r="B1811" s="138">
        <f>'Tax Sched 23'!E7</f>
        <v>282788</v>
      </c>
      <c r="D1811" s="2" t="str">
        <f t="shared" si="27"/>
        <v>Error?</v>
      </c>
    </row>
    <row r="1812" spans="1:4" x14ac:dyDescent="0.2">
      <c r="A1812" s="5">
        <v>1751</v>
      </c>
      <c r="B1812" s="138">
        <f>'Tax Sched 23'!E8</f>
        <v>110052</v>
      </c>
      <c r="D1812" s="2" t="str">
        <f t="shared" si="27"/>
        <v>Error?</v>
      </c>
    </row>
    <row r="1813" spans="1:4" x14ac:dyDescent="0.2">
      <c r="A1813" s="5">
        <v>1752</v>
      </c>
      <c r="B1813" s="138">
        <f>'Tax Sched 23'!E10</f>
        <v>117828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510197</v>
      </c>
      <c r="D1816" s="2" t="str">
        <f t="shared" si="27"/>
        <v>Error?</v>
      </c>
    </row>
    <row r="1817" spans="1:4" x14ac:dyDescent="0.2">
      <c r="A1817" s="5">
        <v>1756</v>
      </c>
      <c r="B1817" s="138">
        <f>'Tax Sched 23'!E12</f>
        <v>110052</v>
      </c>
      <c r="D1817" s="2" t="str">
        <f t="shared" si="27"/>
        <v>Error?</v>
      </c>
    </row>
    <row r="1818" spans="1:4" x14ac:dyDescent="0.2">
      <c r="A1818" s="5">
        <v>1757</v>
      </c>
      <c r="B1818" s="138">
        <f>'Tax Sched 23'!E14</f>
        <v>47131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5992282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46187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46187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46187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631291</v>
      </c>
      <c r="D2008" s="2" t="str">
        <f t="shared" si="30"/>
        <v>Error?</v>
      </c>
    </row>
    <row r="2009" spans="1:4" x14ac:dyDescent="0.2">
      <c r="A2009" s="5">
        <v>1948</v>
      </c>
      <c r="B2009" s="138">
        <f>'Cap Outlay Deprec 26'!C8</f>
        <v>15095754</v>
      </c>
      <c r="D2009" s="2" t="str">
        <f t="shared" si="30"/>
        <v>Error?</v>
      </c>
    </row>
    <row r="2010" spans="1:4" x14ac:dyDescent="0.2">
      <c r="A2010" s="5">
        <v>1949</v>
      </c>
      <c r="B2010" s="138">
        <f>'Cap Outlay Deprec 26'!C10</f>
        <v>1858835</v>
      </c>
      <c r="D2010" s="2" t="str">
        <f t="shared" si="30"/>
        <v>Error?</v>
      </c>
    </row>
    <row r="2011" spans="1:4" x14ac:dyDescent="0.2">
      <c r="A2011" s="5">
        <v>1950</v>
      </c>
      <c r="B2011" s="138">
        <f>'Cap Outlay Deprec 26'!C12</f>
        <v>1084422</v>
      </c>
      <c r="D2011" s="2" t="str">
        <f t="shared" si="30"/>
        <v>Error?</v>
      </c>
    </row>
    <row r="2012" spans="1:4" x14ac:dyDescent="0.2">
      <c r="A2012" s="5">
        <v>1951</v>
      </c>
      <c r="B2012" s="138">
        <f>'Cap Outlay Deprec 26'!C13</f>
        <v>390017</v>
      </c>
      <c r="D2012" s="2" t="str">
        <f t="shared" si="30"/>
        <v>Error?</v>
      </c>
    </row>
    <row r="2013" spans="1:4" x14ac:dyDescent="0.2">
      <c r="A2013" s="5">
        <v>1952</v>
      </c>
      <c r="B2013" s="138">
        <f>'Cap Outlay Deprec 26'!C16</f>
        <v>19060319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140474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63042</v>
      </c>
      <c r="D2017" s="2" t="str">
        <f t="shared" si="30"/>
        <v>Error?</v>
      </c>
    </row>
    <row r="2018" spans="1:4" x14ac:dyDescent="0.2">
      <c r="A2018" s="5">
        <v>1957</v>
      </c>
      <c r="B2018" s="138">
        <f>'Cap Outlay Deprec 26'!D13</f>
        <v>21127</v>
      </c>
      <c r="D2018" s="2" t="str">
        <f t="shared" si="30"/>
        <v>Error?</v>
      </c>
    </row>
    <row r="2019" spans="1:4" x14ac:dyDescent="0.2">
      <c r="A2019" s="5">
        <v>1958</v>
      </c>
      <c r="B2019" s="138">
        <f>'Cap Outlay Deprec 26'!D16</f>
        <v>224643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631291</v>
      </c>
      <c r="C2026" s="2" t="s">
        <v>573</v>
      </c>
      <c r="D2026" s="2" t="str">
        <f t="shared" si="30"/>
        <v>Error?</v>
      </c>
    </row>
    <row r="2027" spans="1:4" x14ac:dyDescent="0.2">
      <c r="A2027" s="5">
        <v>1966</v>
      </c>
      <c r="B2027" s="138">
        <f>'Cap Outlay Deprec 26'!F8</f>
        <v>15236228</v>
      </c>
      <c r="C2027" s="2" t="s">
        <v>573</v>
      </c>
      <c r="D2027" s="2" t="str">
        <f t="shared" si="30"/>
        <v>Error?</v>
      </c>
    </row>
    <row r="2028" spans="1:4" x14ac:dyDescent="0.2">
      <c r="A2028" s="5">
        <v>1967</v>
      </c>
      <c r="B2028" s="138">
        <f>'Cap Outlay Deprec 26'!F10</f>
        <v>1858835</v>
      </c>
      <c r="C2028" s="2" t="s">
        <v>573</v>
      </c>
      <c r="D2028" s="2" t="str">
        <f t="shared" si="30"/>
        <v>Error?</v>
      </c>
    </row>
    <row r="2029" spans="1:4" x14ac:dyDescent="0.2">
      <c r="A2029" s="5">
        <v>1968</v>
      </c>
      <c r="B2029" s="138">
        <f>'Cap Outlay Deprec 26'!F12</f>
        <v>1147464</v>
      </c>
      <c r="C2029" s="2" t="s">
        <v>573</v>
      </c>
      <c r="D2029" s="2" t="str">
        <f t="shared" si="30"/>
        <v>Error?</v>
      </c>
    </row>
    <row r="2030" spans="1:4" x14ac:dyDescent="0.2">
      <c r="A2030" s="5">
        <v>1969</v>
      </c>
      <c r="B2030" s="138">
        <f>'Cap Outlay Deprec 26'!F13</f>
        <v>411144</v>
      </c>
      <c r="C2030" s="2" t="s">
        <v>573</v>
      </c>
      <c r="D2030" s="2" t="str">
        <f t="shared" si="30"/>
        <v>Error?</v>
      </c>
    </row>
    <row r="2031" spans="1:4" x14ac:dyDescent="0.2">
      <c r="A2031" s="5">
        <v>1970</v>
      </c>
      <c r="B2031" s="138">
        <f>'Cap Outlay Deprec 26'!F16</f>
        <v>19284962</v>
      </c>
      <c r="C2031" s="2" t="s">
        <v>573</v>
      </c>
      <c r="D2031" s="2" t="str">
        <f t="shared" si="30"/>
        <v>Error?</v>
      </c>
    </row>
    <row r="2032" spans="1:4" x14ac:dyDescent="0.2">
      <c r="A2032" s="10">
        <v>1971</v>
      </c>
      <c r="D2032" s="2" t="str">
        <f t="shared" si="30"/>
        <v>OK</v>
      </c>
    </row>
    <row r="2033" spans="1:4" x14ac:dyDescent="0.2">
      <c r="A2033" s="5">
        <v>1972</v>
      </c>
      <c r="B2033" s="138">
        <f>'Cap Outlay Deprec 26'!H8</f>
        <v>6856955</v>
      </c>
      <c r="D2033" s="2" t="str">
        <f t="shared" si="30"/>
        <v>Error?</v>
      </c>
    </row>
    <row r="2034" spans="1:4" x14ac:dyDescent="0.2">
      <c r="A2034" s="5">
        <v>1973</v>
      </c>
      <c r="B2034" s="138">
        <f>'Cap Outlay Deprec 26'!H10</f>
        <v>1482408</v>
      </c>
      <c r="D2034" s="2" t="str">
        <f t="shared" si="30"/>
        <v>Error?</v>
      </c>
    </row>
    <row r="2035" spans="1:4" x14ac:dyDescent="0.2">
      <c r="A2035" s="5">
        <v>1974</v>
      </c>
      <c r="B2035" s="138">
        <f>'Cap Outlay Deprec 26'!H12</f>
        <v>931985</v>
      </c>
      <c r="D2035" s="2" t="str">
        <f t="shared" si="30"/>
        <v>Error?</v>
      </c>
    </row>
    <row r="2036" spans="1:4" x14ac:dyDescent="0.2">
      <c r="A2036" s="5">
        <v>1975</v>
      </c>
      <c r="B2036" s="138">
        <f>'Cap Outlay Deprec 26'!H13</f>
        <v>369149</v>
      </c>
      <c r="D2036" s="2" t="str">
        <f t="shared" si="30"/>
        <v>Error?</v>
      </c>
    </row>
    <row r="2037" spans="1:4" x14ac:dyDescent="0.2">
      <c r="A2037" s="5">
        <v>1976</v>
      </c>
      <c r="B2037" s="138">
        <f>'Cap Outlay Deprec 26'!H16</f>
        <v>9640497</v>
      </c>
      <c r="C2037" s="2" t="s">
        <v>573</v>
      </c>
      <c r="D2037" s="2" t="str">
        <f t="shared" si="30"/>
        <v>Error?</v>
      </c>
    </row>
    <row r="2038" spans="1:4" x14ac:dyDescent="0.2">
      <c r="A2038" s="10">
        <v>1977</v>
      </c>
      <c r="D2038" s="2" t="str">
        <f t="shared" si="30"/>
        <v>OK</v>
      </c>
    </row>
    <row r="2039" spans="1:4" x14ac:dyDescent="0.2">
      <c r="A2039" s="5">
        <v>1978</v>
      </c>
      <c r="B2039" s="138">
        <f>'Cap Outlay Deprec 26'!I8</f>
        <v>341242</v>
      </c>
      <c r="D2039" s="2" t="str">
        <f t="shared" si="30"/>
        <v>Error?</v>
      </c>
    </row>
    <row r="2040" spans="1:4" x14ac:dyDescent="0.2">
      <c r="A2040" s="5">
        <v>1979</v>
      </c>
      <c r="B2040" s="138">
        <f>'Cap Outlay Deprec 26'!I10</f>
        <v>83901</v>
      </c>
      <c r="D2040" s="2" t="str">
        <f t="shared" si="30"/>
        <v>Error?</v>
      </c>
    </row>
    <row r="2041" spans="1:4" x14ac:dyDescent="0.2">
      <c r="A2041" s="5">
        <v>1980</v>
      </c>
      <c r="B2041" s="138">
        <f>'Cap Outlay Deprec 26'!I12</f>
        <v>30441</v>
      </c>
      <c r="D2041" s="2" t="str">
        <f t="shared" si="30"/>
        <v>Error?</v>
      </c>
    </row>
    <row r="2042" spans="1:4" x14ac:dyDescent="0.2">
      <c r="A2042" s="5">
        <v>1981</v>
      </c>
      <c r="B2042" s="138">
        <f>'Cap Outlay Deprec 26'!I13</f>
        <v>9712</v>
      </c>
      <c r="D2042" s="2" t="str">
        <f t="shared" si="30"/>
        <v>Error?</v>
      </c>
    </row>
    <row r="2043" spans="1:4" x14ac:dyDescent="0.2">
      <c r="A2043" s="5">
        <v>1982</v>
      </c>
      <c r="B2043" s="138">
        <f>'Cap Outlay Deprec 26'!I16</f>
        <v>465296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7198197</v>
      </c>
      <c r="C2051" s="2" t="s">
        <v>573</v>
      </c>
      <c r="D2051" s="2" t="str">
        <f t="shared" si="31"/>
        <v>Error?</v>
      </c>
    </row>
    <row r="2052" spans="1:4" x14ac:dyDescent="0.2">
      <c r="A2052" s="5">
        <v>1991</v>
      </c>
      <c r="B2052" s="138">
        <f>'Cap Outlay Deprec 26'!K10</f>
        <v>1566309</v>
      </c>
      <c r="C2052" s="2" t="s">
        <v>573</v>
      </c>
      <c r="D2052" s="2" t="str">
        <f t="shared" si="31"/>
        <v>Error?</v>
      </c>
    </row>
    <row r="2053" spans="1:4" x14ac:dyDescent="0.2">
      <c r="A2053" s="5">
        <v>1992</v>
      </c>
      <c r="B2053" s="138">
        <f>'Cap Outlay Deprec 26'!K12</f>
        <v>962426</v>
      </c>
      <c r="C2053" s="2" t="s">
        <v>573</v>
      </c>
      <c r="D2053" s="2" t="str">
        <f t="shared" si="31"/>
        <v>Error?</v>
      </c>
    </row>
    <row r="2054" spans="1:4" x14ac:dyDescent="0.2">
      <c r="A2054" s="5">
        <v>1993</v>
      </c>
      <c r="B2054" s="138">
        <f>'Cap Outlay Deprec 26'!K13</f>
        <v>378861</v>
      </c>
      <c r="C2054" s="2" t="s">
        <v>573</v>
      </c>
      <c r="D2054" s="2" t="str">
        <f t="shared" si="31"/>
        <v>Error?</v>
      </c>
    </row>
    <row r="2055" spans="1:4" x14ac:dyDescent="0.2">
      <c r="A2055" s="5">
        <v>1994</v>
      </c>
      <c r="B2055" s="138">
        <f>'Cap Outlay Deprec 26'!K16</f>
        <v>10105793</v>
      </c>
      <c r="C2055" s="2" t="s">
        <v>573</v>
      </c>
      <c r="D2055" s="2" t="str">
        <f t="shared" si="31"/>
        <v>Error?</v>
      </c>
    </row>
    <row r="2056" spans="1:4" x14ac:dyDescent="0.2">
      <c r="A2056" s="5">
        <v>1995</v>
      </c>
      <c r="B2056" s="138">
        <f>'Cap Outlay Deprec 26'!L5</f>
        <v>631291</v>
      </c>
      <c r="C2056" s="2" t="s">
        <v>573</v>
      </c>
      <c r="D2056" s="2" t="str">
        <f t="shared" si="31"/>
        <v>Error?</v>
      </c>
    </row>
    <row r="2057" spans="1:4" x14ac:dyDescent="0.2">
      <c r="A2057" s="5">
        <v>1996</v>
      </c>
      <c r="B2057" s="138">
        <f>'Cap Outlay Deprec 26'!L8</f>
        <v>8038031</v>
      </c>
      <c r="C2057" s="2" t="s">
        <v>573</v>
      </c>
      <c r="D2057" s="2" t="str">
        <f t="shared" si="31"/>
        <v>Error?</v>
      </c>
    </row>
    <row r="2058" spans="1:4" x14ac:dyDescent="0.2">
      <c r="A2058" s="5">
        <v>1997</v>
      </c>
      <c r="B2058" s="138">
        <f>'Cap Outlay Deprec 26'!L10</f>
        <v>292526</v>
      </c>
      <c r="C2058" s="2" t="s">
        <v>573</v>
      </c>
      <c r="D2058" s="2" t="str">
        <f t="shared" si="31"/>
        <v>Error?</v>
      </c>
    </row>
    <row r="2059" spans="1:4" x14ac:dyDescent="0.2">
      <c r="A2059" s="5">
        <v>1998</v>
      </c>
      <c r="B2059" s="138">
        <f>'Cap Outlay Deprec 26'!L12</f>
        <v>185038</v>
      </c>
      <c r="C2059" s="2" t="s">
        <v>573</v>
      </c>
      <c r="D2059" s="2" t="str">
        <f t="shared" si="31"/>
        <v>Error?</v>
      </c>
    </row>
    <row r="2060" spans="1:4" x14ac:dyDescent="0.2">
      <c r="A2060" s="5">
        <v>1999</v>
      </c>
      <c r="B2060" s="138">
        <f>'Cap Outlay Deprec 26'!L13</f>
        <v>32283</v>
      </c>
      <c r="C2060" s="2" t="s">
        <v>573</v>
      </c>
      <c r="D2060" s="2" t="str">
        <f t="shared" si="31"/>
        <v>Error?</v>
      </c>
    </row>
    <row r="2061" spans="1:4" x14ac:dyDescent="0.2">
      <c r="A2061" s="5">
        <v>2000</v>
      </c>
      <c r="B2061" s="138">
        <f>'Cap Outlay Deprec 26'!L16</f>
        <v>9179169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86846</v>
      </c>
      <c r="C2088" s="2" t="s">
        <v>573</v>
      </c>
      <c r="D2088" s="2" t="str">
        <f t="shared" si="31"/>
        <v>Error?</v>
      </c>
    </row>
    <row r="2089" spans="1:4" x14ac:dyDescent="0.2">
      <c r="A2089" s="5">
        <v>2028</v>
      </c>
      <c r="B2089" s="138">
        <f>'Expenditures 15-22'!K92</f>
        <v>293336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129000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4308330</v>
      </c>
      <c r="C2551" s="2" t="s">
        <v>573</v>
      </c>
      <c r="D2551" s="2" t="str">
        <f t="shared" si="38"/>
        <v>Error?</v>
      </c>
    </row>
    <row r="2552" spans="1:4" x14ac:dyDescent="0.2">
      <c r="A2552" s="10">
        <v>2491</v>
      </c>
      <c r="D2552" s="2" t="str">
        <f t="shared" si="38"/>
        <v>OK</v>
      </c>
    </row>
    <row r="2553" spans="1:4" x14ac:dyDescent="0.2">
      <c r="A2553" s="5">
        <v>2492</v>
      </c>
      <c r="B2553" s="138">
        <f>'Acct Summary 7-8'!C6</f>
        <v>3550826</v>
      </c>
      <c r="C2553" s="2" t="s">
        <v>573</v>
      </c>
      <c r="D2553" s="2" t="str">
        <f t="shared" si="38"/>
        <v>Error?</v>
      </c>
    </row>
    <row r="2554" spans="1:4" x14ac:dyDescent="0.2">
      <c r="A2554" s="5">
        <v>2493</v>
      </c>
      <c r="B2554" s="138">
        <f>'Acct Summary 7-8'!C7</f>
        <v>1161573</v>
      </c>
      <c r="C2554" s="2" t="s">
        <v>573</v>
      </c>
      <c r="D2554" s="2" t="str">
        <f t="shared" si="38"/>
        <v>Error?</v>
      </c>
    </row>
    <row r="2555" spans="1:4" x14ac:dyDescent="0.2">
      <c r="A2555" s="5">
        <v>2494</v>
      </c>
      <c r="B2555" s="138">
        <f>'Acct Summary 7-8'!C8</f>
        <v>9020729</v>
      </c>
      <c r="C2555" s="2" t="s">
        <v>573</v>
      </c>
      <c r="D2555" s="2" t="str">
        <f t="shared" si="38"/>
        <v>Error?</v>
      </c>
    </row>
    <row r="2556" spans="1:4" x14ac:dyDescent="0.2">
      <c r="A2556" s="5">
        <v>2495</v>
      </c>
      <c r="B2556" s="138">
        <f>'Acct Summary 7-8'!C12</f>
        <v>6618479</v>
      </c>
      <c r="C2556" s="2" t="s">
        <v>573</v>
      </c>
      <c r="D2556" s="2" t="str">
        <f t="shared" si="38"/>
        <v>Error?</v>
      </c>
    </row>
    <row r="2557" spans="1:4" x14ac:dyDescent="0.2">
      <c r="A2557" s="5">
        <v>2496</v>
      </c>
      <c r="B2557" s="138">
        <f>'Acct Summary 7-8'!C13</f>
        <v>2402510</v>
      </c>
      <c r="C2557" s="2" t="s">
        <v>573</v>
      </c>
      <c r="D2557" s="2" t="str">
        <f t="shared" si="38"/>
        <v>Error?</v>
      </c>
    </row>
    <row r="2558" spans="1:4" x14ac:dyDescent="0.2">
      <c r="A2558" s="5">
        <v>2497</v>
      </c>
      <c r="B2558" s="138">
        <f>'Acct Summary 7-8'!C14</f>
        <v>161674</v>
      </c>
      <c r="C2558" s="2" t="s">
        <v>573</v>
      </c>
      <c r="D2558" s="2" t="str">
        <f t="shared" si="38"/>
        <v>Error?</v>
      </c>
    </row>
    <row r="2559" spans="1:4" x14ac:dyDescent="0.2">
      <c r="A2559" s="5">
        <v>2498</v>
      </c>
      <c r="B2559" s="138">
        <f>'Acct Summary 7-8'!C15</f>
        <v>380182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9562845</v>
      </c>
      <c r="C2561" s="2" t="s">
        <v>573</v>
      </c>
      <c r="D2561" s="2" t="str">
        <f t="shared" si="39"/>
        <v>Error?</v>
      </c>
    </row>
    <row r="2562" spans="1:4" x14ac:dyDescent="0.2">
      <c r="A2562" s="5">
        <v>2501</v>
      </c>
      <c r="B2562" s="138">
        <f>'Acct Summary 7-8'!C20</f>
        <v>-542116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601906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601906</v>
      </c>
      <c r="C2568" s="2" t="s">
        <v>573</v>
      </c>
      <c r="D2568" s="2" t="str">
        <f t="shared" si="39"/>
        <v>Error?</v>
      </c>
    </row>
    <row r="2569" spans="1:4" x14ac:dyDescent="0.2">
      <c r="A2569" s="5">
        <v>2508</v>
      </c>
      <c r="B2569" s="138">
        <f>'Acct Summary 7-8'!D13</f>
        <v>642513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642513</v>
      </c>
      <c r="C2573" s="2" t="s">
        <v>573</v>
      </c>
      <c r="D2573" s="2" t="str">
        <f t="shared" si="39"/>
        <v>Error?</v>
      </c>
    </row>
    <row r="2574" spans="1:4" x14ac:dyDescent="0.2">
      <c r="A2574" s="5">
        <v>2513</v>
      </c>
      <c r="B2574" s="138">
        <f>'Acct Summary 7-8'!D20</f>
        <v>-40607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277596</v>
      </c>
      <c r="C2591" s="2" t="s">
        <v>573</v>
      </c>
      <c r="D2591" s="2" t="str">
        <f t="shared" si="39"/>
        <v>Error?</v>
      </c>
    </row>
    <row r="2592" spans="1:4" x14ac:dyDescent="0.2">
      <c r="A2592" s="10">
        <v>2531</v>
      </c>
      <c r="D2592" s="2" t="str">
        <f t="shared" si="39"/>
        <v>OK</v>
      </c>
    </row>
    <row r="2593" spans="1:4" x14ac:dyDescent="0.2">
      <c r="A2593" s="5">
        <v>2532</v>
      </c>
      <c r="B2593" s="138">
        <f>'Acct Summary 7-8'!F6</f>
        <v>377067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654663</v>
      </c>
      <c r="C2595" s="2" t="s">
        <v>573</v>
      </c>
      <c r="D2595" s="2" t="str">
        <f t="shared" si="39"/>
        <v>Error?</v>
      </c>
    </row>
    <row r="2596" spans="1:4" x14ac:dyDescent="0.2">
      <c r="A2596" s="5">
        <v>2535</v>
      </c>
      <c r="B2596" s="138">
        <f>'Acct Summary 7-8'!F13</f>
        <v>8695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739189</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747884</v>
      </c>
      <c r="C2600" s="2" t="s">
        <v>573</v>
      </c>
      <c r="D2600" s="2" t="str">
        <f t="shared" si="39"/>
        <v>Error?</v>
      </c>
    </row>
    <row r="2601" spans="1:4" x14ac:dyDescent="0.2">
      <c r="A2601" s="5">
        <v>2540</v>
      </c>
      <c r="B2601" s="138">
        <f>'Acct Summary 7-8'!F20</f>
        <v>-93221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323898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323898</v>
      </c>
      <c r="C2606" s="2" t="s">
        <v>573</v>
      </c>
      <c r="D2606" s="2" t="str">
        <f t="shared" si="39"/>
        <v>Error?</v>
      </c>
    </row>
    <row r="2607" spans="1:4" x14ac:dyDescent="0.2">
      <c r="A2607" s="5">
        <v>2546</v>
      </c>
      <c r="B2607" s="138">
        <f>'Acct Summary 7-8'!G12</f>
        <v>177191</v>
      </c>
      <c r="C2607" s="2" t="s">
        <v>573</v>
      </c>
      <c r="D2607" s="2" t="str">
        <f t="shared" si="39"/>
        <v>Error?</v>
      </c>
    </row>
    <row r="2608" spans="1:4" x14ac:dyDescent="0.2">
      <c r="A2608" s="5">
        <v>2547</v>
      </c>
      <c r="B2608" s="138">
        <f>'Acct Summary 7-8'!G13</f>
        <v>193624</v>
      </c>
      <c r="C2608" s="2" t="s">
        <v>573</v>
      </c>
      <c r="D2608" s="2" t="str">
        <f t="shared" si="39"/>
        <v>Error?</v>
      </c>
    </row>
    <row r="2609" spans="1:4" x14ac:dyDescent="0.2">
      <c r="A2609" s="5">
        <v>2548</v>
      </c>
      <c r="B2609" s="138">
        <f>'Acct Summary 7-8'!G14</f>
        <v>14654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385469</v>
      </c>
      <c r="C2612" s="2" t="s">
        <v>573</v>
      </c>
      <c r="D2612" s="2" t="str">
        <f t="shared" si="39"/>
        <v>Error?</v>
      </c>
    </row>
    <row r="2613" spans="1:4" x14ac:dyDescent="0.2">
      <c r="A2613" s="5">
        <v>2552</v>
      </c>
      <c r="B2613" s="138">
        <f>'Acct Summary 7-8'!G20</f>
        <v>-61571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617701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617701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793280</v>
      </c>
      <c r="C2634" s="2" t="s">
        <v>573</v>
      </c>
      <c r="D2634" s="2" t="str">
        <f t="shared" si="40"/>
        <v>Error?</v>
      </c>
    </row>
    <row r="2635" spans="1:4" x14ac:dyDescent="0.2">
      <c r="A2635" s="5">
        <v>2574</v>
      </c>
      <c r="B2635" s="138">
        <f>'Acct Summary 7-8'!E17</f>
        <v>793280</v>
      </c>
      <c r="C2635" s="2" t="s">
        <v>573</v>
      </c>
      <c r="D2635" s="2" t="str">
        <f t="shared" si="40"/>
        <v>Error?</v>
      </c>
    </row>
    <row r="2636" spans="1:4" x14ac:dyDescent="0.2">
      <c r="A2636" s="5">
        <v>2575</v>
      </c>
      <c r="B2636" s="138">
        <f>'Acct Summary 7-8'!E20</f>
        <v>-175579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18747</v>
      </c>
      <c r="D2718" s="2" t="str">
        <f t="shared" si="41"/>
        <v>Error?</v>
      </c>
    </row>
    <row r="2719" spans="1:4" x14ac:dyDescent="0.2">
      <c r="A2719" s="5">
        <v>2658</v>
      </c>
      <c r="B2719" s="138">
        <f>'Expenditures 15-22'!D51</f>
        <v>2752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25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21524</v>
      </c>
      <c r="C2724" s="2" t="s">
        <v>573</v>
      </c>
      <c r="D2724" s="2" t="str">
        <f t="shared" si="41"/>
        <v>Error?</v>
      </c>
    </row>
    <row r="2725" spans="1:4" x14ac:dyDescent="0.2">
      <c r="A2725" s="5">
        <v>2664</v>
      </c>
      <c r="B2725" s="138">
        <f>'Expenditures 15-22'!D247</f>
        <v>245</v>
      </c>
      <c r="D2725" s="2" t="str">
        <f t="shared" si="41"/>
        <v>Error?</v>
      </c>
    </row>
    <row r="2726" spans="1:4" x14ac:dyDescent="0.2">
      <c r="A2726" s="5">
        <v>2665</v>
      </c>
      <c r="B2726" s="138">
        <f>'Expenditures 15-22'!K247</f>
        <v>245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86846</v>
      </c>
      <c r="C2789" s="2" t="s">
        <v>573</v>
      </c>
      <c r="D2789" s="2" t="str">
        <f t="shared" si="42"/>
        <v>Error?</v>
      </c>
    </row>
    <row r="2790" spans="1:4" x14ac:dyDescent="0.2">
      <c r="A2790" s="5">
        <v>2729</v>
      </c>
      <c r="B2790" s="138">
        <f>'Expenditures 15-22'!E102</f>
        <v>86846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739189</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739189</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1474133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1602873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21447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21447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1602873</v>
      </c>
      <c r="D2912" s="2" t="str">
        <f t="shared" si="44"/>
        <v>Error?</v>
      </c>
    </row>
    <row r="2913" spans="1:4" x14ac:dyDescent="0.2">
      <c r="A2913" s="5">
        <v>2852</v>
      </c>
      <c r="B2913" s="138">
        <f>'Assets-Liab 5-6'!I41</f>
        <v>1602873</v>
      </c>
      <c r="C2913" s="2" t="s">
        <v>573</v>
      </c>
      <c r="D2913" s="2" t="str">
        <f t="shared" si="44"/>
        <v>Error?</v>
      </c>
    </row>
    <row r="2914" spans="1:4" x14ac:dyDescent="0.2">
      <c r="A2914" s="5">
        <v>2853</v>
      </c>
      <c r="B2914" s="138">
        <f>'Assets-Liab 5-6'!L33</f>
        <v>21447</v>
      </c>
      <c r="D2914" s="2" t="str">
        <f t="shared" si="44"/>
        <v>Error?</v>
      </c>
    </row>
    <row r="2915" spans="1:4" x14ac:dyDescent="0.2">
      <c r="A2915" s="10">
        <v>2854</v>
      </c>
      <c r="D2915" s="2" t="str">
        <f t="shared" si="44"/>
        <v>OK</v>
      </c>
    </row>
    <row r="2916" spans="1:4" x14ac:dyDescent="0.2">
      <c r="A2916" s="5">
        <v>2855</v>
      </c>
      <c r="B2916" s="138">
        <f>'Assets-Liab 5-6'!L34</f>
        <v>21447</v>
      </c>
      <c r="C2916" s="2" t="s">
        <v>573</v>
      </c>
      <c r="D2916" s="2" t="str">
        <f t="shared" si="44"/>
        <v>Error?</v>
      </c>
    </row>
    <row r="2917" spans="1:4" x14ac:dyDescent="0.2">
      <c r="A2917" s="5">
        <v>2856</v>
      </c>
      <c r="B2917" s="138">
        <f>'Assets-Liab 5-6'!L41</f>
        <v>21447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84155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2691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84155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2691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497922</v>
      </c>
      <c r="D2989" s="2" t="str">
        <f t="shared" si="45"/>
        <v>Error?</v>
      </c>
    </row>
    <row r="2990" spans="1:4" x14ac:dyDescent="0.2">
      <c r="A2990" s="5">
        <v>2929</v>
      </c>
      <c r="B2990" s="138">
        <f>'Expenditures 15-22'!E189</f>
        <v>241267</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497922</v>
      </c>
      <c r="C3007" s="2" t="s">
        <v>573</v>
      </c>
      <c r="D3007" s="2" t="str">
        <f t="shared" ref="D3007:D3070" si="46">IF(ISBLANK(B3007),"OK",IF(A3007-B3007=0,"OK","Error?"))</f>
        <v>Error?</v>
      </c>
    </row>
    <row r="3008" spans="1:4" x14ac:dyDescent="0.2">
      <c r="A3008" s="5">
        <v>2947</v>
      </c>
      <c r="B3008" s="138">
        <f>'Expenditures 15-22'!K189</f>
        <v>241267</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231744</v>
      </c>
      <c r="D3055" s="2" t="str">
        <f t="shared" si="46"/>
        <v>Error?</v>
      </c>
    </row>
    <row r="3056" spans="1:4" x14ac:dyDescent="0.2">
      <c r="A3056" s="5">
        <v>2995</v>
      </c>
      <c r="B3056" s="138">
        <f>'Expenditures 15-22'!D10</f>
        <v>49296</v>
      </c>
      <c r="D3056" s="2" t="str">
        <f t="shared" si="46"/>
        <v>Error?</v>
      </c>
    </row>
    <row r="3057" spans="1:4" x14ac:dyDescent="0.2">
      <c r="A3057" s="5">
        <v>2996</v>
      </c>
      <c r="B3057" s="138">
        <f>'Expenditures 15-22'!E10</f>
        <v>8584</v>
      </c>
      <c r="D3057" s="2" t="str">
        <f t="shared" si="46"/>
        <v>Error?</v>
      </c>
    </row>
    <row r="3058" spans="1:4" x14ac:dyDescent="0.2">
      <c r="A3058" s="5">
        <v>2997</v>
      </c>
      <c r="B3058" s="138">
        <f>'Expenditures 15-22'!F10</f>
        <v>78280</v>
      </c>
      <c r="D3058" s="2" t="str">
        <f t="shared" si="46"/>
        <v>Error?</v>
      </c>
    </row>
    <row r="3059" spans="1:4" x14ac:dyDescent="0.2">
      <c r="A3059" s="5">
        <v>2998</v>
      </c>
      <c r="B3059" s="138">
        <f>'Expenditures 15-22'!G10</f>
        <v>3147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371051</v>
      </c>
      <c r="C3062" s="2" t="s">
        <v>573</v>
      </c>
      <c r="D3062" s="2" t="str">
        <f t="shared" si="46"/>
        <v>Error?</v>
      </c>
    </row>
    <row r="3063" spans="1:4" x14ac:dyDescent="0.2">
      <c r="A3063" s="10">
        <v>3002</v>
      </c>
      <c r="D3063" s="2" t="str">
        <f t="shared" si="46"/>
        <v>OK</v>
      </c>
    </row>
    <row r="3064" spans="1:4" x14ac:dyDescent="0.2">
      <c r="A3064" s="5">
        <v>3003</v>
      </c>
      <c r="B3064" s="138">
        <f>'Expenditures 15-22'!D219</f>
        <v>28895</v>
      </c>
      <c r="D3064" s="2" t="str">
        <f t="shared" si="46"/>
        <v>Error?</v>
      </c>
    </row>
    <row r="3065" spans="1:4" x14ac:dyDescent="0.2">
      <c r="A3065" s="5">
        <v>3004</v>
      </c>
      <c r="B3065" s="138">
        <f>'Expenditures 15-22'!K219</f>
        <v>28895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118029</v>
      </c>
      <c r="C3225" s="2" t="s">
        <v>573</v>
      </c>
      <c r="D3225" s="2" t="str">
        <f t="shared" si="49"/>
        <v>Error?</v>
      </c>
    </row>
    <row r="3226" spans="1:4" x14ac:dyDescent="0.2">
      <c r="A3226" s="5">
        <v>3165</v>
      </c>
      <c r="B3226" s="138">
        <f>'Acct Summary 7-8'!I8</f>
        <v>118029</v>
      </c>
      <c r="C3226" s="2" t="s">
        <v>573</v>
      </c>
      <c r="D3226" s="2" t="str">
        <f t="shared" si="49"/>
        <v>Error?</v>
      </c>
    </row>
    <row r="3227" spans="1:4" x14ac:dyDescent="0.2">
      <c r="A3227" s="5">
        <v>3166</v>
      </c>
      <c r="B3227" s="138">
        <f>'Acct Summary 7-8'!I20</f>
        <v>118029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108000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108000</v>
      </c>
      <c r="C3232" s="2" t="s">
        <v>573</v>
      </c>
      <c r="D3232" s="2" t="str">
        <f t="shared" si="49"/>
        <v>Error?</v>
      </c>
    </row>
    <row r="3233" spans="1:4" x14ac:dyDescent="0.2">
      <c r="A3233" s="5">
        <v>3172</v>
      </c>
      <c r="B3233" s="138">
        <f>'Acct Summary 7-8'!C78</f>
        <v>-434116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21000</v>
      </c>
      <c r="C3238" s="2" t="s">
        <v>573</v>
      </c>
      <c r="D3238" s="2" t="str">
        <f t="shared" si="49"/>
        <v>Error?</v>
      </c>
    </row>
    <row r="3239" spans="1:4" x14ac:dyDescent="0.2">
      <c r="A3239" s="5">
        <v>3178</v>
      </c>
      <c r="B3239" s="138">
        <f>'Acct Summary 7-8'!D78</f>
        <v>-19607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-93221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-61571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-175579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129000</v>
      </c>
      <c r="C3318" s="2" t="s">
        <v>573</v>
      </c>
      <c r="D3318" s="2" t="str">
        <f t="shared" si="50"/>
        <v>Error?</v>
      </c>
    </row>
    <row r="3319" spans="1:4" x14ac:dyDescent="0.2">
      <c r="A3319" s="5">
        <v>3258</v>
      </c>
      <c r="B3319" s="138">
        <f>'Acct Summary 7-8'!I77</f>
        <v>-129000</v>
      </c>
      <c r="C3319" s="2" t="s">
        <v>573</v>
      </c>
      <c r="D3319" s="2" t="str">
        <f t="shared" si="50"/>
        <v>Error?</v>
      </c>
    </row>
    <row r="3320" spans="1:4" x14ac:dyDescent="0.2">
      <c r="A3320" s="5">
        <v>3259</v>
      </c>
      <c r="B3320" s="138">
        <f>'Acct Summary 7-8'!I78</f>
        <v>-10971</v>
      </c>
      <c r="C3320" s="2" t="s">
        <v>573</v>
      </c>
      <c r="D3320" s="2" t="str">
        <f t="shared" si="50"/>
        <v>Error?</v>
      </c>
    </row>
    <row r="3321" spans="1:4" x14ac:dyDescent="0.2">
      <c r="A3321" s="5">
        <v>3260</v>
      </c>
      <c r="B3321" s="138">
        <f>'Acct Summary 7-8'!I79</f>
        <v>1613844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1602873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1521839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180433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3895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1710619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54747</v>
      </c>
      <c r="D3387" s="2" t="str">
        <f t="shared" si="51"/>
        <v>Error?</v>
      </c>
    </row>
    <row r="3388" spans="1:4" x14ac:dyDescent="0.2">
      <c r="A3388" s="5">
        <v>3327</v>
      </c>
      <c r="B3388" s="138">
        <f>'Expenditures 15-22'!D217</f>
        <v>83669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54747</v>
      </c>
      <c r="C3390" s="2" t="s">
        <v>573</v>
      </c>
      <c r="D3390" s="2" t="str">
        <f t="shared" si="51"/>
        <v>Error?</v>
      </c>
    </row>
    <row r="3391" spans="1:4" x14ac:dyDescent="0.2">
      <c r="A3391" s="5">
        <v>3330</v>
      </c>
      <c r="B3391" s="138">
        <f>'Expenditures 15-22'!K217</f>
        <v>83669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198480</v>
      </c>
      <c r="C3446" s="2" t="s">
        <v>573</v>
      </c>
      <c r="D3446" s="2" t="str">
        <f t="shared" si="52"/>
        <v>Error?</v>
      </c>
    </row>
    <row r="3447" spans="1:4" x14ac:dyDescent="0.2">
      <c r="A3447" s="5">
        <v>3386</v>
      </c>
      <c r="B3447" s="138">
        <f>'Tax Sched 23'!D16</f>
        <v>139168</v>
      </c>
      <c r="C3447" s="2" t="s">
        <v>573</v>
      </c>
      <c r="D3447" s="2" t="str">
        <f t="shared" si="52"/>
        <v>Error?</v>
      </c>
    </row>
    <row r="3448" spans="1:4" x14ac:dyDescent="0.2">
      <c r="A3448" s="5">
        <v>3387</v>
      </c>
      <c r="B3448" s="138">
        <f>'Tax Sched 23'!C16</f>
        <v>59312</v>
      </c>
      <c r="D3448" s="2" t="str">
        <f t="shared" si="52"/>
        <v>Error?</v>
      </c>
    </row>
    <row r="3449" spans="1:4" x14ac:dyDescent="0.2">
      <c r="A3449" s="5">
        <v>3388</v>
      </c>
      <c r="B3449" s="138">
        <f>'Tax Sched 23'!F16</f>
        <v>140761</v>
      </c>
      <c r="C3449" s="2" t="s">
        <v>573</v>
      </c>
      <c r="D3449" s="2" t="str">
        <f t="shared" si="52"/>
        <v>Error?</v>
      </c>
    </row>
    <row r="3450" spans="1:4" x14ac:dyDescent="0.2">
      <c r="A3450" s="5">
        <v>3389</v>
      </c>
      <c r="B3450" s="138">
        <f>'Tax Sched 23'!E16</f>
        <v>200073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399625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399625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399625</v>
      </c>
      <c r="D3567" s="2" t="str">
        <f t="shared" si="54"/>
        <v>Error?</v>
      </c>
    </row>
    <row r="3568" spans="1:4" x14ac:dyDescent="0.2">
      <c r="A3568" s="5">
        <v>3507</v>
      </c>
      <c r="B3568" s="138">
        <f>'Assets-Liab 5-6'!K41</f>
        <v>399625</v>
      </c>
      <c r="C3568" s="2" t="s">
        <v>573</v>
      </c>
      <c r="D3568" s="2" t="str">
        <f t="shared" si="54"/>
        <v>Error?</v>
      </c>
    </row>
    <row r="3569" spans="1:4" x14ac:dyDescent="0.2">
      <c r="A3569" s="5">
        <v>3508</v>
      </c>
      <c r="B3569" s="138">
        <f>'Acct Summary 7-8'!K4</f>
        <v>110955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110955</v>
      </c>
      <c r="C3571" s="2" t="s">
        <v>573</v>
      </c>
      <c r="D3571" s="2" t="str">
        <f t="shared" si="54"/>
        <v>Error?</v>
      </c>
    </row>
    <row r="3572" spans="1:4" x14ac:dyDescent="0.2">
      <c r="A3572" s="5">
        <v>3511</v>
      </c>
      <c r="B3572" s="138">
        <f>'Acct Summary 7-8'!K13</f>
        <v>187029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187029</v>
      </c>
      <c r="C3575" s="2" t="s">
        <v>573</v>
      </c>
      <c r="D3575" s="2" t="str">
        <f t="shared" si="54"/>
        <v>Error?</v>
      </c>
    </row>
    <row r="3576" spans="1:4" x14ac:dyDescent="0.2">
      <c r="A3576" s="5">
        <v>3515</v>
      </c>
      <c r="B3576" s="138">
        <f>'Acct Summary 7-8'!K20</f>
        <v>-76074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-76074</v>
      </c>
      <c r="C3588" s="2" t="s">
        <v>573</v>
      </c>
      <c r="D3588" s="2" t="str">
        <f t="shared" si="55"/>
        <v>Error?</v>
      </c>
    </row>
    <row r="3589" spans="1:4" x14ac:dyDescent="0.2">
      <c r="A3589" s="5">
        <v>3528</v>
      </c>
      <c r="B3589" s="138">
        <f>'Acct Summary 7-8'!K79</f>
        <v>475699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399625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22787</v>
      </c>
      <c r="D3632" s="2" t="str">
        <f t="shared" si="55"/>
        <v>Error?</v>
      </c>
    </row>
    <row r="3633" spans="1:4" x14ac:dyDescent="0.2">
      <c r="A3633" s="5">
        <v>3572</v>
      </c>
      <c r="B3633" s="138">
        <f>'Expenditures 15-22'!E350</f>
        <v>22787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22787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1096</v>
      </c>
      <c r="D3639" s="2" t="str">
        <f t="shared" si="55"/>
        <v>Error?</v>
      </c>
    </row>
    <row r="3640" spans="1:4" x14ac:dyDescent="0.2">
      <c r="A3640" s="5">
        <v>3579</v>
      </c>
      <c r="B3640" s="138">
        <f>'Expenditures 15-22'!F350</f>
        <v>1096</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1096</v>
      </c>
      <c r="C3642" s="2" t="s">
        <v>573</v>
      </c>
      <c r="D3642" s="2" t="str">
        <f t="shared" si="55"/>
        <v>Error?</v>
      </c>
    </row>
    <row r="3643" spans="1:4" x14ac:dyDescent="0.2">
      <c r="A3643" s="5">
        <v>3582</v>
      </c>
      <c r="B3643" s="138">
        <f>'Expenditures 15-22'!F367</f>
        <v>1096</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163146</v>
      </c>
      <c r="D3646" s="2" t="str">
        <f t="shared" si="55"/>
        <v>Error?</v>
      </c>
    </row>
    <row r="3647" spans="1:4" x14ac:dyDescent="0.2">
      <c r="A3647" s="5">
        <v>3586</v>
      </c>
      <c r="B3647" s="138">
        <f>'Expenditures 15-22'!G350</f>
        <v>163146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163146</v>
      </c>
      <c r="C3649" s="2" t="s">
        <v>573</v>
      </c>
      <c r="D3649" s="2" t="str">
        <f t="shared" si="56"/>
        <v>Error?</v>
      </c>
    </row>
    <row r="3650" spans="1:4" x14ac:dyDescent="0.2">
      <c r="A3650" s="5">
        <v>3589</v>
      </c>
      <c r="B3650" s="138">
        <f>'Expenditures 15-22'!G367</f>
        <v>163146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187029</v>
      </c>
      <c r="C3669" s="2" t="s">
        <v>573</v>
      </c>
      <c r="D3669" s="2" t="str">
        <f t="shared" si="56"/>
        <v>Error?</v>
      </c>
    </row>
    <row r="3670" spans="1:4" x14ac:dyDescent="0.2">
      <c r="A3670" s="5">
        <v>3609</v>
      </c>
      <c r="B3670" s="138">
        <f>'Expenditures 15-22'!K350</f>
        <v>187029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187029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187029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-76074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61830</v>
      </c>
      <c r="C3725" s="2" t="s">
        <v>573</v>
      </c>
      <c r="D3725" s="2" t="str">
        <f t="shared" si="57"/>
        <v>Error?</v>
      </c>
    </row>
    <row r="3726" spans="1:4" x14ac:dyDescent="0.2">
      <c r="A3726" s="5">
        <v>3665</v>
      </c>
      <c r="B3726" s="138">
        <f>'Tax Sched 23'!D13</f>
        <v>26900</v>
      </c>
      <c r="C3726" s="2" t="s">
        <v>573</v>
      </c>
      <c r="D3726" s="2" t="str">
        <f t="shared" si="57"/>
        <v>Error?</v>
      </c>
    </row>
    <row r="3727" spans="1:4" x14ac:dyDescent="0.2">
      <c r="A3727" s="5">
        <v>3666</v>
      </c>
      <c r="B3727" s="138">
        <f>'Tax Sched 23'!C13</f>
        <v>34930</v>
      </c>
      <c r="D3727" s="2" t="str">
        <f t="shared" si="57"/>
        <v>Error?</v>
      </c>
    </row>
    <row r="3728" spans="1:4" x14ac:dyDescent="0.2">
      <c r="A3728" s="5">
        <v>3667</v>
      </c>
      <c r="B3728" s="138">
        <f>'Tax Sched 23'!F13</f>
        <v>82898</v>
      </c>
      <c r="C3728" s="2" t="s">
        <v>573</v>
      </c>
      <c r="D3728" s="2" t="str">
        <f t="shared" si="57"/>
        <v>Error?</v>
      </c>
    </row>
    <row r="3729" spans="1:4" x14ac:dyDescent="0.2">
      <c r="A3729" s="5">
        <v>3668</v>
      </c>
      <c r="B3729" s="138">
        <f>'Tax Sched 23'!E13</f>
        <v>117828</v>
      </c>
      <c r="D3729" s="2" t="str">
        <f t="shared" si="57"/>
        <v>Error?</v>
      </c>
    </row>
    <row r="3730" spans="1:4" x14ac:dyDescent="0.2">
      <c r="A3730" s="5">
        <v>3669</v>
      </c>
      <c r="B3730" s="138">
        <f>'ICR Computation 30'!E10</f>
        <v>382582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5498146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14518875</v>
      </c>
      <c r="C4122" s="2" t="s">
        <v>573</v>
      </c>
      <c r="D4122" s="2" t="str">
        <f t="shared" si="63"/>
        <v>Error?</v>
      </c>
    </row>
    <row r="4123" spans="1:4" x14ac:dyDescent="0.2">
      <c r="A4123" s="5">
        <v>4062</v>
      </c>
      <c r="B4123" s="138">
        <f>'Acct Summary 7-8'!D10</f>
        <v>601906</v>
      </c>
      <c r="C4123" s="2" t="s">
        <v>573</v>
      </c>
      <c r="D4123" s="2" t="str">
        <f t="shared" si="63"/>
        <v>Error?</v>
      </c>
    </row>
    <row r="4124" spans="1:4" x14ac:dyDescent="0.2">
      <c r="A4124" s="5">
        <v>4063</v>
      </c>
      <c r="B4124" s="138">
        <f>'Acct Summary 7-8'!E10</f>
        <v>617701</v>
      </c>
      <c r="C4124" s="2" t="s">
        <v>573</v>
      </c>
      <c r="D4124" s="2" t="str">
        <f t="shared" si="63"/>
        <v>Error?</v>
      </c>
    </row>
    <row r="4125" spans="1:4" x14ac:dyDescent="0.2">
      <c r="A4125" s="5">
        <v>4064</v>
      </c>
      <c r="B4125" s="138">
        <f>'Acct Summary 7-8'!F10</f>
        <v>654663</v>
      </c>
      <c r="C4125" s="2" t="s">
        <v>573</v>
      </c>
      <c r="D4125" s="2" t="str">
        <f t="shared" si="63"/>
        <v>Error?</v>
      </c>
    </row>
    <row r="4126" spans="1:4" x14ac:dyDescent="0.2">
      <c r="A4126" s="5">
        <v>4065</v>
      </c>
      <c r="B4126" s="138">
        <f>'Acct Summary 7-8'!G10</f>
        <v>323898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118029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110955</v>
      </c>
      <c r="C4130" s="2" t="s">
        <v>573</v>
      </c>
      <c r="D4130" s="2" t="str">
        <f t="shared" si="63"/>
        <v>Error?</v>
      </c>
    </row>
    <row r="4131" spans="1:4" x14ac:dyDescent="0.2">
      <c r="A4131" s="5">
        <v>4070</v>
      </c>
      <c r="B4131" s="138">
        <f>'Acct Summary 7-8'!C18</f>
        <v>5498146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15060991</v>
      </c>
      <c r="C4136" s="2" t="s">
        <v>573</v>
      </c>
      <c r="D4136" s="2" t="str">
        <f t="shared" si="63"/>
        <v>Error?</v>
      </c>
    </row>
    <row r="4137" spans="1:4" x14ac:dyDescent="0.2">
      <c r="A4137" s="5">
        <v>4076</v>
      </c>
      <c r="B4137" s="138">
        <f>'Acct Summary 7-8'!D19</f>
        <v>642513</v>
      </c>
      <c r="C4137" s="2" t="s">
        <v>573</v>
      </c>
      <c r="D4137" s="2" t="str">
        <f t="shared" si="63"/>
        <v>Error?</v>
      </c>
    </row>
    <row r="4138" spans="1:4" x14ac:dyDescent="0.2">
      <c r="A4138" s="5">
        <v>4077</v>
      </c>
      <c r="B4138" s="138">
        <f>'Acct Summary 7-8'!E19</f>
        <v>793280</v>
      </c>
      <c r="C4138" s="2" t="s">
        <v>573</v>
      </c>
      <c r="D4138" s="2" t="str">
        <f t="shared" si="63"/>
        <v>Error?</v>
      </c>
    </row>
    <row r="4139" spans="1:4" x14ac:dyDescent="0.2">
      <c r="A4139" s="5">
        <v>4078</v>
      </c>
      <c r="B4139" s="138">
        <f>'Acct Summary 7-8'!F19</f>
        <v>747884</v>
      </c>
      <c r="C4139" s="2" t="s">
        <v>573</v>
      </c>
      <c r="D4139" s="2" t="str">
        <f t="shared" si="63"/>
        <v>Error?</v>
      </c>
    </row>
    <row r="4140" spans="1:4" x14ac:dyDescent="0.2">
      <c r="A4140" s="5">
        <v>4079</v>
      </c>
      <c r="B4140" s="138">
        <f>'Acct Summary 7-8'!G19</f>
        <v>385469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187029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205000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765000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1569.9999999999998</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1940</v>
      </c>
      <c r="C4268" s="2" t="s">
        <v>573</v>
      </c>
      <c r="D4268" s="2" t="str">
        <f t="shared" si="65"/>
        <v>Error?</v>
      </c>
    </row>
    <row r="4269" spans="1:5" x14ac:dyDescent="0.2">
      <c r="A4269" s="12">
        <v>4208</v>
      </c>
      <c r="B4269" s="138">
        <f>'FP Info 3'!J16</f>
        <v>1888882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10773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61339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46917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889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235656843</v>
      </c>
      <c r="D4995" s="2" t="str">
        <f t="shared" si="77"/>
        <v>Error?</v>
      </c>
    </row>
    <row r="4996" spans="1:4" x14ac:dyDescent="0.2">
      <c r="A4996" s="12">
        <v>4935</v>
      </c>
      <c r="B4996" s="138">
        <f>'FP Info 3'!H31</f>
        <v>16260322.167000001</v>
      </c>
      <c r="D4996" s="2" t="str">
        <f t="shared" si="77"/>
        <v>Error?</v>
      </c>
    </row>
    <row r="4997" spans="1:4" x14ac:dyDescent="0.2">
      <c r="A4997" s="12">
        <v>4936</v>
      </c>
      <c r="B4997" s="138">
        <f>'FP Info 3'!H37</f>
        <v>205000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61830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3625735</v>
      </c>
      <c r="D5061" s="2" t="str">
        <f t="shared" si="78"/>
        <v>Error?</v>
      </c>
    </row>
    <row r="5062" spans="1:4" x14ac:dyDescent="0.2">
      <c r="A5062" s="10">
        <v>5001</v>
      </c>
      <c r="D5062" s="2" t="str">
        <f t="shared" si="78"/>
        <v>OK</v>
      </c>
    </row>
    <row r="5063" spans="1:4" x14ac:dyDescent="0.2">
      <c r="A5063" s="5">
        <v>5002</v>
      </c>
      <c r="B5063" s="138">
        <f>'Revenues 9-14'!C7</f>
        <v>46187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3733752</v>
      </c>
      <c r="C5066" s="2" t="s">
        <v>573</v>
      </c>
      <c r="D5066" s="2" t="str">
        <f t="shared" si="78"/>
        <v>Error?</v>
      </c>
    </row>
    <row r="5067" spans="1:4" x14ac:dyDescent="0.2">
      <c r="A5067" s="5">
        <v>5006</v>
      </c>
      <c r="B5067" s="138">
        <f>'Revenues 9-14'!C14</f>
        <v>3975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61951</v>
      </c>
      <c r="D5069" s="2" t="str">
        <f t="shared" si="78"/>
        <v>Error?</v>
      </c>
    </row>
    <row r="5070" spans="1:4" x14ac:dyDescent="0.2">
      <c r="A5070" s="5">
        <v>5009</v>
      </c>
      <c r="B5070" s="138">
        <f>'Revenues 9-14'!C17</f>
        <v>18722</v>
      </c>
      <c r="D5070" s="2" t="str">
        <f t="shared" si="78"/>
        <v>Error?</v>
      </c>
    </row>
    <row r="5071" spans="1:4" x14ac:dyDescent="0.2">
      <c r="A5071" s="5">
        <v>5010</v>
      </c>
      <c r="B5071" s="138">
        <f>'Revenues 9-14'!C18</f>
        <v>84648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94119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94119</v>
      </c>
      <c r="C5087" s="2" t="s">
        <v>573</v>
      </c>
      <c r="D5087" s="2" t="str">
        <f t="shared" si="78"/>
        <v>Error?</v>
      </c>
    </row>
    <row r="5088" spans="1:4" x14ac:dyDescent="0.2">
      <c r="A5088" s="5">
        <v>5027</v>
      </c>
      <c r="B5088" s="138">
        <f>'Revenues 9-14'!C65</f>
        <v>3831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3831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2926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144599</v>
      </c>
      <c r="C5096" s="2" t="s">
        <v>573</v>
      </c>
      <c r="D5096" s="2" t="str">
        <f t="shared" si="78"/>
        <v>Error?</v>
      </c>
    </row>
    <row r="5097" spans="1:4" x14ac:dyDescent="0.2">
      <c r="A5097" s="5">
        <v>5036</v>
      </c>
      <c r="B5097" s="138">
        <f>'Revenues 9-14'!C77</f>
        <v>4680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25312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29992</v>
      </c>
      <c r="C5102" s="2" t="s">
        <v>573</v>
      </c>
      <c r="D5102" s="2" t="str">
        <f t="shared" si="78"/>
        <v>Error?</v>
      </c>
    </row>
    <row r="5103" spans="1:4" x14ac:dyDescent="0.2">
      <c r="A5103" s="5">
        <v>5042</v>
      </c>
      <c r="B5103" s="138">
        <f>'Revenues 9-14'!C84</f>
        <v>39459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418</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39877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177560</v>
      </c>
      <c r="D5118" s="2" t="str">
        <f t="shared" si="78"/>
        <v>Error?</v>
      </c>
    </row>
    <row r="5119" spans="1:4" x14ac:dyDescent="0.2">
      <c r="A5119" s="5">
        <v>5058</v>
      </c>
      <c r="B5119" s="138">
        <f>'Revenues 9-14'!C107</f>
        <v>-448</v>
      </c>
      <c r="D5119" s="2" t="str">
        <f t="shared" ref="D5119:D5182" si="79">IF(ISBLANK(B5119),"OK",IF(A5119-B5119=0,"OK","Error?"))</f>
        <v>Error?</v>
      </c>
    </row>
    <row r="5120" spans="1:4" x14ac:dyDescent="0.2">
      <c r="A5120" s="5">
        <v>5059</v>
      </c>
      <c r="B5120" s="138">
        <f>'Revenues 9-14'!C108</f>
        <v>177512</v>
      </c>
      <c r="C5120" s="2" t="s">
        <v>573</v>
      </c>
      <c r="D5120" s="2" t="str">
        <f t="shared" si="79"/>
        <v>Error?</v>
      </c>
    </row>
    <row r="5121" spans="1:4" x14ac:dyDescent="0.2">
      <c r="A5121" s="5">
        <v>5060</v>
      </c>
      <c r="B5121" s="138">
        <f>'Revenues 9-14'!C109</f>
        <v>4308330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3198796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3198796</v>
      </c>
      <c r="C5132" s="2" t="s">
        <v>573</v>
      </c>
      <c r="D5132" s="2" t="str">
        <f t="shared" si="79"/>
        <v>Error?</v>
      </c>
    </row>
    <row r="5133" spans="1:4" x14ac:dyDescent="0.2">
      <c r="A5133" s="5">
        <v>5072</v>
      </c>
      <c r="B5133" s="138">
        <f>'Revenues 9-14'!C125</f>
        <v>13538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81341</v>
      </c>
      <c r="D5137" s="2" t="str">
        <f t="shared" si="79"/>
        <v>Error?</v>
      </c>
    </row>
    <row r="5138" spans="1:4" x14ac:dyDescent="0.2">
      <c r="A5138" s="10">
        <v>5077</v>
      </c>
      <c r="D5138" s="2" t="str">
        <f t="shared" si="79"/>
        <v>OK</v>
      </c>
    </row>
    <row r="5139" spans="1:4" x14ac:dyDescent="0.2">
      <c r="A5139" s="5">
        <v>5078</v>
      </c>
      <c r="B5139" s="138">
        <f>'Revenues 9-14'!C129</f>
        <v>1772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96651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8165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246325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352030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3550826</v>
      </c>
      <c r="C5223" s="2" t="s">
        <v>573</v>
      </c>
      <c r="D5223" s="2" t="str">
        <f t="shared" si="80"/>
        <v>Error?</v>
      </c>
    </row>
    <row r="5224" spans="1:4" x14ac:dyDescent="0.2">
      <c r="A5224" s="5">
        <v>5163</v>
      </c>
      <c r="B5224" s="138">
        <f>'Revenues 9-14'!C173</f>
        <v>30850</v>
      </c>
      <c r="D5224" s="2" t="str">
        <f t="shared" si="80"/>
        <v>Error?</v>
      </c>
    </row>
    <row r="5225" spans="1:4" x14ac:dyDescent="0.2">
      <c r="A5225" s="5">
        <v>5164</v>
      </c>
      <c r="B5225" s="138">
        <f>'Revenues 9-14'!C175</f>
        <v>30850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335376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445757</v>
      </c>
      <c r="C5246" s="2" t="s">
        <v>573</v>
      </c>
      <c r="D5246" s="2" t="str">
        <f t="shared" si="80"/>
        <v>Error?</v>
      </c>
    </row>
    <row r="5247" spans="1:4" x14ac:dyDescent="0.2">
      <c r="A5247" s="5">
        <v>5186</v>
      </c>
      <c r="B5247" s="138">
        <f>'Revenues 9-14'!C200</f>
        <v>324126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324126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218685</v>
      </c>
      <c r="D5278" s="2" t="str">
        <f t="shared" si="81"/>
        <v>Error?</v>
      </c>
    </row>
    <row r="5279" spans="1:4" x14ac:dyDescent="0.2">
      <c r="A5279" s="5">
        <v>5218</v>
      </c>
      <c r="B5279" s="138">
        <f>'Revenues 9-14'!C214</f>
        <v>23126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241811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1130723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1161573</v>
      </c>
      <c r="C5326" s="2" t="s">
        <v>573</v>
      </c>
      <c r="D5326" s="2" t="str">
        <f t="shared" si="82"/>
        <v>Error?</v>
      </c>
    </row>
    <row r="5327" spans="1:5" x14ac:dyDescent="0.2">
      <c r="A5327" s="5">
        <v>5266</v>
      </c>
      <c r="B5327" s="138">
        <f>'Revenues 9-14'!C268</f>
        <v>9020729</v>
      </c>
      <c r="C5327" s="2" t="s">
        <v>573</v>
      </c>
      <c r="D5327" s="2" t="str">
        <f t="shared" si="82"/>
        <v>Error?</v>
      </c>
    </row>
    <row r="5328" spans="1:5" x14ac:dyDescent="0.2">
      <c r="A5328" s="5">
        <v>5267</v>
      </c>
      <c r="B5328" s="138">
        <f>'Revenues 9-14'!D5</f>
        <v>577348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577348</v>
      </c>
      <c r="C5334" s="2" t="s">
        <v>573</v>
      </c>
      <c r="D5334" s="2" t="str">
        <f t="shared" si="82"/>
        <v>Error?</v>
      </c>
    </row>
    <row r="5335" spans="1:4" x14ac:dyDescent="0.2">
      <c r="A5335" s="5">
        <v>5274</v>
      </c>
      <c r="B5335" s="138">
        <f>'Revenues 9-14'!D14</f>
        <v>618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618</v>
      </c>
      <c r="C5339" s="2" t="s">
        <v>573</v>
      </c>
      <c r="D5339" s="2" t="str">
        <f t="shared" si="82"/>
        <v>Error?</v>
      </c>
    </row>
    <row r="5340" spans="1:4" x14ac:dyDescent="0.2">
      <c r="A5340" s="5">
        <v>5279</v>
      </c>
      <c r="B5340" s="138">
        <f>'Revenues 9-14'!D65</f>
        <v>769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7682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15489</v>
      </c>
      <c r="D5354" s="2" t="str">
        <f t="shared" si="82"/>
        <v>Error?</v>
      </c>
    </row>
    <row r="5355" spans="1:4" x14ac:dyDescent="0.2">
      <c r="A5355" s="5">
        <v>5294</v>
      </c>
      <c r="B5355" s="138">
        <f>'Revenues 9-14'!D108</f>
        <v>23171</v>
      </c>
      <c r="C5355" s="2" t="s">
        <v>573</v>
      </c>
      <c r="D5355" s="2" t="str">
        <f t="shared" si="82"/>
        <v>Error?</v>
      </c>
    </row>
    <row r="5356" spans="1:4" x14ac:dyDescent="0.2">
      <c r="A5356" s="5">
        <v>5295</v>
      </c>
      <c r="B5356" s="138">
        <f>'Revenues 9-14'!D109</f>
        <v>601906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601906</v>
      </c>
      <c r="C5508" s="2" t="s">
        <v>573</v>
      </c>
      <c r="D5508" s="2" t="str">
        <f t="shared" si="85"/>
        <v>Error?</v>
      </c>
    </row>
    <row r="5509" spans="1:4" x14ac:dyDescent="0.2">
      <c r="A5509" s="5">
        <v>5448</v>
      </c>
      <c r="B5509" s="138">
        <f>'Revenues 9-14'!E5</f>
        <v>613169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613169</v>
      </c>
      <c r="C5513" s="2" t="s">
        <v>573</v>
      </c>
      <c r="D5513" s="2" t="str">
        <f t="shared" si="85"/>
        <v>Error?</v>
      </c>
    </row>
    <row r="5514" spans="1:4" x14ac:dyDescent="0.2">
      <c r="A5514" s="5">
        <v>5453</v>
      </c>
      <c r="B5514" s="138">
        <f>'Revenues 9-14'!E14</f>
        <v>847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847</v>
      </c>
      <c r="C5518" s="2" t="s">
        <v>573</v>
      </c>
      <c r="D5518" s="2" t="str">
        <f t="shared" si="85"/>
        <v>Error?</v>
      </c>
    </row>
    <row r="5519" spans="1:4" x14ac:dyDescent="0.2">
      <c r="A5519" s="5">
        <v>5458</v>
      </c>
      <c r="B5519" s="138">
        <f>'Revenues 9-14'!E65</f>
        <v>3685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3685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617701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617701</v>
      </c>
      <c r="C5552" s="2" t="s">
        <v>573</v>
      </c>
      <c r="D5552" s="2" t="str">
        <f t="shared" si="85"/>
        <v>Error?</v>
      </c>
    </row>
    <row r="5553" spans="1:4" x14ac:dyDescent="0.2">
      <c r="A5553" s="5">
        <v>5492</v>
      </c>
      <c r="B5553" s="138">
        <f>'Revenues 9-14'!F5</f>
        <v>277127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277127</v>
      </c>
      <c r="C5557" s="2" t="s">
        <v>573</v>
      </c>
      <c r="D5557" s="2" t="str">
        <f t="shared" si="85"/>
        <v>Error?</v>
      </c>
    </row>
    <row r="5558" spans="1:4" x14ac:dyDescent="0.2">
      <c r="A5558" s="5">
        <v>5497</v>
      </c>
      <c r="B5558" s="138">
        <f>'Revenues 9-14'!F14</f>
        <v>297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297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172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277596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196002</v>
      </c>
      <c r="D5615" s="2" t="str">
        <f t="shared" si="86"/>
        <v>Error?</v>
      </c>
    </row>
    <row r="5616" spans="1:4" x14ac:dyDescent="0.2">
      <c r="A5616" s="10">
        <v>5555</v>
      </c>
      <c r="D5616" s="2" t="str">
        <f t="shared" si="86"/>
        <v>OK</v>
      </c>
    </row>
    <row r="5617" spans="1:5" x14ac:dyDescent="0.2">
      <c r="A5617" s="5">
        <v>5556</v>
      </c>
      <c r="B5617" s="138">
        <f>'Revenues 9-14'!F153</f>
        <v>181065</v>
      </c>
      <c r="D5617" s="2" t="str">
        <f t="shared" si="86"/>
        <v>Error?</v>
      </c>
    </row>
    <row r="5618" spans="1:5" x14ac:dyDescent="0.2">
      <c r="A5618" s="5">
        <v>5557</v>
      </c>
      <c r="B5618" s="138">
        <f>'Revenues 9-14'!F155</f>
        <v>377067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377067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377067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654663</v>
      </c>
      <c r="C5720" s="2" t="s">
        <v>573</v>
      </c>
      <c r="D5720" s="2" t="str">
        <f t="shared" si="88"/>
        <v>Error?</v>
      </c>
    </row>
    <row r="5721" spans="1:4" x14ac:dyDescent="0.2">
      <c r="A5721" s="5">
        <v>5660</v>
      </c>
      <c r="B5721" s="138">
        <f>'Revenues 9-14'!G5</f>
        <v>109137</v>
      </c>
      <c r="D5721" s="2" t="str">
        <f t="shared" si="88"/>
        <v>Error?</v>
      </c>
    </row>
    <row r="5722" spans="1:4" x14ac:dyDescent="0.2">
      <c r="A5722" s="5">
        <v>5661</v>
      </c>
      <c r="B5722" s="138">
        <f>'Revenues 9-14'!G7</f>
        <v>0</v>
      </c>
      <c r="D5722" s="2" t="str">
        <f t="shared" si="88"/>
        <v>Error?</v>
      </c>
    </row>
    <row r="5723" spans="1:4" x14ac:dyDescent="0.2">
      <c r="A5723" s="5">
        <v>5662</v>
      </c>
      <c r="B5723" s="138">
        <f>'Revenues 9-14'!G8</f>
        <v>198480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307617</v>
      </c>
      <c r="C5725" s="2" t="s">
        <v>573</v>
      </c>
      <c r="D5725" s="2" t="str">
        <f t="shared" si="88"/>
        <v>Error?</v>
      </c>
    </row>
    <row r="5726" spans="1:4" x14ac:dyDescent="0.2">
      <c r="A5726" s="5">
        <v>5665</v>
      </c>
      <c r="B5726" s="138">
        <f>'Revenues 9-14'!G14</f>
        <v>332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15332</v>
      </c>
      <c r="C5730" s="2" t="s">
        <v>573</v>
      </c>
      <c r="D5730" s="2" t="str">
        <f t="shared" si="88"/>
        <v>Error?</v>
      </c>
    </row>
    <row r="5731" spans="1:4" x14ac:dyDescent="0.2">
      <c r="A5731" s="5">
        <v>5670</v>
      </c>
      <c r="B5731" s="138">
        <f>'Revenues 9-14'!G65</f>
        <v>949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949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323898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115467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115467</v>
      </c>
      <c r="C5918" s="2" t="s">
        <v>573</v>
      </c>
      <c r="D5918" s="2" t="str">
        <f t="shared" si="91"/>
        <v>Error?</v>
      </c>
    </row>
    <row r="5919" spans="1:4" x14ac:dyDescent="0.2">
      <c r="A5919" s="5">
        <v>5858</v>
      </c>
      <c r="B5919" s="138">
        <f>'Revenues 9-14'!I14</f>
        <v>124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124</v>
      </c>
      <c r="C5923" s="2" t="s">
        <v>573</v>
      </c>
      <c r="D5923" s="2" t="str">
        <f t="shared" si="91"/>
        <v>Error?</v>
      </c>
    </row>
    <row r="5924" spans="1:4" x14ac:dyDescent="0.2">
      <c r="A5924" s="5">
        <v>5863</v>
      </c>
      <c r="B5924" s="138">
        <f>'Revenues 9-14'!I65</f>
        <v>2438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2438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118029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109137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109137</v>
      </c>
      <c r="C5987" s="2" t="s">
        <v>573</v>
      </c>
      <c r="D5987" s="2" t="str">
        <f t="shared" si="92"/>
        <v>Error?</v>
      </c>
    </row>
    <row r="5988" spans="1:4" x14ac:dyDescent="0.2">
      <c r="A5988" s="5">
        <v>5927</v>
      </c>
      <c r="B5988" s="138">
        <f>'Revenues 9-14'!K14</f>
        <v>118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118</v>
      </c>
      <c r="C5992" s="2" t="s">
        <v>573</v>
      </c>
      <c r="D5992" s="2" t="str">
        <f t="shared" si="92"/>
        <v>Error?</v>
      </c>
    </row>
    <row r="5993" spans="1:4" x14ac:dyDescent="0.2">
      <c r="A5993" s="5">
        <v>5932</v>
      </c>
      <c r="B5993" s="138">
        <f>'Revenues 9-14'!K65</f>
        <v>1700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110955</v>
      </c>
      <c r="C6023" s="2" t="s">
        <v>573</v>
      </c>
      <c r="D6023" s="2" t="str">
        <f t="shared" si="93"/>
        <v>Error?</v>
      </c>
    </row>
    <row r="6024" spans="1:5" x14ac:dyDescent="0.2">
      <c r="A6024" s="5">
        <v>5963</v>
      </c>
      <c r="B6024" s="138">
        <f>'Revenues 9-14'!G109</f>
        <v>323898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118029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110955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141673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46861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1144.0999999999999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128740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214350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63562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65178</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214350</v>
      </c>
      <c r="D6215" s="2" t="str">
        <f t="shared" si="96"/>
        <v>Error?</v>
      </c>
      <c r="E6215" s="2" t="s">
        <v>190</v>
      </c>
    </row>
    <row r="6216" spans="1:5" x14ac:dyDescent="0.2">
      <c r="A6216">
        <v>6155</v>
      </c>
      <c r="B6216" s="138">
        <f>'Assets-Liab 5-6'!J41</f>
        <v>214350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214350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508515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508515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508515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869028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869028</v>
      </c>
      <c r="D6229" s="2" t="str">
        <f t="shared" si="96"/>
        <v>Error?</v>
      </c>
      <c r="E6229" s="2" t="s">
        <v>190</v>
      </c>
    </row>
    <row r="6230" spans="1:5" x14ac:dyDescent="0.2">
      <c r="A6230">
        <v>6169</v>
      </c>
      <c r="B6230" s="138">
        <f>'Acct Summary 7-8'!J20</f>
        <v>-360513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-360513</v>
      </c>
      <c r="D6263" s="2" t="str">
        <f t="shared" si="96"/>
        <v>Error?</v>
      </c>
      <c r="E6263" s="2" t="s">
        <v>190</v>
      </c>
    </row>
    <row r="6264" spans="1:5" x14ac:dyDescent="0.2">
      <c r="A6264">
        <v>6203</v>
      </c>
      <c r="B6264" s="138">
        <f>'Acct Summary 7-8'!J79</f>
        <v>574863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214350</v>
      </c>
      <c r="D6266" s="2" t="str">
        <f t="shared" si="96"/>
        <v>Error?</v>
      </c>
      <c r="E6266" s="2" t="s">
        <v>190</v>
      </c>
    </row>
    <row r="6267" spans="1:5" x14ac:dyDescent="0.2">
      <c r="A6267">
        <v>6206</v>
      </c>
      <c r="B6267" s="138">
        <f>'Acct Summary 7-8'!C82</f>
        <v>-434116</v>
      </c>
      <c r="D6267" s="2" t="str">
        <f t="shared" si="96"/>
        <v>Error?</v>
      </c>
      <c r="E6267" s="2" t="s">
        <v>190</v>
      </c>
    </row>
    <row r="6268" spans="1:5" x14ac:dyDescent="0.2">
      <c r="A6268">
        <v>6207</v>
      </c>
      <c r="B6268" s="138">
        <f>'Acct Summary 7-8'!D82</f>
        <v>-19607</v>
      </c>
      <c r="D6268" s="2" t="str">
        <f t="shared" si="96"/>
        <v>Error?</v>
      </c>
      <c r="E6268" s="2" t="s">
        <v>190</v>
      </c>
    </row>
    <row r="6269" spans="1:5" x14ac:dyDescent="0.2">
      <c r="A6269">
        <v>6208</v>
      </c>
      <c r="B6269" s="138">
        <f>'Acct Summary 7-8'!E82</f>
        <v>-175579</v>
      </c>
      <c r="D6269" s="2" t="str">
        <f t="shared" si="96"/>
        <v>Error?</v>
      </c>
      <c r="E6269" s="2" t="s">
        <v>190</v>
      </c>
    </row>
    <row r="6270" spans="1:5" x14ac:dyDescent="0.2">
      <c r="A6270">
        <v>6209</v>
      </c>
      <c r="B6270" s="138">
        <f>'Acct Summary 7-8'!F82</f>
        <v>-93221</v>
      </c>
      <c r="D6270" s="2" t="str">
        <f t="shared" si="96"/>
        <v>Error?</v>
      </c>
      <c r="E6270" s="2" t="s">
        <v>190</v>
      </c>
    </row>
    <row r="6271" spans="1:5" x14ac:dyDescent="0.2">
      <c r="A6271">
        <v>6210</v>
      </c>
      <c r="B6271" s="138">
        <f>'Acct Summary 7-8'!G82</f>
        <v>-61571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-10971</v>
      </c>
      <c r="D6273" s="2" t="str">
        <f t="shared" si="97"/>
        <v>Error?</v>
      </c>
      <c r="E6273" s="2" t="s">
        <v>190</v>
      </c>
    </row>
    <row r="6274" spans="1:5" x14ac:dyDescent="0.2">
      <c r="A6274">
        <v>6213</v>
      </c>
      <c r="B6274" s="138">
        <f>'Acct Summary 7-8'!J82</f>
        <v>-360513</v>
      </c>
      <c r="D6274" s="2" t="str">
        <f t="shared" si="97"/>
        <v>Error?</v>
      </c>
      <c r="E6274" s="2" t="s">
        <v>190</v>
      </c>
    </row>
    <row r="6275" spans="1:5" x14ac:dyDescent="0.2">
      <c r="A6275">
        <v>6214</v>
      </c>
      <c r="B6275" s="138">
        <f>'Acct Summary 7-8'!K82</f>
        <v>-76074</v>
      </c>
      <c r="D6275" s="2" t="str">
        <f t="shared" si="97"/>
        <v>Error?</v>
      </c>
      <c r="E6275" s="2" t="s">
        <v>190</v>
      </c>
    </row>
    <row r="6276" spans="1:5" x14ac:dyDescent="0.2">
      <c r="A6276">
        <v>6215</v>
      </c>
      <c r="B6276" s="138">
        <f>'Acct Summary 7-8'!C83</f>
        <v>-1.5831920146752589</v>
      </c>
      <c r="D6276" s="2" t="str">
        <f t="shared" si="97"/>
        <v>Error?</v>
      </c>
      <c r="E6276" s="2" t="s">
        <v>190</v>
      </c>
    </row>
    <row r="6277" spans="1:5" x14ac:dyDescent="0.2">
      <c r="A6277">
        <v>6216</v>
      </c>
      <c r="B6277" s="138">
        <f>'Acct Summary 7-8'!D83</f>
        <v>-0.26468047193498745</v>
      </c>
      <c r="D6277" s="2" t="str">
        <f t="shared" si="97"/>
        <v>Error?</v>
      </c>
      <c r="E6277" s="2" t="s">
        <v>190</v>
      </c>
    </row>
    <row r="6278" spans="1:5" x14ac:dyDescent="0.2">
      <c r="A6278">
        <v>6217</v>
      </c>
      <c r="B6278" s="138">
        <f>'Acct Summary 7-8'!E83</f>
        <v>-0.49251323998025226</v>
      </c>
      <c r="D6278" s="2" t="str">
        <f t="shared" si="97"/>
        <v>Error?</v>
      </c>
      <c r="E6278" s="2" t="s">
        <v>190</v>
      </c>
    </row>
    <row r="6279" spans="1:5" x14ac:dyDescent="0.2">
      <c r="A6279">
        <v>6218</v>
      </c>
      <c r="B6279" s="138">
        <f>'Acct Summary 7-8'!F83</f>
        <v>1.496997045220966</v>
      </c>
      <c r="D6279" s="2" t="str">
        <f t="shared" si="97"/>
        <v>Error?</v>
      </c>
      <c r="E6279" s="2" t="s">
        <v>190</v>
      </c>
    </row>
    <row r="6280" spans="1:5" x14ac:dyDescent="0.2">
      <c r="A6280">
        <v>6219</v>
      </c>
      <c r="B6280" s="138">
        <f>'Acct Summary 7-8'!G83</f>
        <v>-0.48806220968023212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-6.8445846926113302E-3</v>
      </c>
      <c r="D6282" s="2" t="str">
        <f t="shared" si="97"/>
        <v>Error?</v>
      </c>
      <c r="E6282" s="2" t="s">
        <v>190</v>
      </c>
    </row>
    <row r="6283" spans="1:5" x14ac:dyDescent="0.2">
      <c r="A6283">
        <v>6222</v>
      </c>
      <c r="B6283" s="138">
        <f>'Acct Summary 7-8'!J83</f>
        <v>-1.6818894331700489</v>
      </c>
      <c r="D6283" s="2" t="str">
        <f t="shared" si="97"/>
        <v>Error?</v>
      </c>
      <c r="E6283" s="2" t="s">
        <v>190</v>
      </c>
    </row>
    <row r="6284" spans="1:5" x14ac:dyDescent="0.2">
      <c r="A6284">
        <v>6223</v>
      </c>
      <c r="B6284" s="138">
        <f>'Acct Summary 7-8'!K83</f>
        <v>-0.19036346574913982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505943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505943</v>
      </c>
      <c r="D6301" s="2" t="str">
        <f t="shared" si="97"/>
        <v>Error?</v>
      </c>
      <c r="E6301" s="2" t="s">
        <v>190</v>
      </c>
    </row>
    <row r="6302" spans="1:5" x14ac:dyDescent="0.2">
      <c r="A6302">
        <v>6241</v>
      </c>
      <c r="B6302" s="138">
        <f>'Revenues 9-14'!J14</f>
        <v>545</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545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2027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2027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508515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110381</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151246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169715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34096</v>
      </c>
      <c r="D6880" s="2" t="str">
        <f t="shared" si="106"/>
        <v>Error?</v>
      </c>
    </row>
    <row r="6881" spans="1:4" x14ac:dyDescent="0.2">
      <c r="A6881">
        <v>6820</v>
      </c>
      <c r="B6881" s="138">
        <f>'Expenditures 15-22'!K22</f>
        <v>34096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25935</v>
      </c>
      <c r="D6981" s="2" t="str">
        <f t="shared" si="108"/>
        <v>Error?</v>
      </c>
    </row>
    <row r="6982" spans="1:4" x14ac:dyDescent="0.2">
      <c r="A6982">
        <v>6921</v>
      </c>
      <c r="B6982" s="138">
        <f>'Expenditures 15-22'!K85</f>
        <v>25935</v>
      </c>
      <c r="D6982" s="2" t="str">
        <f t="shared" si="108"/>
        <v>Error?</v>
      </c>
    </row>
    <row r="6983" spans="1:4" x14ac:dyDescent="0.2">
      <c r="A6983">
        <v>6922</v>
      </c>
      <c r="B6983" s="138">
        <f>'Expenditures 15-22'!H86</f>
        <v>267401</v>
      </c>
      <c r="D6983" s="2" t="str">
        <f t="shared" si="108"/>
        <v>Error?</v>
      </c>
    </row>
    <row r="6984" spans="1:4" x14ac:dyDescent="0.2">
      <c r="A6984">
        <v>6923</v>
      </c>
      <c r="B6984" s="138">
        <f>'Expenditures 15-22'!K86</f>
        <v>267401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293336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869028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508515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7401</v>
      </c>
      <c r="D7073" s="2" t="str">
        <f t="shared" si="109"/>
        <v>Error?</v>
      </c>
    </row>
    <row r="7074" spans="1:4" x14ac:dyDescent="0.2">
      <c r="A7074">
        <v>7013</v>
      </c>
      <c r="B7074" s="138">
        <f>'Expenditures 15-22'!K216</f>
        <v>7401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60405</v>
      </c>
      <c r="D7093" s="2" t="str">
        <f t="shared" si="109"/>
        <v>Error?</v>
      </c>
    </row>
    <row r="7094" spans="1:4" x14ac:dyDescent="0.2">
      <c r="A7094">
        <v>7033</v>
      </c>
      <c r="B7094" s="138">
        <f>'Expenditures 15-22'!K254</f>
        <v>60405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105491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105491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477406</v>
      </c>
      <c r="D7172" s="2" t="str">
        <f t="shared" si="111"/>
        <v>Error?</v>
      </c>
    </row>
    <row r="7173" spans="1:4" x14ac:dyDescent="0.2">
      <c r="A7173">
        <v>7112</v>
      </c>
      <c r="B7173" s="138">
        <f>'Expenditures 15-22'!D325</f>
        <v>78215</v>
      </c>
      <c r="D7173" s="2" t="str">
        <f t="shared" si="111"/>
        <v>Error?</v>
      </c>
    </row>
    <row r="7174" spans="1:4" x14ac:dyDescent="0.2">
      <c r="A7174">
        <v>7113</v>
      </c>
      <c r="B7174" s="138">
        <f>'Expenditures 15-22'!E325</f>
        <v>60396</v>
      </c>
      <c r="D7174" s="2" t="str">
        <f t="shared" si="111"/>
        <v>Error?</v>
      </c>
    </row>
    <row r="7175" spans="1:4" x14ac:dyDescent="0.2">
      <c r="A7175">
        <v>7114</v>
      </c>
      <c r="B7175" s="138">
        <f>'Expenditures 15-22'!F325</f>
        <v>24060</v>
      </c>
      <c r="D7175" s="2" t="str">
        <f t="shared" si="111"/>
        <v>Error?</v>
      </c>
    </row>
    <row r="7176" spans="1:4" x14ac:dyDescent="0.2">
      <c r="A7176">
        <v>7115</v>
      </c>
      <c r="B7176" s="138">
        <f>'Expenditures 15-22'!G325</f>
        <v>32170</v>
      </c>
      <c r="D7176" s="2" t="str">
        <f t="shared" si="111"/>
        <v>Error?</v>
      </c>
    </row>
    <row r="7177" spans="1:4" x14ac:dyDescent="0.2">
      <c r="A7177">
        <v>7116</v>
      </c>
      <c r="B7177" s="138">
        <f>'Expenditures 15-22'!H325</f>
        <v>360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672607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4900</v>
      </c>
      <c r="D7198" s="2" t="str">
        <f t="shared" si="111"/>
        <v>Error?</v>
      </c>
    </row>
    <row r="7199" spans="1:4" x14ac:dyDescent="0.2">
      <c r="A7199">
        <v>7138</v>
      </c>
      <c r="B7199" s="138">
        <f>'Expenditures 15-22'!C330</f>
        <v>477406</v>
      </c>
      <c r="D7199" s="2" t="str">
        <f t="shared" si="111"/>
        <v>Error?</v>
      </c>
    </row>
    <row r="7200" spans="1:4" x14ac:dyDescent="0.2">
      <c r="A7200">
        <v>7139</v>
      </c>
      <c r="B7200" s="138">
        <f>'Expenditures 15-22'!D330</f>
        <v>78215</v>
      </c>
      <c r="D7200" s="2" t="str">
        <f t="shared" si="111"/>
        <v>Error?</v>
      </c>
    </row>
    <row r="7201" spans="1:4" x14ac:dyDescent="0.2">
      <c r="A7201">
        <v>7140</v>
      </c>
      <c r="B7201" s="138">
        <f>'Expenditures 15-22'!E330</f>
        <v>256817</v>
      </c>
      <c r="D7201" s="2" t="str">
        <f t="shared" si="111"/>
        <v>Error?</v>
      </c>
    </row>
    <row r="7202" spans="1:4" x14ac:dyDescent="0.2">
      <c r="A7202">
        <v>7141</v>
      </c>
      <c r="B7202" s="138">
        <f>'Expenditures 15-22'!F330</f>
        <v>24060</v>
      </c>
      <c r="D7202" s="2" t="str">
        <f t="shared" si="111"/>
        <v>Error?</v>
      </c>
    </row>
    <row r="7203" spans="1:4" x14ac:dyDescent="0.2">
      <c r="A7203">
        <v>7142</v>
      </c>
      <c r="B7203" s="138">
        <f>'Expenditures 15-22'!G330</f>
        <v>32170</v>
      </c>
      <c r="D7203" s="2" t="str">
        <f t="shared" si="111"/>
        <v>Error?</v>
      </c>
    </row>
    <row r="7204" spans="1:4" x14ac:dyDescent="0.2">
      <c r="A7204">
        <v>7143</v>
      </c>
      <c r="B7204" s="138">
        <f>'Expenditures 15-22'!H330</f>
        <v>360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869028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477406</v>
      </c>
      <c r="D7216" s="2" t="str">
        <f t="shared" si="111"/>
        <v>Error?</v>
      </c>
    </row>
    <row r="7217" spans="1:4" x14ac:dyDescent="0.2">
      <c r="A7217">
        <v>7156</v>
      </c>
      <c r="B7217" s="138">
        <f>'Expenditures 15-22'!D342</f>
        <v>78215</v>
      </c>
      <c r="D7217" s="2" t="str">
        <f t="shared" si="111"/>
        <v>Error?</v>
      </c>
    </row>
    <row r="7218" spans="1:4" x14ac:dyDescent="0.2">
      <c r="A7218">
        <v>7157</v>
      </c>
      <c r="B7218" s="138">
        <f>'Expenditures 15-22'!E342</f>
        <v>256817</v>
      </c>
      <c r="D7218" s="2" t="str">
        <f t="shared" si="111"/>
        <v>Error?</v>
      </c>
    </row>
    <row r="7219" spans="1:4" x14ac:dyDescent="0.2">
      <c r="A7219">
        <v>7158</v>
      </c>
      <c r="B7219" s="138">
        <f>'Expenditures 15-22'!F342</f>
        <v>24060</v>
      </c>
      <c r="D7219" s="2" t="str">
        <f t="shared" si="111"/>
        <v>Error?</v>
      </c>
    </row>
    <row r="7220" spans="1:4" x14ac:dyDescent="0.2">
      <c r="A7220">
        <v>7159</v>
      </c>
      <c r="B7220" s="138">
        <f>'Expenditures 15-22'!G342</f>
        <v>32170</v>
      </c>
      <c r="D7220" s="2" t="str">
        <f t="shared" si="111"/>
        <v>Error?</v>
      </c>
    </row>
    <row r="7221" spans="1:4" x14ac:dyDescent="0.2">
      <c r="A7221">
        <v>7160</v>
      </c>
      <c r="B7221" s="138">
        <f>'Expenditures 15-22'!H342</f>
        <v>360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869028</v>
      </c>
      <c r="D7224" s="2" t="str">
        <f t="shared" si="111"/>
        <v>Error?</v>
      </c>
    </row>
    <row r="7225" spans="1:4" x14ac:dyDescent="0.2">
      <c r="A7225">
        <v>7164</v>
      </c>
      <c r="B7225" s="138">
        <f>'Expenditures 15-22'!K343</f>
        <v>-360513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12255</v>
      </c>
      <c r="D7246" s="2" t="str">
        <f t="shared" si="112"/>
        <v>Error?</v>
      </c>
    </row>
    <row r="7247" spans="1:4" x14ac:dyDescent="0.2">
      <c r="A7247">
        <f t="shared" si="113"/>
        <v>7186</v>
      </c>
      <c r="B7247" s="138">
        <f>'Expenditures 15-22'!E7</f>
        <v>738</v>
      </c>
      <c r="D7247" s="2" t="str">
        <f t="shared" si="112"/>
        <v>Error?</v>
      </c>
    </row>
    <row r="7248" spans="1:4" x14ac:dyDescent="0.2">
      <c r="A7248">
        <f t="shared" si="113"/>
        <v>7187</v>
      </c>
      <c r="B7248" s="138">
        <f>'Expenditures 15-22'!F7</f>
        <v>5476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465296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86030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86030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46187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108000</v>
      </c>
      <c r="D7748" s="2" t="str">
        <f t="shared" si="127"/>
        <v>Error?</v>
      </c>
      <c r="E7748" s="4" t="s">
        <v>1333</v>
      </c>
    </row>
    <row r="7749" spans="1:6" x14ac:dyDescent="0.2">
      <c r="A7749">
        <v>7688</v>
      </c>
      <c r="B7749" s="138">
        <f>'Acct Summary 7-8'!D25</f>
        <v>21000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1834</v>
      </c>
    </row>
    <row r="7775" spans="1:5" x14ac:dyDescent="0.2">
      <c r="A7775">
        <v>7714</v>
      </c>
      <c r="B7775" s="138">
        <f>'Expenditures 15-22'!H133</f>
        <v>0</v>
      </c>
      <c r="D7775" s="2" t="str">
        <f t="shared" si="127"/>
        <v>Error?</v>
      </c>
      <c r="E7775" s="4" t="s">
        <v>1834</v>
      </c>
    </row>
    <row r="7776" spans="1:5" x14ac:dyDescent="0.2">
      <c r="A7776">
        <v>7715</v>
      </c>
      <c r="B7776" s="138">
        <f>'Expenditures 15-22'!K133</f>
        <v>0</v>
      </c>
      <c r="D7776" s="2" t="str">
        <f t="shared" si="127"/>
        <v>Error?</v>
      </c>
      <c r="E7776" s="4" t="s">
        <v>1834</v>
      </c>
    </row>
    <row r="7777" spans="1:5" x14ac:dyDescent="0.2">
      <c r="A7777">
        <v>7716</v>
      </c>
      <c r="B7777" s="138">
        <f>'Expenditures 15-22'!H157</f>
        <v>0</v>
      </c>
      <c r="D7777" s="2" t="str">
        <f t="shared" si="127"/>
        <v>Error?</v>
      </c>
      <c r="E7777" s="4" t="s">
        <v>1834</v>
      </c>
    </row>
    <row r="7778" spans="1:5" x14ac:dyDescent="0.2">
      <c r="A7778">
        <v>7717</v>
      </c>
      <c r="B7778" s="138">
        <f>'Expenditures 15-22'!K157</f>
        <v>0</v>
      </c>
      <c r="D7778" s="2" t="str">
        <f t="shared" si="127"/>
        <v>Error?</v>
      </c>
      <c r="E7778" s="4" t="s">
        <v>1834</v>
      </c>
    </row>
    <row r="7779" spans="1:5" x14ac:dyDescent="0.2">
      <c r="A7779">
        <v>7718</v>
      </c>
      <c r="B7779" s="138">
        <f>'Expenditures 15-22'!H158</f>
        <v>0</v>
      </c>
      <c r="D7779" s="2" t="str">
        <f t="shared" si="127"/>
        <v>Error?</v>
      </c>
      <c r="E7779" s="4" t="s">
        <v>1834</v>
      </c>
    </row>
    <row r="7780" spans="1:5" x14ac:dyDescent="0.2">
      <c r="A7780">
        <v>7719</v>
      </c>
      <c r="B7780" s="138">
        <f>'Expenditures 15-22'!K158</f>
        <v>0</v>
      </c>
      <c r="D7780" s="2" t="str">
        <f t="shared" si="127"/>
        <v>Error?</v>
      </c>
      <c r="E7780" s="4" t="s">
        <v>1834</v>
      </c>
    </row>
    <row r="7781" spans="1:5" x14ac:dyDescent="0.2">
      <c r="A7781">
        <v>7720</v>
      </c>
      <c r="B7781" s="138">
        <f>'Expenditures 15-22'!H159</f>
        <v>0</v>
      </c>
      <c r="D7781" s="2" t="str">
        <f t="shared" si="127"/>
        <v>Error?</v>
      </c>
      <c r="E7781" s="4" t="s">
        <v>1834</v>
      </c>
    </row>
    <row r="7782" spans="1:5" x14ac:dyDescent="0.2">
      <c r="A7782">
        <v>7721</v>
      </c>
      <c r="B7782" s="138">
        <f>'Expenditures 15-22'!K159</f>
        <v>0</v>
      </c>
      <c r="D7782" s="2" t="str">
        <f t="shared" si="127"/>
        <v>Error?</v>
      </c>
      <c r="E7782" s="4" t="s">
        <v>1834</v>
      </c>
    </row>
    <row r="7783" spans="1:5" x14ac:dyDescent="0.2">
      <c r="A7783">
        <v>7722</v>
      </c>
      <c r="B7783" s="138">
        <f>'Expenditures 15-22'!D282</f>
        <v>0</v>
      </c>
      <c r="D7783" s="2" t="str">
        <f t="shared" si="127"/>
        <v>Error?</v>
      </c>
      <c r="E7783" s="4" t="s">
        <v>1834</v>
      </c>
    </row>
    <row r="7784" spans="1:5" x14ac:dyDescent="0.2">
      <c r="A7784">
        <v>7723</v>
      </c>
      <c r="B7784" s="138">
        <f>'Expenditures 15-22'!K282</f>
        <v>0</v>
      </c>
      <c r="D7784" s="2" t="str">
        <f t="shared" si="127"/>
        <v>Error?</v>
      </c>
      <c r="E7784" s="4" t="s">
        <v>1834</v>
      </c>
    </row>
    <row r="7785" spans="1:5" x14ac:dyDescent="0.2">
      <c r="A7785">
        <v>7724</v>
      </c>
      <c r="B7785" s="138">
        <f>'Expenditures 15-22'!H332</f>
        <v>0</v>
      </c>
      <c r="D7785" s="2" t="str">
        <f t="shared" si="127"/>
        <v>Error?</v>
      </c>
      <c r="E7785" s="4" t="s">
        <v>1834</v>
      </c>
    </row>
    <row r="7786" spans="1:5" x14ac:dyDescent="0.2">
      <c r="A7786">
        <v>7725</v>
      </c>
      <c r="B7786" s="138">
        <f>'Expenditures 15-22'!K332</f>
        <v>0</v>
      </c>
      <c r="D7786" s="2" t="str">
        <f t="shared" si="127"/>
        <v>Error?</v>
      </c>
      <c r="E7786" s="4" t="s">
        <v>1834</v>
      </c>
    </row>
    <row r="7787" spans="1:5" x14ac:dyDescent="0.2">
      <c r="A7787">
        <v>7726</v>
      </c>
      <c r="B7787" s="138">
        <f>'Expenditures 15-22'!H333</f>
        <v>0</v>
      </c>
      <c r="D7787" s="2" t="str">
        <f t="shared" si="127"/>
        <v>Error?</v>
      </c>
      <c r="E7787" s="4" t="s">
        <v>1834</v>
      </c>
    </row>
    <row r="7788" spans="1:5" x14ac:dyDescent="0.2">
      <c r="A7788">
        <v>7727</v>
      </c>
      <c r="B7788" s="138">
        <f>'Expenditures 15-22'!K333</f>
        <v>0</v>
      </c>
      <c r="D7788" s="2" t="str">
        <f t="shared" si="127"/>
        <v>Error?</v>
      </c>
      <c r="E7788" s="4" t="s">
        <v>1834</v>
      </c>
    </row>
    <row r="7789" spans="1:5" x14ac:dyDescent="0.2">
      <c r="A7789">
        <v>7728</v>
      </c>
      <c r="B7789" s="138">
        <f>'Expenditures 15-22'!H334</f>
        <v>0</v>
      </c>
      <c r="D7789" s="2" t="str">
        <f t="shared" si="127"/>
        <v>Error?</v>
      </c>
      <c r="E7789" s="4" t="s">
        <v>1834</v>
      </c>
    </row>
    <row r="7790" spans="1:5" x14ac:dyDescent="0.2">
      <c r="A7790">
        <v>7729</v>
      </c>
      <c r="B7790" s="138">
        <f>'Expenditures 15-22'!K334</f>
        <v>0</v>
      </c>
      <c r="D7790" s="2" t="str">
        <f t="shared" si="127"/>
        <v>Error?</v>
      </c>
      <c r="E7790" s="4" t="s">
        <v>1834</v>
      </c>
    </row>
    <row r="7791" spans="1:5" x14ac:dyDescent="0.2">
      <c r="A7791">
        <v>7730</v>
      </c>
      <c r="B7791" s="138">
        <f>'Expenditures 15-22'!H354</f>
        <v>0</v>
      </c>
      <c r="D7791" s="2" t="str">
        <f t="shared" si="127"/>
        <v>Error?</v>
      </c>
      <c r="E7791" s="4" t="s">
        <v>1834</v>
      </c>
    </row>
    <row r="7792" spans="1:5" x14ac:dyDescent="0.2">
      <c r="A7792">
        <v>7731</v>
      </c>
      <c r="B7792" s="138">
        <f>'Expenditures 15-22'!K354</f>
        <v>0</v>
      </c>
      <c r="D7792" s="2" t="str">
        <f t="shared" si="127"/>
        <v>Error?</v>
      </c>
      <c r="E7792" s="4" t="s">
        <v>1834</v>
      </c>
    </row>
    <row r="7793" spans="1:5" x14ac:dyDescent="0.2">
      <c r="A7793">
        <v>7732</v>
      </c>
      <c r="B7793" s="138">
        <f>'Expenditures 15-22'!H355</f>
        <v>0</v>
      </c>
      <c r="D7793" s="2" t="str">
        <f t="shared" si="127"/>
        <v>Error?</v>
      </c>
      <c r="E7793" s="4" t="s">
        <v>1834</v>
      </c>
    </row>
    <row r="7794" spans="1:5" x14ac:dyDescent="0.2">
      <c r="A7794">
        <v>7733</v>
      </c>
      <c r="B7794" s="138">
        <f>'Expenditures 15-22'!K355</f>
        <v>0</v>
      </c>
      <c r="D7794" s="2" t="str">
        <f t="shared" si="127"/>
        <v>Error?</v>
      </c>
      <c r="E7794" s="4" t="s">
        <v>1834</v>
      </c>
    </row>
    <row r="7795" spans="1:5" x14ac:dyDescent="0.2">
      <c r="A7795">
        <v>7734</v>
      </c>
      <c r="B7795" s="138">
        <f>'Expenditures 15-22'!E138</f>
        <v>0</v>
      </c>
      <c r="D7795" s="2" t="str">
        <f t="shared" si="127"/>
        <v>Error?</v>
      </c>
      <c r="E7795" s="4" t="s">
        <v>1834</v>
      </c>
    </row>
    <row r="7796" spans="1:5" x14ac:dyDescent="0.2">
      <c r="A7796">
        <v>7735</v>
      </c>
      <c r="B7796" s="138">
        <f>'Acct Summary 7-8'!J15</f>
        <v>0</v>
      </c>
      <c r="D7796" s="2" t="str">
        <f t="shared" si="127"/>
        <v>Error?</v>
      </c>
      <c r="E7796" s="4" t="s">
        <v>1834</v>
      </c>
    </row>
    <row r="7797" spans="1:5" x14ac:dyDescent="0.2">
      <c r="A7797">
        <v>7736</v>
      </c>
      <c r="B7797" s="138">
        <f>'Contracts Paid in CY 29'!D142</f>
        <v>381707</v>
      </c>
      <c r="D7797" s="2" t="str">
        <f t="shared" si="127"/>
        <v>Error?</v>
      </c>
      <c r="E7797" s="4" t="s">
        <v>1883</v>
      </c>
    </row>
    <row r="7798" spans="1:5" x14ac:dyDescent="0.2">
      <c r="A7798">
        <v>7737</v>
      </c>
      <c r="B7798" s="138">
        <f>'Contracts Paid in CY 29'!F142</f>
        <v>25000</v>
      </c>
      <c r="D7798" s="2" t="str">
        <f t="shared" si="127"/>
        <v>Error?</v>
      </c>
      <c r="E7798" s="4" t="s">
        <v>1883</v>
      </c>
    </row>
    <row r="7799" spans="1:5" x14ac:dyDescent="0.2">
      <c r="A7799">
        <v>7738</v>
      </c>
      <c r="B7799" s="138">
        <f>'Contracts Paid in CY 29'!G142</f>
        <v>356707</v>
      </c>
      <c r="D7799" s="2" t="str">
        <f t="shared" si="127"/>
        <v>Error?</v>
      </c>
      <c r="E7799" s="4" t="s">
        <v>1883</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63" t="s">
        <v>1191</v>
      </c>
      <c r="B2" s="2463"/>
      <c r="C2" s="2463"/>
      <c r="D2" s="2463"/>
      <c r="E2" s="2463"/>
      <c r="F2" s="2463"/>
      <c r="G2" s="2463"/>
      <c r="H2" s="2463"/>
      <c r="I2" s="2463"/>
      <c r="J2" s="2463"/>
      <c r="K2" s="2463"/>
      <c r="L2" s="2463"/>
    </row>
    <row r="3" spans="1:29" ht="13.5" customHeight="1" x14ac:dyDescent="0.2">
      <c r="A3" s="2449" t="s">
        <v>1190</v>
      </c>
      <c r="B3" s="2449"/>
      <c r="C3" s="2449"/>
      <c r="D3" s="2449"/>
      <c r="E3" s="2449"/>
      <c r="F3" s="2449"/>
      <c r="G3" s="2449"/>
      <c r="H3" s="2449"/>
      <c r="I3" s="2449"/>
      <c r="J3" s="2449"/>
      <c r="K3" s="2449"/>
      <c r="L3" s="2449"/>
    </row>
    <row r="4" spans="1:29" ht="13.5" customHeight="1" x14ac:dyDescent="0.2">
      <c r="A4" s="2463" t="s">
        <v>1967</v>
      </c>
      <c r="B4" s="2480"/>
      <c r="C4" s="2480"/>
      <c r="D4" s="2480"/>
      <c r="E4" s="2480"/>
      <c r="F4" s="2480"/>
      <c r="G4" s="2480"/>
      <c r="H4" s="2480"/>
      <c r="I4" s="2480"/>
      <c r="J4" s="2480"/>
      <c r="K4" s="2480"/>
      <c r="L4" s="248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43" t="str">
        <f>COVER!A17</f>
        <v>Whiteside School District No. 115</v>
      </c>
      <c r="B7" s="2444"/>
      <c r="C7" s="2444"/>
      <c r="D7" s="2481"/>
      <c r="E7" s="2482" t="str">
        <f>COVER!A13</f>
        <v>50-082-1150-02</v>
      </c>
      <c r="F7" s="2483"/>
      <c r="G7" s="2450" t="str">
        <f>COVER!T23</f>
        <v>066-003590</v>
      </c>
      <c r="H7" s="2451"/>
      <c r="I7" s="2451"/>
      <c r="J7" s="2451"/>
      <c r="K7" s="2451"/>
      <c r="L7" s="245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53"/>
      <c r="B9" s="2454"/>
      <c r="C9" s="2454"/>
      <c r="D9" s="2454"/>
      <c r="E9" s="2454"/>
      <c r="F9" s="2455"/>
      <c r="G9" s="2456" t="str">
        <f>COVER!T13</f>
        <v>C. J. Schlosser &amp; Company, L.L.C.</v>
      </c>
      <c r="H9" s="2457"/>
      <c r="I9" s="2457"/>
      <c r="J9" s="2457"/>
      <c r="K9" s="2457"/>
      <c r="L9" s="2458"/>
    </row>
    <row r="10" spans="1:29" ht="13.5" customHeight="1" x14ac:dyDescent="0.2">
      <c r="A10" s="2440">
        <f>COVER!A38</f>
        <v>0</v>
      </c>
      <c r="B10" s="2441"/>
      <c r="C10" s="2441"/>
      <c r="D10" s="2441"/>
      <c r="E10" s="2441"/>
      <c r="F10" s="2442"/>
      <c r="G10" s="2456" t="str">
        <f>COVER!T17</f>
        <v>233 East Center Drive</v>
      </c>
      <c r="H10" s="2469"/>
      <c r="I10" s="2469"/>
      <c r="J10" s="2469"/>
      <c r="K10" s="2469"/>
      <c r="L10" s="2470"/>
    </row>
    <row r="11" spans="1:29" ht="13.5" customHeight="1" x14ac:dyDescent="0.2">
      <c r="A11" s="1184" t="s">
        <v>1519</v>
      </c>
      <c r="B11" s="1185"/>
      <c r="C11" s="1186"/>
      <c r="D11" s="1191"/>
      <c r="E11" s="1186"/>
      <c r="F11" s="1190"/>
      <c r="G11" s="2456" t="str">
        <f>COVER!T19</f>
        <v>Alton</v>
      </c>
      <c r="H11" s="2469"/>
      <c r="I11" s="2469"/>
      <c r="J11" s="2469"/>
      <c r="K11" s="2469"/>
      <c r="L11" s="2470"/>
    </row>
    <row r="12" spans="1:29" ht="13.5" customHeight="1" x14ac:dyDescent="0.2">
      <c r="A12" s="2474" t="s">
        <v>1518</v>
      </c>
      <c r="B12" s="2475"/>
      <c r="C12" s="2475"/>
      <c r="D12" s="2475"/>
      <c r="E12" s="2475"/>
      <c r="F12" s="2476"/>
      <c r="G12" s="2471"/>
      <c r="H12" s="2472"/>
      <c r="I12" s="2472"/>
      <c r="J12" s="2472"/>
      <c r="K12" s="2472"/>
      <c r="L12" s="2473"/>
    </row>
    <row r="13" spans="1:29" ht="13.5" customHeight="1" x14ac:dyDescent="0.2">
      <c r="A13" s="2456"/>
      <c r="B13" s="2469"/>
      <c r="C13" s="2469"/>
      <c r="D13" s="2469"/>
      <c r="E13" s="2469"/>
      <c r="F13" s="2470"/>
      <c r="G13" s="2464" t="s">
        <v>1520</v>
      </c>
      <c r="H13" s="2465"/>
      <c r="I13" s="2477" t="str">
        <f>COVER!T25</f>
        <v>ktepen@cjsco.com</v>
      </c>
      <c r="J13" s="2478"/>
      <c r="K13" s="2478"/>
      <c r="L13" s="2479"/>
    </row>
    <row r="14" spans="1:29" ht="13.5" customHeight="1" x14ac:dyDescent="0.2">
      <c r="A14" s="2456" t="str">
        <f>COVER!A19</f>
        <v>111 Warriors Way</v>
      </c>
      <c r="B14" s="2469"/>
      <c r="C14" s="2469"/>
      <c r="D14" s="2469"/>
      <c r="E14" s="2469"/>
      <c r="F14" s="2470"/>
      <c r="G14" s="1195" t="s">
        <v>1185</v>
      </c>
      <c r="H14" s="1193"/>
      <c r="I14" s="1193"/>
      <c r="J14" s="1193"/>
      <c r="K14" s="1193"/>
      <c r="L14" s="1194"/>
    </row>
    <row r="15" spans="1:29" ht="13.5" customHeight="1" x14ac:dyDescent="0.2">
      <c r="A15" s="2456" t="str">
        <f>COVER!A21</f>
        <v>Belleville</v>
      </c>
      <c r="B15" s="2469"/>
      <c r="C15" s="2469"/>
      <c r="D15" s="2469"/>
      <c r="E15" s="2469"/>
      <c r="F15" s="2470"/>
      <c r="G15" s="2466" t="str">
        <f>COVER!T15</f>
        <v>Kevin Tepen</v>
      </c>
      <c r="H15" s="2467"/>
      <c r="I15" s="2467"/>
      <c r="J15" s="2467"/>
      <c r="K15" s="2467"/>
      <c r="L15" s="2468"/>
    </row>
    <row r="16" spans="1:29" ht="12.2" customHeight="1" x14ac:dyDescent="0.2">
      <c r="A16" s="2446">
        <f>COVER!A25</f>
        <v>62221</v>
      </c>
      <c r="B16" s="2447"/>
      <c r="C16" s="2447"/>
      <c r="D16" s="2447"/>
      <c r="E16" s="2447"/>
      <c r="F16" s="2448"/>
      <c r="G16" s="2459"/>
      <c r="H16" s="2460"/>
      <c r="I16" s="2460"/>
      <c r="J16" s="2460"/>
      <c r="K16" s="2460"/>
      <c r="L16" s="2461"/>
    </row>
    <row r="17" spans="1:13" ht="12.2" customHeight="1" x14ac:dyDescent="0.2">
      <c r="A17" s="2462"/>
      <c r="B17" s="2447"/>
      <c r="C17" s="2447"/>
      <c r="D17" s="2447"/>
      <c r="E17" s="2447"/>
      <c r="F17" s="2448"/>
      <c r="G17" s="1195" t="s">
        <v>1184</v>
      </c>
      <c r="H17" s="1193"/>
      <c r="I17" s="1193"/>
      <c r="J17" s="1193"/>
      <c r="K17" s="1197" t="s">
        <v>1183</v>
      </c>
      <c r="L17" s="1190"/>
      <c r="M17" s="1183"/>
    </row>
    <row r="18" spans="1:13" ht="12.2" customHeight="1" x14ac:dyDescent="0.2">
      <c r="A18" s="2440"/>
      <c r="B18" s="2441"/>
      <c r="C18" s="2441"/>
      <c r="D18" s="2441"/>
      <c r="E18" s="2441"/>
      <c r="F18" s="2442"/>
      <c r="G18" s="2443" t="str">
        <f>COVER!T21</f>
        <v>(618) 465-7717</v>
      </c>
      <c r="H18" s="2444"/>
      <c r="I18" s="2444"/>
      <c r="J18" s="2444"/>
      <c r="K18" s="2443" t="str">
        <f>COVER!X21</f>
        <v>(618) 465-7710</v>
      </c>
      <c r="L18" s="244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84" t="str">
        <f>'Single Audit Cover'!A7</f>
        <v>Whiteside School District No. 115</v>
      </c>
      <c r="B1" s="2480"/>
      <c r="C1" s="2480"/>
      <c r="D1" s="2480"/>
    </row>
    <row r="2" spans="1:11" s="1212" customFormat="1" ht="12.75" x14ac:dyDescent="0.2">
      <c r="A2" s="2485" t="str">
        <f>'Single Audit Cover'!E7</f>
        <v>50-082-1150-02</v>
      </c>
      <c r="B2" s="2486"/>
      <c r="C2" s="2486"/>
      <c r="D2" s="2486"/>
    </row>
    <row r="3" spans="1:11" s="1212" customFormat="1" ht="12.75" x14ac:dyDescent="0.2">
      <c r="A3" s="2484" t="s">
        <v>1513</v>
      </c>
      <c r="B3" s="2480"/>
      <c r="C3" s="2480"/>
      <c r="D3" s="248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88" t="str">
        <f>'Single Audit Cover'!A7</f>
        <v>Whiteside School District No. 115</v>
      </c>
      <c r="B1" s="2488"/>
      <c r="C1" s="2488"/>
      <c r="D1" s="2488"/>
      <c r="E1" s="2488"/>
    </row>
    <row r="2" spans="1:5" x14ac:dyDescent="0.2">
      <c r="A2" s="2489" t="str">
        <f>'Single Audit Cover'!E7</f>
        <v>50-082-1150-02</v>
      </c>
      <c r="B2" s="2489"/>
      <c r="C2" s="2489"/>
      <c r="D2" s="2489"/>
      <c r="E2" s="2489"/>
    </row>
    <row r="3" spans="1:5" ht="4.5" customHeight="1" x14ac:dyDescent="0.2"/>
    <row r="4" spans="1:5" x14ac:dyDescent="0.2">
      <c r="A4" s="2488" t="s">
        <v>1245</v>
      </c>
      <c r="B4" s="2488"/>
      <c r="C4" s="2488"/>
      <c r="D4" s="2488"/>
      <c r="E4" s="2488"/>
    </row>
    <row r="5" spans="1:5" x14ac:dyDescent="0.2">
      <c r="A5" s="2491" t="str">
        <f>'Single Audit Cover'!A4</f>
        <v>Year Ending June 30, 2019</v>
      </c>
      <c r="B5" s="2491"/>
      <c r="C5" s="2491"/>
      <c r="D5" s="2491"/>
      <c r="E5" s="2491"/>
    </row>
    <row r="6" spans="1:5" x14ac:dyDescent="0.2">
      <c r="A6" s="2488" t="s">
        <v>1244</v>
      </c>
      <c r="B6" s="2488"/>
      <c r="C6" s="2488"/>
      <c r="D6" s="2488"/>
      <c r="E6" s="2488"/>
    </row>
    <row r="8" spans="1:5" x14ac:dyDescent="0.2">
      <c r="A8" s="1257" t="s">
        <v>1243</v>
      </c>
    </row>
    <row r="10" spans="1:5" x14ac:dyDescent="0.2">
      <c r="A10" s="1258" t="s">
        <v>1242</v>
      </c>
      <c r="B10" s="1259" t="s">
        <v>1241</v>
      </c>
      <c r="C10" s="1259"/>
      <c r="D10" s="1260">
        <f>SUM('Acct Summary 7-8'!C7:K7)</f>
        <v>1161573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46861</v>
      </c>
    </row>
    <row r="15" spans="1:5" x14ac:dyDescent="0.2">
      <c r="A15" s="1258"/>
      <c r="B15" s="1259"/>
      <c r="C15" s="1259"/>
    </row>
    <row r="16" spans="1:5" x14ac:dyDescent="0.2">
      <c r="A16" s="1258" t="s">
        <v>1823</v>
      </c>
      <c r="B16" s="1259"/>
      <c r="C16" s="1259"/>
    </row>
    <row r="17" spans="1:4" x14ac:dyDescent="0.2">
      <c r="A17" s="1258" t="s">
        <v>2038</v>
      </c>
      <c r="B17" s="1259" t="s">
        <v>1236</v>
      </c>
      <c r="C17" s="1259"/>
      <c r="D17" s="1261">
        <f>-SUM('Revenues 9-14'!C264:D264,'Revenues 9-14'!F264:G264)</f>
        <v>-61339</v>
      </c>
    </row>
    <row r="19" spans="1:4" ht="13.5" thickBot="1" x14ac:dyDescent="0.25">
      <c r="A19" s="1262" t="s">
        <v>1235</v>
      </c>
      <c r="D19" s="1263">
        <f>SUM(D10:D17)</f>
        <v>1147095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90"/>
      <c r="B24" s="2490"/>
      <c r="D24" s="1265"/>
    </row>
    <row r="25" spans="1:4" x14ac:dyDescent="0.2">
      <c r="A25" s="2487"/>
      <c r="B25" s="2487"/>
      <c r="D25" s="1265"/>
    </row>
    <row r="26" spans="1:4" x14ac:dyDescent="0.2">
      <c r="A26" s="2487"/>
      <c r="B26" s="2487"/>
      <c r="D26" s="1265"/>
    </row>
    <row r="27" spans="1:4" x14ac:dyDescent="0.2">
      <c r="A27" s="2487"/>
      <c r="B27" s="2487"/>
      <c r="D27" s="1265"/>
    </row>
    <row r="28" spans="1:4" x14ac:dyDescent="0.2">
      <c r="A28" s="2487"/>
      <c r="B28" s="2487"/>
      <c r="D28" s="1265"/>
    </row>
    <row r="29" spans="1:4" x14ac:dyDescent="0.2">
      <c r="A29" s="2487"/>
      <c r="B29" s="2487"/>
      <c r="D29" s="1265"/>
    </row>
    <row r="30" spans="1:4" x14ac:dyDescent="0.2">
      <c r="A30" s="2487"/>
      <c r="B30" s="2487"/>
      <c r="D30" s="1265"/>
    </row>
    <row r="32" spans="1:4" x14ac:dyDescent="0.2">
      <c r="A32" s="1257" t="s">
        <v>1233</v>
      </c>
      <c r="D32" s="1260">
        <f>SUM(D19:D30)</f>
        <v>1147095</v>
      </c>
    </row>
    <row r="33" spans="1:4" x14ac:dyDescent="0.2">
      <c r="D33" s="1266"/>
    </row>
    <row r="34" spans="1:4" x14ac:dyDescent="0.2">
      <c r="A34" s="317" t="s">
        <v>1232</v>
      </c>
    </row>
    <row r="35" spans="1:4" x14ac:dyDescent="0.2">
      <c r="A35" s="317" t="s">
        <v>1231</v>
      </c>
      <c r="B35" s="1255" t="s">
        <v>1230</v>
      </c>
      <c r="D35" s="1267">
        <v>1147095</v>
      </c>
    </row>
    <row r="37" spans="1:4" x14ac:dyDescent="0.2">
      <c r="A37" s="1257" t="s">
        <v>1229</v>
      </c>
    </row>
    <row r="39" spans="1:4" ht="13.35" customHeight="1" x14ac:dyDescent="0.2">
      <c r="A39" s="1264" t="s">
        <v>1228</v>
      </c>
    </row>
    <row r="40" spans="1:4" x14ac:dyDescent="0.2">
      <c r="A40" s="2487"/>
      <c r="B40" s="2487"/>
      <c r="D40" s="1265"/>
    </row>
    <row r="41" spans="1:4" x14ac:dyDescent="0.2">
      <c r="A41" s="2487"/>
      <c r="B41" s="2487"/>
      <c r="D41" s="1268"/>
    </row>
    <row r="42" spans="1:4" x14ac:dyDescent="0.2">
      <c r="A42" s="2487"/>
      <c r="B42" s="2487"/>
      <c r="D42" s="1268"/>
    </row>
    <row r="43" spans="1:4" x14ac:dyDescent="0.2">
      <c r="A43" s="2487"/>
      <c r="B43" s="2487"/>
      <c r="D43" s="1268"/>
    </row>
    <row r="44" spans="1:4" x14ac:dyDescent="0.2">
      <c r="A44" s="2487"/>
      <c r="B44" s="2487"/>
      <c r="D44" s="1268"/>
    </row>
    <row r="45" spans="1:4" x14ac:dyDescent="0.2">
      <c r="A45" s="2487"/>
      <c r="B45" s="2487"/>
      <c r="D45" s="1268"/>
    </row>
    <row r="47" spans="1:4" x14ac:dyDescent="0.2">
      <c r="B47" s="1269" t="s">
        <v>1227</v>
      </c>
      <c r="C47" s="1269"/>
      <c r="D47" s="1270">
        <f>SUM(D35:D45)</f>
        <v>1147095</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9" t="str">
        <f>'Single Audit Cover'!A7</f>
        <v>Whiteside School District No. 115</v>
      </c>
      <c r="C1" s="2492"/>
      <c r="D1" s="2492"/>
      <c r="E1" s="2492"/>
      <c r="F1" s="2492"/>
      <c r="G1" s="2492"/>
      <c r="H1" s="2492"/>
      <c r="I1" s="2492"/>
      <c r="J1" s="2492"/>
      <c r="K1" s="2492"/>
      <c r="L1" s="2492"/>
      <c r="M1" s="2492"/>
    </row>
    <row r="2" spans="2:14" ht="15" x14ac:dyDescent="0.2">
      <c r="B2" s="2493" t="str">
        <f>'Single Audit Cover'!E7</f>
        <v>50-082-1150-02</v>
      </c>
      <c r="C2" s="2493"/>
      <c r="D2" s="2493"/>
      <c r="E2" s="2493"/>
      <c r="F2" s="2493"/>
      <c r="G2" s="2493"/>
      <c r="H2" s="2493"/>
      <c r="I2" s="2493"/>
      <c r="J2" s="2493"/>
      <c r="K2" s="2493"/>
      <c r="L2" s="2493"/>
      <c r="M2" s="2493"/>
      <c r="N2" s="1299"/>
    </row>
    <row r="3" spans="2:14" ht="15" x14ac:dyDescent="0.2">
      <c r="B3" s="2494" t="s">
        <v>1219</v>
      </c>
      <c r="C3" s="2494"/>
      <c r="D3" s="2494"/>
      <c r="E3" s="2494"/>
      <c r="F3" s="2494"/>
      <c r="G3" s="2494"/>
      <c r="H3" s="2494"/>
      <c r="I3" s="2494"/>
      <c r="J3" s="2494"/>
      <c r="K3" s="2494"/>
      <c r="L3" s="2494"/>
      <c r="M3" s="2494"/>
      <c r="N3" s="1299"/>
    </row>
    <row r="4" spans="2:14" ht="15" x14ac:dyDescent="0.2">
      <c r="B4" s="2495" t="str">
        <f>'Single Audit Cover'!A4</f>
        <v>Year Ending June 30, 2019</v>
      </c>
      <c r="C4" s="2495"/>
      <c r="D4" s="2495"/>
      <c r="E4" s="2495"/>
      <c r="F4" s="2495"/>
      <c r="G4" s="2495"/>
      <c r="H4" s="2495"/>
      <c r="I4" s="2495"/>
      <c r="J4" s="2495"/>
      <c r="K4" s="2495"/>
      <c r="L4" s="2495"/>
      <c r="M4" s="2495"/>
      <c r="N4" s="1299"/>
    </row>
    <row r="6" spans="2:14" x14ac:dyDescent="0.2">
      <c r="B6" s="1300"/>
      <c r="C6" s="1301"/>
      <c r="D6" s="1302" t="s">
        <v>1265</v>
      </c>
      <c r="E6" s="1303" t="s">
        <v>527</v>
      </c>
      <c r="F6" s="1304"/>
      <c r="G6" s="1305" t="s">
        <v>1729</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1819</v>
      </c>
      <c r="I8" s="1316" t="s">
        <v>1262</v>
      </c>
      <c r="J8" s="1315" t="s">
        <v>1968</v>
      </c>
      <c r="K8" s="1316" t="s">
        <v>1261</v>
      </c>
      <c r="L8" s="1317" t="s">
        <v>1257</v>
      </c>
      <c r="M8" s="1318" t="s">
        <v>30</v>
      </c>
    </row>
    <row r="9" spans="2:14" ht="14.25" x14ac:dyDescent="0.2">
      <c r="B9" s="1322" t="s">
        <v>1259</v>
      </c>
      <c r="C9" s="1310" t="s">
        <v>1730</v>
      </c>
      <c r="D9" s="1311" t="s">
        <v>1731</v>
      </c>
      <c r="E9" s="1319" t="s">
        <v>1819</v>
      </c>
      <c r="F9" s="1320" t="s">
        <v>1968</v>
      </c>
      <c r="G9" s="1321" t="s">
        <v>1819</v>
      </c>
      <c r="H9" s="1314" t="s">
        <v>1582</v>
      </c>
      <c r="I9" s="1316" t="s">
        <v>1968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1732</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1733</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1734</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1735</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1736</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64"/>
  <sheetViews>
    <sheetView view="pageBreakPreview" zoomScale="115" zoomScaleNormal="100" zoomScaleSheetLayoutView="115" workbookViewId="0">
      <selection activeCell="AK50" sqref="AK50"/>
    </sheetView>
  </sheetViews>
  <sheetFormatPr defaultColWidth="7.5703125" defaultRowHeight="11.25" x14ac:dyDescent="0.2"/>
  <cols>
    <col min="1" max="6" width="2" style="1943" customWidth="1"/>
    <col min="7" max="7" width="7.5703125" style="1943"/>
    <col min="8" max="8" width="9.5703125" style="1943" customWidth="1"/>
    <col min="9" max="9" width="3.7109375" style="1943" customWidth="1"/>
    <col min="10" max="10" width="8.28515625" style="1943" customWidth="1"/>
    <col min="11" max="11" width="1.5703125" style="1943" customWidth="1"/>
    <col min="12" max="12" width="10" style="1943" customWidth="1"/>
    <col min="13" max="13" width="1.140625" style="1943" customWidth="1"/>
    <col min="14" max="14" width="9.140625" style="1943" bestFit="1" customWidth="1"/>
    <col min="15" max="15" width="1.7109375" style="1943" customWidth="1"/>
    <col min="16" max="16" width="8.5703125" style="1943" customWidth="1"/>
    <col min="17" max="17" width="0.85546875" style="1943" customWidth="1"/>
    <col min="18" max="18" width="3.28515625" style="1943" customWidth="1"/>
    <col min="19" max="19" width="9.140625" style="1943" bestFit="1" customWidth="1"/>
    <col min="20" max="20" width="1.140625" style="1943" customWidth="1"/>
    <col min="21" max="21" width="9.85546875" style="1943" bestFit="1" customWidth="1"/>
    <col min="22" max="22" width="1.42578125" style="1943" customWidth="1"/>
    <col min="23" max="23" width="7.42578125" style="1943" customWidth="1"/>
    <col min="24" max="24" width="1.5703125" style="1943" customWidth="1"/>
    <col min="25" max="25" width="9.85546875" style="1943" bestFit="1" customWidth="1"/>
    <col min="26" max="26" width="1.140625" style="1943" customWidth="1"/>
    <col min="27" max="27" width="7.5703125" style="1943" customWidth="1"/>
    <col min="28" max="16384" width="7.5703125" style="1943"/>
  </cols>
  <sheetData>
    <row r="1" spans="1:28" x14ac:dyDescent="0.2">
      <c r="I1" s="2506" t="s">
        <v>405</v>
      </c>
      <c r="J1" s="2506"/>
      <c r="K1" s="2506"/>
      <c r="L1" s="2506"/>
      <c r="M1" s="2506"/>
      <c r="N1" s="2506"/>
      <c r="O1" s="2506"/>
      <c r="P1" s="2506"/>
      <c r="Q1" s="2506"/>
      <c r="R1" s="2506"/>
      <c r="U1" s="2504" t="s">
        <v>2087</v>
      </c>
      <c r="V1" s="2504"/>
      <c r="W1" s="2504"/>
    </row>
    <row r="2" spans="1:28" x14ac:dyDescent="0.2">
      <c r="I2" s="2506" t="s">
        <v>406</v>
      </c>
      <c r="J2" s="2506"/>
      <c r="K2" s="2506"/>
      <c r="L2" s="2506"/>
      <c r="M2" s="2506"/>
      <c r="N2" s="2506"/>
      <c r="O2" s="2506"/>
      <c r="P2" s="2506"/>
      <c r="Q2" s="2506"/>
      <c r="R2" s="2506"/>
      <c r="U2" s="1944" t="s">
        <v>2088</v>
      </c>
      <c r="V2" s="1945"/>
      <c r="W2" s="1945"/>
      <c r="X2" s="1945"/>
      <c r="Y2" s="1945"/>
      <c r="Z2" s="1945"/>
      <c r="AA2" s="1946"/>
    </row>
    <row r="3" spans="1:28" x14ac:dyDescent="0.2">
      <c r="I3" s="2506" t="s">
        <v>2089</v>
      </c>
      <c r="J3" s="2506"/>
      <c r="K3" s="2506"/>
      <c r="L3" s="2506"/>
      <c r="M3" s="2506"/>
      <c r="N3" s="2506"/>
      <c r="O3" s="2506"/>
      <c r="P3" s="2506"/>
      <c r="Q3" s="2506"/>
      <c r="R3" s="2506"/>
      <c r="U3" s="2507" t="s">
        <v>2090</v>
      </c>
      <c r="V3" s="2508"/>
      <c r="W3" s="2508"/>
      <c r="X3" s="2508"/>
      <c r="Y3" s="2508"/>
      <c r="Z3" s="1947"/>
      <c r="AA3" s="1948"/>
    </row>
    <row r="4" spans="1:28" x14ac:dyDescent="0.2">
      <c r="U4" s="2509" t="s">
        <v>2091</v>
      </c>
      <c r="V4" s="2510"/>
      <c r="W4" s="2510"/>
      <c r="X4" s="2510"/>
      <c r="Y4" s="2510"/>
      <c r="Z4" s="1949"/>
      <c r="AA4" s="1950"/>
    </row>
    <row r="5" spans="1:28" x14ac:dyDescent="0.2">
      <c r="I5" s="2499" t="s">
        <v>2092</v>
      </c>
      <c r="J5" s="2499"/>
      <c r="K5" s="2499"/>
      <c r="L5" s="2499"/>
      <c r="M5" s="2499"/>
      <c r="N5" s="2499"/>
      <c r="O5" s="2499"/>
      <c r="P5" s="2499"/>
      <c r="Q5" s="2499"/>
      <c r="R5" s="2499"/>
      <c r="U5" s="2500" t="s">
        <v>2093</v>
      </c>
      <c r="V5" s="2501"/>
      <c r="W5" s="2501"/>
      <c r="X5" s="2501"/>
      <c r="Y5" s="2501"/>
      <c r="Z5" s="2501"/>
      <c r="AA5" s="2502"/>
    </row>
    <row r="6" spans="1:28" x14ac:dyDescent="0.2">
      <c r="I6" s="2497" t="s">
        <v>2094</v>
      </c>
      <c r="J6" s="2497"/>
      <c r="K6" s="2497"/>
      <c r="L6" s="2497"/>
      <c r="M6" s="2497"/>
      <c r="N6" s="2497"/>
      <c r="O6" s="2497"/>
      <c r="P6" s="2497"/>
      <c r="Q6" s="2497"/>
      <c r="R6" s="2497"/>
      <c r="U6" s="1951"/>
      <c r="V6" s="1947"/>
      <c r="W6" s="1947"/>
      <c r="X6" s="1947"/>
      <c r="Y6" s="1947"/>
      <c r="Z6" s="1947"/>
      <c r="AA6" s="1948"/>
    </row>
    <row r="7" spans="1:28" x14ac:dyDescent="0.2">
      <c r="I7" s="1952"/>
      <c r="J7" s="1952"/>
      <c r="K7" s="1952"/>
      <c r="L7" s="1952"/>
      <c r="M7" s="1952"/>
      <c r="N7" s="1952"/>
      <c r="O7" s="1952"/>
      <c r="P7" s="1952"/>
      <c r="Q7" s="1952"/>
      <c r="R7" s="1952"/>
      <c r="U7" s="1949"/>
      <c r="V7" s="1949"/>
      <c r="W7" s="1949"/>
      <c r="X7" s="1949"/>
      <c r="Y7" s="1949"/>
      <c r="Z7" s="1949"/>
      <c r="AA7" s="1949"/>
    </row>
    <row r="8" spans="1:28" ht="4.9000000000000004" customHeight="1" x14ac:dyDescent="0.2">
      <c r="A8" s="1953"/>
      <c r="B8" s="1945"/>
      <c r="C8" s="1945"/>
      <c r="D8" s="1945"/>
      <c r="E8" s="1945"/>
      <c r="F8" s="1945"/>
      <c r="G8" s="1945"/>
      <c r="H8" s="1945"/>
      <c r="I8" s="1946"/>
      <c r="J8" s="1954"/>
      <c r="K8" s="1953"/>
      <c r="L8" s="1945"/>
      <c r="M8" s="1946"/>
      <c r="N8" s="1953"/>
      <c r="O8" s="1945"/>
      <c r="P8" s="1945"/>
      <c r="Q8" s="1946"/>
      <c r="R8" s="1953"/>
      <c r="S8" s="1945"/>
      <c r="T8" s="1945"/>
      <c r="U8" s="1946"/>
      <c r="V8" s="1953"/>
      <c r="W8" s="1945"/>
      <c r="X8" s="1945"/>
      <c r="Y8" s="1953"/>
      <c r="Z8" s="1946"/>
      <c r="AA8" s="1954"/>
    </row>
    <row r="9" spans="1:28" x14ac:dyDescent="0.2">
      <c r="A9" s="2496" t="s">
        <v>2095</v>
      </c>
      <c r="B9" s="2497"/>
      <c r="C9" s="2497"/>
      <c r="D9" s="2497"/>
      <c r="E9" s="2497"/>
      <c r="F9" s="2497"/>
      <c r="G9" s="2497"/>
      <c r="H9" s="2497"/>
      <c r="I9" s="2498"/>
      <c r="J9" s="1955"/>
      <c r="K9" s="1956"/>
      <c r="L9" s="1957" t="s">
        <v>2096</v>
      </c>
      <c r="M9" s="1957"/>
      <c r="N9" s="2503" t="s">
        <v>527</v>
      </c>
      <c r="O9" s="2504"/>
      <c r="P9" s="2504"/>
      <c r="Q9" s="2505"/>
      <c r="R9" s="2503" t="s">
        <v>2097</v>
      </c>
      <c r="S9" s="2504"/>
      <c r="T9" s="2504"/>
      <c r="U9" s="2505"/>
      <c r="V9" s="1956"/>
      <c r="W9" s="1952"/>
      <c r="X9" s="1957"/>
      <c r="Y9" s="1956"/>
      <c r="Z9" s="1958"/>
      <c r="AA9" s="1955"/>
    </row>
    <row r="10" spans="1:28" x14ac:dyDescent="0.2">
      <c r="A10" s="2496" t="s">
        <v>2098</v>
      </c>
      <c r="B10" s="2497"/>
      <c r="C10" s="2497"/>
      <c r="D10" s="2497"/>
      <c r="E10" s="2497"/>
      <c r="F10" s="2497"/>
      <c r="G10" s="2497"/>
      <c r="H10" s="2497"/>
      <c r="I10" s="2498"/>
      <c r="J10" s="1955" t="s">
        <v>1264</v>
      </c>
      <c r="K10" s="1956"/>
      <c r="L10" s="1959" t="s">
        <v>2099</v>
      </c>
      <c r="M10" s="1957"/>
      <c r="N10" s="1956" t="s">
        <v>2100</v>
      </c>
      <c r="O10" s="1957"/>
      <c r="P10" s="1956" t="s">
        <v>2101</v>
      </c>
      <c r="Q10" s="1957"/>
      <c r="R10" s="1956"/>
      <c r="S10" s="1956" t="s">
        <v>2100</v>
      </c>
      <c r="T10" s="1957"/>
      <c r="U10" s="1956" t="s">
        <v>2101</v>
      </c>
      <c r="V10" s="1956"/>
      <c r="W10" s="1952" t="s">
        <v>1261</v>
      </c>
      <c r="X10" s="1957"/>
      <c r="Y10" s="1956" t="s">
        <v>2102</v>
      </c>
      <c r="Z10" s="1958"/>
      <c r="AA10" s="1955"/>
    </row>
    <row r="11" spans="1:28" x14ac:dyDescent="0.2">
      <c r="A11" s="2496" t="s">
        <v>2103</v>
      </c>
      <c r="B11" s="2497"/>
      <c r="C11" s="2497"/>
      <c r="D11" s="2497"/>
      <c r="E11" s="2497"/>
      <c r="F11" s="2497"/>
      <c r="G11" s="2497"/>
      <c r="H11" s="2497"/>
      <c r="I11" s="2498"/>
      <c r="J11" s="1955" t="s">
        <v>2104</v>
      </c>
      <c r="K11" s="1956"/>
      <c r="L11" s="1952" t="s">
        <v>2105</v>
      </c>
      <c r="M11" s="1952"/>
      <c r="N11" s="1960" t="s">
        <v>2106</v>
      </c>
      <c r="O11" s="1961"/>
      <c r="P11" s="1960" t="s">
        <v>2107</v>
      </c>
      <c r="Q11" s="1952"/>
      <c r="R11" s="1956"/>
      <c r="S11" s="1960" t="s">
        <v>2106</v>
      </c>
      <c r="T11" s="1961"/>
      <c r="U11" s="1960" t="s">
        <v>2107</v>
      </c>
      <c r="V11" s="1962"/>
      <c r="W11" s="1952" t="s">
        <v>2108</v>
      </c>
      <c r="X11" s="1952"/>
      <c r="Y11" s="1956" t="s">
        <v>1257</v>
      </c>
      <c r="Z11" s="1958"/>
      <c r="AA11" s="1955" t="s">
        <v>30</v>
      </c>
    </row>
    <row r="12" spans="1:28" x14ac:dyDescent="0.2">
      <c r="A12" s="1963"/>
      <c r="B12" s="1947"/>
      <c r="C12" s="1947"/>
      <c r="D12" s="1947"/>
      <c r="E12" s="1947"/>
      <c r="F12" s="1947"/>
      <c r="G12" s="1947"/>
      <c r="H12" s="1947"/>
      <c r="I12" s="1948"/>
      <c r="J12" s="1964" t="s">
        <v>1255</v>
      </c>
      <c r="K12" s="1965"/>
      <c r="L12" s="1966" t="s">
        <v>1254</v>
      </c>
      <c r="M12" s="1967"/>
      <c r="N12" s="1965" t="s">
        <v>2109</v>
      </c>
      <c r="O12" s="1967"/>
      <c r="P12" s="1965" t="s">
        <v>1252</v>
      </c>
      <c r="Q12" s="1967"/>
      <c r="R12" s="1965"/>
      <c r="S12" s="1965" t="s">
        <v>1251</v>
      </c>
      <c r="T12" s="1967"/>
      <c r="U12" s="1964" t="s">
        <v>1250</v>
      </c>
      <c r="V12" s="1965"/>
      <c r="W12" s="1966" t="s">
        <v>1249</v>
      </c>
      <c r="X12" s="1967"/>
      <c r="Y12" s="1965" t="s">
        <v>1248</v>
      </c>
      <c r="Z12" s="1967"/>
      <c r="AA12" s="1964" t="s">
        <v>1247</v>
      </c>
    </row>
    <row r="13" spans="1:28" ht="4.5" customHeight="1" x14ac:dyDescent="0.2"/>
    <row r="14" spans="1:28" x14ac:dyDescent="0.2">
      <c r="A14" s="1968" t="s">
        <v>2110</v>
      </c>
    </row>
    <row r="15" spans="1:28" x14ac:dyDescent="0.2">
      <c r="A15" s="1969"/>
      <c r="B15" s="1969" t="s">
        <v>2111</v>
      </c>
      <c r="D15" s="1969"/>
      <c r="E15" s="1969"/>
      <c r="F15" s="1969"/>
      <c r="G15" s="1969"/>
      <c r="H15" s="1969"/>
      <c r="I15" s="1969"/>
      <c r="J15" s="1969"/>
      <c r="K15" s="1969"/>
      <c r="L15" s="1969"/>
      <c r="M15" s="1969"/>
      <c r="N15" s="1970"/>
      <c r="O15" s="1970"/>
      <c r="P15" s="1970"/>
      <c r="Q15" s="1970"/>
      <c r="R15" s="1970"/>
      <c r="S15" s="1970"/>
      <c r="T15" s="1970"/>
      <c r="U15" s="1970"/>
      <c r="V15" s="1970"/>
      <c r="W15" s="1970"/>
      <c r="X15" s="1970"/>
      <c r="Y15" s="1970"/>
      <c r="Z15" s="1969"/>
      <c r="AA15" s="1969"/>
    </row>
    <row r="16" spans="1:28" s="1972" customFormat="1" ht="10.5" customHeight="1" x14ac:dyDescent="0.2">
      <c r="A16" s="1971"/>
      <c r="B16" s="1971"/>
      <c r="C16" s="1971" t="s">
        <v>918</v>
      </c>
      <c r="E16" s="1971"/>
      <c r="F16" s="1971"/>
      <c r="G16" s="1971"/>
      <c r="H16" s="1971"/>
      <c r="I16" s="1971"/>
      <c r="J16" s="1973" t="s">
        <v>2112</v>
      </c>
      <c r="K16" s="1971"/>
      <c r="L16" s="1974" t="s">
        <v>2113</v>
      </c>
      <c r="M16" s="1971"/>
      <c r="N16" s="1975">
        <v>0</v>
      </c>
      <c r="O16" s="1975"/>
      <c r="P16" s="1975">
        <v>170349</v>
      </c>
      <c r="Q16" s="1975"/>
      <c r="R16" s="1975"/>
      <c r="S16" s="1975">
        <v>0</v>
      </c>
      <c r="T16" s="1975"/>
      <c r="U16" s="1975">
        <v>273556</v>
      </c>
      <c r="V16" s="1975"/>
      <c r="W16" s="1975">
        <v>0</v>
      </c>
      <c r="X16" s="1975"/>
      <c r="Y16" s="1975">
        <f>SUM(S16:W16)</f>
        <v>273556</v>
      </c>
      <c r="Z16" s="1976"/>
      <c r="AA16" s="1976">
        <v>362613</v>
      </c>
      <c r="AB16" s="1977"/>
    </row>
    <row r="17" spans="1:31" s="1972" customFormat="1" ht="13.5" x14ac:dyDescent="0.2">
      <c r="A17" s="1971"/>
      <c r="B17" s="1971"/>
      <c r="C17" s="1971" t="s">
        <v>918</v>
      </c>
      <c r="E17" s="1971"/>
      <c r="F17" s="1971"/>
      <c r="G17" s="1971"/>
      <c r="H17" s="1971"/>
      <c r="I17" s="1971"/>
      <c r="J17" s="1973" t="s">
        <v>2112</v>
      </c>
      <c r="K17" s="1971"/>
      <c r="L17" s="1974" t="s">
        <v>2114</v>
      </c>
      <c r="M17" s="1971"/>
      <c r="N17" s="1978">
        <v>165178</v>
      </c>
      <c r="O17" s="1978"/>
      <c r="P17" s="1978">
        <v>153777</v>
      </c>
      <c r="Q17" s="1978"/>
      <c r="R17" s="1978"/>
      <c r="S17" s="1978">
        <v>234398</v>
      </c>
      <c r="T17" s="1978"/>
      <c r="U17" s="1978">
        <f>318955-234398</f>
        <v>84557</v>
      </c>
      <c r="V17" s="1978"/>
      <c r="W17" s="1978">
        <v>0</v>
      </c>
      <c r="X17" s="1978"/>
      <c r="Y17" s="1978">
        <f>SUM(S17:W17)</f>
        <v>318955</v>
      </c>
      <c r="Z17" s="1976"/>
      <c r="AA17" s="1976">
        <v>322049</v>
      </c>
      <c r="AB17" s="1977"/>
    </row>
    <row r="18" spans="1:31" ht="13.5" x14ac:dyDescent="0.35">
      <c r="A18" s="1969"/>
      <c r="B18" s="1969"/>
      <c r="C18" s="1969"/>
      <c r="D18" s="1969"/>
      <c r="E18" s="1969"/>
      <c r="F18" s="1969"/>
      <c r="G18" s="1969"/>
      <c r="H18" s="1969"/>
      <c r="I18" s="1969"/>
      <c r="J18" s="1979"/>
      <c r="K18" s="1969"/>
      <c r="L18" s="1980"/>
      <c r="M18" s="1969"/>
      <c r="N18" s="1981">
        <f>SUM(N16:N17)</f>
        <v>165178</v>
      </c>
      <c r="O18" s="1982"/>
      <c r="P18" s="1981">
        <f>SUM(P16:P17)</f>
        <v>324126</v>
      </c>
      <c r="Q18" s="1982"/>
      <c r="R18" s="1982"/>
      <c r="S18" s="1981">
        <f>SUM(S16:S17)</f>
        <v>234398</v>
      </c>
      <c r="T18" s="1982"/>
      <c r="U18" s="1981">
        <f>SUM(U16:U17)</f>
        <v>358113</v>
      </c>
      <c r="V18" s="1982"/>
      <c r="W18" s="1981">
        <f>SUM(W16:W17)</f>
        <v>0</v>
      </c>
      <c r="X18" s="1982"/>
      <c r="Y18" s="1981">
        <f>SUM(Y16:Y17)</f>
        <v>592511</v>
      </c>
      <c r="Z18" s="1983"/>
      <c r="AA18" s="1983"/>
    </row>
    <row r="19" spans="1:31" ht="5.45" customHeight="1" x14ac:dyDescent="0.2">
      <c r="A19" s="1969"/>
      <c r="B19" s="1969"/>
      <c r="C19" s="1969"/>
      <c r="D19" s="1969"/>
      <c r="E19" s="1969"/>
      <c r="F19" s="1969"/>
      <c r="G19" s="1969"/>
      <c r="H19" s="1969"/>
      <c r="I19" s="1969"/>
      <c r="J19" s="1979"/>
      <c r="K19" s="1969"/>
      <c r="L19" s="1980"/>
      <c r="M19" s="1969"/>
      <c r="N19" s="1970"/>
      <c r="O19" s="1970"/>
      <c r="P19" s="1970"/>
      <c r="Q19" s="1970"/>
      <c r="R19" s="1970"/>
      <c r="S19" s="1970"/>
      <c r="T19" s="1970"/>
      <c r="U19" s="1970"/>
      <c r="V19" s="1970"/>
      <c r="W19" s="1984"/>
      <c r="X19" s="1970"/>
      <c r="Y19" s="1984"/>
      <c r="Z19" s="1969"/>
      <c r="AA19" s="1985"/>
    </row>
    <row r="20" spans="1:31" x14ac:dyDescent="0.2">
      <c r="A20" s="1969"/>
      <c r="B20" s="1969"/>
      <c r="C20" s="1969" t="s">
        <v>758</v>
      </c>
      <c r="D20" s="1969"/>
      <c r="E20" s="1969"/>
      <c r="F20" s="1969"/>
      <c r="G20" s="1969"/>
      <c r="H20" s="1969"/>
      <c r="I20" s="1969"/>
      <c r="J20" s="1979" t="s">
        <v>2115</v>
      </c>
      <c r="K20" s="1969"/>
      <c r="L20" s="1986" t="s">
        <v>2116</v>
      </c>
      <c r="M20" s="1969"/>
      <c r="N20" s="1970">
        <v>0</v>
      </c>
      <c r="O20" s="1970"/>
      <c r="P20" s="1970">
        <v>25114</v>
      </c>
      <c r="Q20" s="1970"/>
      <c r="R20" s="1984"/>
      <c r="S20" s="1970">
        <v>0</v>
      </c>
      <c r="T20" s="1970"/>
      <c r="U20" s="1970">
        <v>44502</v>
      </c>
      <c r="V20" s="1970"/>
      <c r="W20" s="1984">
        <v>7486</v>
      </c>
      <c r="X20" s="1970"/>
      <c r="Y20" s="1984">
        <f>SUM(S20:W20)</f>
        <v>51988</v>
      </c>
      <c r="Z20" s="1969"/>
      <c r="AA20" s="1985">
        <v>53909</v>
      </c>
    </row>
    <row r="21" spans="1:31" ht="13.5" x14ac:dyDescent="0.35">
      <c r="A21" s="1969"/>
      <c r="B21" s="1969"/>
      <c r="C21" s="1969" t="s">
        <v>758</v>
      </c>
      <c r="D21" s="1969"/>
      <c r="E21" s="1969"/>
      <c r="F21" s="1969"/>
      <c r="G21" s="1969"/>
      <c r="H21" s="1969"/>
      <c r="I21" s="1969"/>
      <c r="J21" s="1973" t="s">
        <v>2115</v>
      </c>
      <c r="K21" s="1969"/>
      <c r="L21" s="1986" t="s">
        <v>2117</v>
      </c>
      <c r="M21" s="1969"/>
      <c r="N21" s="1982">
        <v>34692</v>
      </c>
      <c r="O21" s="1982"/>
      <c r="P21" s="1982">
        <v>21803</v>
      </c>
      <c r="Q21" s="1982"/>
      <c r="R21" s="1982"/>
      <c r="S21" s="1982">
        <v>49085</v>
      </c>
      <c r="T21" s="1982"/>
      <c r="U21" s="1982">
        <f>56495-49085</f>
        <v>7410</v>
      </c>
      <c r="V21" s="1982"/>
      <c r="W21" s="1981">
        <v>0</v>
      </c>
      <c r="X21" s="1982"/>
      <c r="Y21" s="1981">
        <f>SUM(S21:W21)</f>
        <v>56495</v>
      </c>
      <c r="Z21" s="1969"/>
      <c r="AA21" s="1985">
        <v>56689</v>
      </c>
    </row>
    <row r="22" spans="1:31" ht="13.5" x14ac:dyDescent="0.35">
      <c r="A22" s="1969"/>
      <c r="B22" s="1969"/>
      <c r="C22" s="1969"/>
      <c r="D22" s="1969"/>
      <c r="E22" s="1969"/>
      <c r="F22" s="1969"/>
      <c r="G22" s="1969"/>
      <c r="H22" s="1969"/>
      <c r="I22" s="1969"/>
      <c r="J22" s="1979"/>
      <c r="K22" s="1969"/>
      <c r="L22" s="1986"/>
      <c r="M22" s="1969"/>
      <c r="N22" s="1981">
        <f>SUM(N20:N21)</f>
        <v>34692</v>
      </c>
      <c r="O22" s="1982"/>
      <c r="P22" s="1981">
        <f>SUM(P20:P21)</f>
        <v>46917</v>
      </c>
      <c r="Q22" s="1982"/>
      <c r="R22" s="1982"/>
      <c r="S22" s="1981">
        <f>SUM(S20:S21)</f>
        <v>49085</v>
      </c>
      <c r="T22" s="1982"/>
      <c r="U22" s="1981">
        <f>SUM(U20:U21)</f>
        <v>51912</v>
      </c>
      <c r="V22" s="1982"/>
      <c r="W22" s="1981">
        <f>SUM(W20:W21)</f>
        <v>7486</v>
      </c>
      <c r="X22" s="1982"/>
      <c r="Y22" s="1981">
        <f>SUM(Y20:Y21)</f>
        <v>108483</v>
      </c>
      <c r="Z22" s="1969"/>
      <c r="AA22" s="1985"/>
    </row>
    <row r="23" spans="1:31" x14ac:dyDescent="0.2">
      <c r="A23" s="1969"/>
      <c r="B23" s="1987" t="s">
        <v>2118</v>
      </c>
      <c r="C23" s="1969"/>
      <c r="D23" s="1969"/>
      <c r="E23" s="1969"/>
      <c r="F23" s="1969"/>
      <c r="G23" s="1969"/>
      <c r="H23" s="1969"/>
      <c r="I23" s="1969"/>
      <c r="J23" s="1979"/>
      <c r="K23" s="1969"/>
      <c r="L23" s="1980"/>
      <c r="M23" s="1969"/>
      <c r="N23" s="1988"/>
      <c r="O23" s="1988"/>
      <c r="P23" s="1988"/>
      <c r="Q23" s="1988"/>
      <c r="R23" s="1988"/>
      <c r="S23" s="1988"/>
      <c r="T23" s="1988"/>
      <c r="U23" s="1988"/>
      <c r="V23" s="1988"/>
      <c r="W23" s="1988"/>
      <c r="X23" s="1988"/>
      <c r="Y23" s="1988"/>
      <c r="Z23" s="1969"/>
      <c r="AA23" s="1989"/>
    </row>
    <row r="24" spans="1:31" x14ac:dyDescent="0.2">
      <c r="A24" s="1969"/>
      <c r="B24" s="1969" t="s">
        <v>2119</v>
      </c>
      <c r="C24" s="1969"/>
      <c r="D24" s="1969"/>
      <c r="E24" s="1969"/>
      <c r="F24" s="1969"/>
      <c r="G24" s="1969"/>
      <c r="H24" s="1969"/>
      <c r="I24" s="1969"/>
      <c r="J24" s="1990"/>
      <c r="K24" s="1969"/>
      <c r="L24" s="1980"/>
      <c r="M24" s="1969"/>
      <c r="N24" s="1988"/>
      <c r="O24" s="1988"/>
      <c r="P24" s="1988"/>
      <c r="Q24" s="1988"/>
      <c r="R24" s="1988"/>
      <c r="S24" s="1988"/>
      <c r="T24" s="1988"/>
      <c r="U24" s="1988"/>
      <c r="V24" s="1988"/>
      <c r="W24" s="1991"/>
      <c r="X24" s="1988"/>
      <c r="Y24" s="1991"/>
      <c r="Z24" s="1969"/>
      <c r="AA24" s="1989"/>
    </row>
    <row r="25" spans="1:31" x14ac:dyDescent="0.2">
      <c r="A25" s="1969"/>
      <c r="B25" s="1969"/>
      <c r="C25" s="1969" t="s">
        <v>2120</v>
      </c>
      <c r="D25" s="1969"/>
      <c r="E25" s="1969"/>
      <c r="F25" s="1969"/>
      <c r="G25" s="1969"/>
      <c r="H25" s="1969"/>
      <c r="I25" s="1969"/>
      <c r="J25" s="1979" t="s">
        <v>2121</v>
      </c>
      <c r="K25" s="1969"/>
      <c r="L25" s="1980" t="s">
        <v>2122</v>
      </c>
      <c r="M25" s="1969"/>
      <c r="N25" s="1988">
        <v>0</v>
      </c>
      <c r="O25" s="1988"/>
      <c r="P25" s="1988">
        <f>218323-13340+362</f>
        <v>205345</v>
      </c>
      <c r="Q25" s="1988"/>
      <c r="R25" s="1988"/>
      <c r="S25" s="1988">
        <v>0</v>
      </c>
      <c r="T25" s="1988"/>
      <c r="U25" s="1988">
        <v>231617</v>
      </c>
      <c r="V25" s="1988"/>
      <c r="W25" s="1991">
        <v>0</v>
      </c>
      <c r="X25" s="1988"/>
      <c r="Y25" s="1991">
        <f t="shared" ref="Y25" si="0">SUM(S25:W25)</f>
        <v>231617</v>
      </c>
      <c r="Z25" s="1969"/>
      <c r="AA25" s="1989">
        <v>231617</v>
      </c>
    </row>
    <row r="26" spans="1:31" x14ac:dyDescent="0.2">
      <c r="A26" s="1969"/>
      <c r="B26" s="1969"/>
      <c r="C26" s="1969" t="s">
        <v>2120</v>
      </c>
      <c r="D26" s="1969"/>
      <c r="E26" s="1969"/>
      <c r="F26" s="1969"/>
      <c r="G26" s="1969"/>
      <c r="H26" s="1969"/>
      <c r="I26" s="1969"/>
      <c r="J26" s="1979" t="s">
        <v>2121</v>
      </c>
      <c r="K26" s="1969"/>
      <c r="L26" s="1980" t="s">
        <v>2123</v>
      </c>
      <c r="M26" s="1969"/>
      <c r="N26" s="1988">
        <v>200399</v>
      </c>
      <c r="O26" s="1988"/>
      <c r="P26" s="1988">
        <v>13340</v>
      </c>
      <c r="Q26" s="1988"/>
      <c r="R26" s="1988"/>
      <c r="S26" s="1988">
        <v>213739</v>
      </c>
      <c r="T26" s="1988"/>
      <c r="U26" s="1988">
        <v>0</v>
      </c>
      <c r="V26" s="1988"/>
      <c r="W26" s="1991">
        <v>0</v>
      </c>
      <c r="X26" s="1988"/>
      <c r="Y26" s="1991">
        <f t="shared" ref="Y26" si="1">SUM(S26:W26)</f>
        <v>213739</v>
      </c>
      <c r="Z26" s="1969"/>
      <c r="AA26" s="1989">
        <v>231821</v>
      </c>
      <c r="AC26" s="1992"/>
      <c r="AD26" s="1992"/>
      <c r="AE26" s="1992"/>
    </row>
    <row r="27" spans="1:31" x14ac:dyDescent="0.2">
      <c r="A27" s="1969"/>
      <c r="B27" s="1969" t="s">
        <v>2111</v>
      </c>
      <c r="C27" s="1969"/>
      <c r="D27" s="1969"/>
      <c r="E27" s="1969"/>
      <c r="F27" s="1969"/>
      <c r="G27" s="1969"/>
      <c r="H27" s="1969"/>
      <c r="I27" s="1969"/>
      <c r="J27" s="1979"/>
      <c r="K27" s="1969"/>
      <c r="L27" s="1980"/>
      <c r="M27" s="1969"/>
      <c r="N27" s="1988"/>
      <c r="O27" s="1988"/>
      <c r="P27" s="1988"/>
      <c r="Q27" s="1988"/>
      <c r="R27" s="1988"/>
      <c r="S27" s="1988"/>
      <c r="T27" s="1988"/>
      <c r="U27" s="1988"/>
      <c r="V27" s="1988"/>
      <c r="W27" s="1991"/>
      <c r="X27" s="1988"/>
      <c r="Y27" s="1991"/>
      <c r="Z27" s="1969"/>
      <c r="AA27" s="1989"/>
    </row>
    <row r="28" spans="1:31" ht="13.5" x14ac:dyDescent="0.35">
      <c r="A28" s="1969"/>
      <c r="B28" s="1969"/>
      <c r="C28" s="1969" t="s">
        <v>2124</v>
      </c>
      <c r="D28" s="1969"/>
      <c r="E28" s="1969"/>
      <c r="F28" s="1969"/>
      <c r="G28" s="1969"/>
      <c r="H28" s="1969"/>
      <c r="I28" s="1969"/>
      <c r="J28" s="1973" t="s">
        <v>2121</v>
      </c>
      <c r="K28" s="1969"/>
      <c r="L28" s="1980" t="s">
        <v>2125</v>
      </c>
      <c r="M28" s="1969"/>
      <c r="N28" s="1982">
        <v>0</v>
      </c>
      <c r="O28" s="1988"/>
      <c r="P28" s="1982">
        <v>23126</v>
      </c>
      <c r="Q28" s="1988"/>
      <c r="R28" s="1988"/>
      <c r="S28" s="1982">
        <v>0</v>
      </c>
      <c r="T28" s="1988"/>
      <c r="U28" s="1982">
        <v>23126</v>
      </c>
      <c r="V28" s="1988"/>
      <c r="W28" s="1981">
        <v>0</v>
      </c>
      <c r="X28" s="1988"/>
      <c r="Y28" s="1981">
        <f>+S28+W28+U28</f>
        <v>23126</v>
      </c>
      <c r="Z28" s="1969"/>
      <c r="AA28" s="1989" t="s">
        <v>2126</v>
      </c>
    </row>
    <row r="29" spans="1:31" ht="13.5" x14ac:dyDescent="0.35">
      <c r="A29" s="1969"/>
      <c r="B29" s="1969"/>
      <c r="C29" s="1969"/>
      <c r="D29" s="1969"/>
      <c r="E29" s="1969"/>
      <c r="F29" s="1969"/>
      <c r="G29" s="1969"/>
      <c r="H29" s="1969"/>
      <c r="I29" s="1969"/>
      <c r="J29" s="1979"/>
      <c r="K29" s="1969"/>
      <c r="L29" s="1980"/>
      <c r="M29" s="1969"/>
      <c r="N29" s="1982">
        <f>SUM(N24:N28)</f>
        <v>200399</v>
      </c>
      <c r="O29" s="1988"/>
      <c r="P29" s="1982">
        <f>SUM(P24:P28)</f>
        <v>241811</v>
      </c>
      <c r="Q29" s="1988"/>
      <c r="R29" s="1988"/>
      <c r="S29" s="1982">
        <f>SUM(S24:S28)</f>
        <v>213739</v>
      </c>
      <c r="T29" s="1988"/>
      <c r="U29" s="1982">
        <f>SUM(U24:U28)</f>
        <v>254743</v>
      </c>
      <c r="V29" s="1988"/>
      <c r="W29" s="1982">
        <f>SUM(W24:W28)</f>
        <v>0</v>
      </c>
      <c r="X29" s="1988"/>
      <c r="Y29" s="1982">
        <f>SUM(Y24:Y28)</f>
        <v>468482</v>
      </c>
      <c r="Z29" s="1969"/>
      <c r="AA29" s="1989"/>
    </row>
    <row r="30" spans="1:31" s="1969" customFormat="1" x14ac:dyDescent="0.2">
      <c r="A30" s="1987"/>
      <c r="B30" s="1969" t="s">
        <v>2127</v>
      </c>
    </row>
    <row r="31" spans="1:31" s="1969" customFormat="1" x14ac:dyDescent="0.2">
      <c r="C31" s="1969" t="s">
        <v>2128</v>
      </c>
      <c r="J31" s="1973">
        <v>84.040999999999997</v>
      </c>
      <c r="L31" s="1986" t="s">
        <v>2129</v>
      </c>
      <c r="N31" s="1970">
        <v>0</v>
      </c>
      <c r="O31" s="1970"/>
      <c r="P31" s="1970">
        <v>6357</v>
      </c>
      <c r="Q31" s="1970"/>
      <c r="R31" s="1970"/>
      <c r="S31" s="1970">
        <v>0</v>
      </c>
      <c r="T31" s="1970"/>
      <c r="U31" s="1970">
        <v>6357</v>
      </c>
      <c r="V31" s="1970"/>
      <c r="W31" s="1970">
        <v>0</v>
      </c>
      <c r="X31" s="1970"/>
      <c r="Y31" s="1970">
        <f t="shared" ref="Y31:Y33" si="2">+S31+U31+W31</f>
        <v>6357</v>
      </c>
      <c r="AA31" s="1989" t="s">
        <v>2126</v>
      </c>
    </row>
    <row r="32" spans="1:31" s="1969" customFormat="1" x14ac:dyDescent="0.2">
      <c r="A32" s="1987"/>
      <c r="C32" s="1969" t="s">
        <v>2128</v>
      </c>
      <c r="J32" s="1973">
        <v>84.040999999999997</v>
      </c>
      <c r="L32" s="1986" t="s">
        <v>2130</v>
      </c>
      <c r="N32" s="1970">
        <v>12742</v>
      </c>
      <c r="O32" s="1970"/>
      <c r="P32" s="1970">
        <f>4947+4211</f>
        <v>9158</v>
      </c>
      <c r="Q32" s="1970"/>
      <c r="R32" s="1970"/>
      <c r="S32" s="1970">
        <v>12742</v>
      </c>
      <c r="T32" s="1970"/>
      <c r="U32" s="1970">
        <v>9158</v>
      </c>
      <c r="V32" s="1970"/>
      <c r="W32" s="1970">
        <v>0</v>
      </c>
      <c r="X32" s="1970"/>
      <c r="Y32" s="1970">
        <f t="shared" si="2"/>
        <v>21900</v>
      </c>
      <c r="AA32" s="1989" t="s">
        <v>2126</v>
      </c>
    </row>
    <row r="33" spans="1:27" s="1969" customFormat="1" ht="13.5" x14ac:dyDescent="0.35">
      <c r="A33" s="1987"/>
      <c r="C33" s="1969" t="s">
        <v>2128</v>
      </c>
      <c r="J33" s="1973">
        <v>84.040999999999997</v>
      </c>
      <c r="L33" s="1986" t="s">
        <v>2131</v>
      </c>
      <c r="N33" s="1993">
        <v>0</v>
      </c>
      <c r="O33" s="1970"/>
      <c r="P33" s="1993">
        <f>7316+8019</f>
        <v>15335</v>
      </c>
      <c r="Q33" s="1970"/>
      <c r="R33" s="1970"/>
      <c r="S33" s="1993">
        <v>0</v>
      </c>
      <c r="T33" s="1970"/>
      <c r="U33" s="1993">
        <v>15335</v>
      </c>
      <c r="V33" s="1970"/>
      <c r="W33" s="1993">
        <v>0</v>
      </c>
      <c r="X33" s="1970"/>
      <c r="Y33" s="1993">
        <f t="shared" si="2"/>
        <v>15335</v>
      </c>
      <c r="AA33" s="1989" t="s">
        <v>2126</v>
      </c>
    </row>
    <row r="34" spans="1:27" ht="13.5" x14ac:dyDescent="0.35">
      <c r="A34" s="1969"/>
      <c r="B34" s="1969"/>
      <c r="C34" s="1969"/>
      <c r="D34" s="1969"/>
      <c r="E34" s="1969"/>
      <c r="F34" s="1969"/>
      <c r="G34" s="1969"/>
      <c r="H34" s="1969"/>
      <c r="I34" s="1969"/>
      <c r="J34" s="1990"/>
      <c r="K34" s="1969"/>
      <c r="L34" s="1986"/>
      <c r="M34" s="1969"/>
      <c r="N34" s="1981">
        <f>SUM(N31:N33)</f>
        <v>12742</v>
      </c>
      <c r="O34" s="1982"/>
      <c r="P34" s="1981">
        <f>SUM(P31:P33)</f>
        <v>30850</v>
      </c>
      <c r="Q34" s="1982"/>
      <c r="R34" s="1982"/>
      <c r="S34" s="1981">
        <f>SUM(S31:S33)</f>
        <v>12742</v>
      </c>
      <c r="T34" s="1982"/>
      <c r="U34" s="1981">
        <f>SUM(U31:U33)</f>
        <v>30850</v>
      </c>
      <c r="V34" s="1982"/>
      <c r="W34" s="1981">
        <f>SUM(W31:W33)</f>
        <v>0</v>
      </c>
      <c r="X34" s="1982"/>
      <c r="Y34" s="1981">
        <f>SUM(Y31:Y33)</f>
        <v>43592</v>
      </c>
      <c r="Z34" s="1969"/>
      <c r="AA34" s="1989"/>
    </row>
    <row r="35" spans="1:27" ht="13.5" x14ac:dyDescent="0.35">
      <c r="A35" s="1969"/>
      <c r="B35" s="1969"/>
      <c r="C35" s="1969"/>
      <c r="D35" s="1969"/>
      <c r="E35" s="1969" t="s">
        <v>2132</v>
      </c>
      <c r="F35" s="1969"/>
      <c r="G35" s="1969"/>
      <c r="H35" s="1969"/>
      <c r="I35" s="1969"/>
      <c r="J35" s="1979"/>
      <c r="K35" s="1969"/>
      <c r="L35" s="1994"/>
      <c r="M35" s="1995"/>
      <c r="N35" s="1982">
        <f>+N29+N22+N18+N34</f>
        <v>413011</v>
      </c>
      <c r="O35" s="1982"/>
      <c r="P35" s="1982">
        <f>+P29+P22+P18+P34</f>
        <v>643704</v>
      </c>
      <c r="Q35" s="1982"/>
      <c r="R35" s="1982"/>
      <c r="S35" s="1982">
        <f>+S29+S22+S18+S34</f>
        <v>509964</v>
      </c>
      <c r="T35" s="1982"/>
      <c r="U35" s="1982">
        <f>+U29+U22+U18+U34</f>
        <v>695618</v>
      </c>
      <c r="V35" s="1982"/>
      <c r="W35" s="1982">
        <f>+W29+W22+W18+W34</f>
        <v>7486</v>
      </c>
      <c r="X35" s="1982"/>
      <c r="Y35" s="1982">
        <f>+Y29+Y22+Y18+Y34</f>
        <v>1213068</v>
      </c>
      <c r="Z35" s="1995"/>
      <c r="AA35" s="1988"/>
    </row>
    <row r="36" spans="1:27" ht="4.1500000000000004" customHeight="1" x14ac:dyDescent="0.2">
      <c r="A36" s="1969"/>
      <c r="B36" s="1969"/>
      <c r="C36" s="1969"/>
      <c r="D36" s="1969"/>
      <c r="E36" s="1969"/>
      <c r="F36" s="1969"/>
      <c r="G36" s="1969"/>
      <c r="H36" s="1969"/>
      <c r="I36" s="1969"/>
      <c r="J36" s="1979"/>
      <c r="K36" s="1969"/>
      <c r="L36" s="1994"/>
      <c r="M36" s="1995"/>
      <c r="N36" s="1988"/>
      <c r="O36" s="1988"/>
      <c r="P36" s="1988"/>
      <c r="Q36" s="1988"/>
      <c r="R36" s="1988"/>
      <c r="S36" s="1988"/>
      <c r="T36" s="1988"/>
      <c r="U36" s="1988"/>
      <c r="V36" s="1988"/>
      <c r="W36" s="1991"/>
      <c r="X36" s="1988"/>
      <c r="Y36" s="1988"/>
      <c r="Z36" s="1995"/>
      <c r="AA36" s="1988"/>
    </row>
    <row r="37" spans="1:27" x14ac:dyDescent="0.2">
      <c r="A37" s="1987" t="s">
        <v>2133</v>
      </c>
      <c r="B37" s="1969"/>
      <c r="C37" s="1969"/>
      <c r="D37" s="1969"/>
      <c r="E37" s="1969"/>
      <c r="F37" s="1969"/>
      <c r="G37" s="1969"/>
      <c r="H37" s="1969"/>
      <c r="I37" s="1969"/>
      <c r="J37" s="1979"/>
      <c r="K37" s="1969"/>
      <c r="L37" s="1994"/>
      <c r="M37" s="1995"/>
      <c r="N37" s="1988"/>
      <c r="O37" s="1988"/>
      <c r="P37" s="1988"/>
      <c r="Q37" s="1988"/>
      <c r="R37" s="1988"/>
      <c r="S37" s="1988"/>
      <c r="T37" s="1988"/>
      <c r="U37" s="1988"/>
      <c r="V37" s="1988"/>
      <c r="W37" s="1991"/>
      <c r="X37" s="1988"/>
      <c r="Y37" s="1988"/>
      <c r="Z37" s="1995"/>
      <c r="AA37" s="1988"/>
    </row>
    <row r="38" spans="1:27" x14ac:dyDescent="0.2">
      <c r="A38" s="1969"/>
      <c r="B38" s="1969" t="s">
        <v>2134</v>
      </c>
      <c r="C38" s="1969"/>
      <c r="D38" s="1969"/>
      <c r="E38" s="1969"/>
      <c r="F38" s="1969"/>
      <c r="G38" s="1969"/>
      <c r="H38" s="1969"/>
      <c r="I38" s="1969"/>
      <c r="J38" s="1979"/>
      <c r="K38" s="1969"/>
      <c r="L38" s="1994"/>
      <c r="M38" s="1995"/>
      <c r="N38" s="1988"/>
      <c r="O38" s="1988"/>
      <c r="P38" s="1988"/>
      <c r="Q38" s="1988"/>
      <c r="R38" s="1988"/>
      <c r="S38" s="1988"/>
      <c r="T38" s="1988"/>
      <c r="U38" s="1988"/>
      <c r="V38" s="1988"/>
      <c r="W38" s="1991"/>
      <c r="X38" s="1988"/>
      <c r="Y38" s="1988"/>
      <c r="Z38" s="1995"/>
      <c r="AA38" s="1988"/>
    </row>
    <row r="39" spans="1:27" x14ac:dyDescent="0.2">
      <c r="A39" s="1969"/>
      <c r="B39" s="1969"/>
      <c r="C39" s="1969" t="s">
        <v>2135</v>
      </c>
      <c r="D39" s="1969"/>
      <c r="E39" s="1969"/>
      <c r="F39" s="1969"/>
      <c r="G39" s="1969"/>
      <c r="H39" s="1969"/>
      <c r="I39" s="1969"/>
      <c r="J39" s="1979"/>
      <c r="K39" s="1969"/>
      <c r="L39" s="1994"/>
      <c r="M39" s="1995"/>
      <c r="N39" s="1988"/>
      <c r="O39" s="1988"/>
      <c r="P39" s="1988"/>
      <c r="Q39" s="1988"/>
      <c r="R39" s="1988"/>
      <c r="S39" s="1988"/>
      <c r="T39" s="1988"/>
      <c r="U39" s="1988"/>
      <c r="V39" s="1988"/>
      <c r="W39" s="1991"/>
      <c r="X39" s="1988"/>
      <c r="Y39" s="1988"/>
      <c r="Z39" s="1995"/>
      <c r="AA39" s="1988"/>
    </row>
    <row r="40" spans="1:27" ht="13.5" x14ac:dyDescent="0.35">
      <c r="A40" s="1969"/>
      <c r="B40" s="1969"/>
      <c r="C40" s="1969" t="s">
        <v>2136</v>
      </c>
      <c r="D40" s="1969"/>
      <c r="E40" s="1969"/>
      <c r="F40" s="1969"/>
      <c r="G40" s="1969"/>
      <c r="H40" s="1969"/>
      <c r="I40" s="1969"/>
      <c r="J40" s="1973">
        <v>93.778000000000006</v>
      </c>
      <c r="K40" s="1969"/>
      <c r="L40" s="1980" t="s">
        <v>2137</v>
      </c>
      <c r="M40" s="1969"/>
      <c r="N40" s="1982">
        <v>0</v>
      </c>
      <c r="O40" s="1982"/>
      <c r="P40" s="1982">
        <v>10773</v>
      </c>
      <c r="Q40" s="1982"/>
      <c r="R40" s="1982"/>
      <c r="S40" s="1982">
        <v>0</v>
      </c>
      <c r="T40" s="1982"/>
      <c r="U40" s="1982">
        <v>10773</v>
      </c>
      <c r="V40" s="1982"/>
      <c r="W40" s="1981">
        <v>0</v>
      </c>
      <c r="X40" s="1982"/>
      <c r="Y40" s="1981">
        <f>SUM(S40:W40)</f>
        <v>10773</v>
      </c>
      <c r="Z40" s="1969"/>
      <c r="AA40" s="1989" t="s">
        <v>2126</v>
      </c>
    </row>
    <row r="41" spans="1:27" ht="4.1500000000000004" customHeight="1" x14ac:dyDescent="0.2">
      <c r="A41" s="1969"/>
      <c r="B41" s="1969"/>
      <c r="C41" s="1969"/>
      <c r="D41" s="1969"/>
      <c r="E41" s="1969"/>
      <c r="F41" s="1969"/>
      <c r="G41" s="1969"/>
      <c r="H41" s="1969"/>
      <c r="I41" s="1969"/>
      <c r="J41" s="1979"/>
      <c r="K41" s="1969"/>
      <c r="L41" s="1980"/>
      <c r="M41" s="1969"/>
      <c r="N41" s="1988"/>
      <c r="O41" s="1970"/>
      <c r="P41" s="1988"/>
      <c r="Q41" s="1970"/>
      <c r="R41" s="1970"/>
      <c r="S41" s="1988"/>
      <c r="T41" s="1970"/>
      <c r="U41" s="1988"/>
      <c r="V41" s="1970"/>
      <c r="W41" s="1991"/>
      <c r="X41" s="1970"/>
      <c r="Y41" s="1991"/>
      <c r="Z41" s="1969"/>
      <c r="AA41" s="1989"/>
    </row>
    <row r="42" spans="1:27" x14ac:dyDescent="0.2">
      <c r="A42" s="1987" t="s">
        <v>2138</v>
      </c>
      <c r="B42" s="1969"/>
      <c r="C42" s="1969"/>
      <c r="D42" s="1969"/>
      <c r="E42" s="1969"/>
      <c r="F42" s="1969"/>
      <c r="G42" s="1969"/>
      <c r="H42" s="1969"/>
      <c r="I42" s="1969"/>
      <c r="J42" s="1979"/>
      <c r="K42" s="1969"/>
      <c r="L42" s="1994"/>
      <c r="M42" s="1995"/>
      <c r="N42" s="1988"/>
      <c r="O42" s="1988"/>
      <c r="P42" s="1988"/>
      <c r="Q42" s="1988"/>
      <c r="R42" s="1988"/>
      <c r="S42" s="1988"/>
      <c r="T42" s="1988"/>
      <c r="U42" s="1988"/>
      <c r="V42" s="1988"/>
      <c r="W42" s="1991"/>
      <c r="X42" s="1988"/>
      <c r="Y42" s="1988"/>
      <c r="Z42" s="1995"/>
      <c r="AA42" s="1988"/>
    </row>
    <row r="43" spans="1:27" x14ac:dyDescent="0.2">
      <c r="A43" s="1969"/>
      <c r="B43" s="1969" t="s">
        <v>2111</v>
      </c>
      <c r="C43" s="1969"/>
      <c r="D43" s="1969"/>
      <c r="E43" s="1969"/>
      <c r="F43" s="1969"/>
      <c r="G43" s="1969"/>
      <c r="H43" s="1969"/>
      <c r="I43" s="1969"/>
      <c r="J43" s="1986"/>
      <c r="K43" s="1969"/>
      <c r="L43" s="1969"/>
      <c r="M43" s="1969"/>
      <c r="N43" s="1970"/>
      <c r="O43" s="1970"/>
      <c r="P43" s="1970"/>
      <c r="Q43" s="1970"/>
      <c r="R43" s="1970"/>
      <c r="S43" s="1970"/>
      <c r="T43" s="1970"/>
      <c r="U43" s="1970"/>
      <c r="V43" s="1970"/>
      <c r="W43" s="1970"/>
      <c r="X43" s="1970"/>
      <c r="Y43" s="1970"/>
      <c r="Z43" s="1995"/>
      <c r="AA43" s="1969"/>
    </row>
    <row r="44" spans="1:27" x14ac:dyDescent="0.2">
      <c r="A44" s="1969"/>
      <c r="B44" s="1969"/>
      <c r="C44" s="1987" t="s">
        <v>2139</v>
      </c>
      <c r="D44" s="1969"/>
      <c r="E44" s="1969"/>
      <c r="F44" s="1969"/>
      <c r="G44" s="1969"/>
      <c r="H44" s="1969"/>
      <c r="I44" s="1969"/>
      <c r="J44" s="1986"/>
      <c r="K44" s="1969"/>
      <c r="L44" s="1969"/>
      <c r="M44" s="1969"/>
      <c r="N44" s="1970"/>
      <c r="O44" s="1970"/>
      <c r="P44" s="1970"/>
      <c r="Q44" s="1970"/>
      <c r="R44" s="1970"/>
      <c r="S44" s="1970"/>
      <c r="T44" s="1970"/>
      <c r="U44" s="1970"/>
      <c r="V44" s="1970"/>
      <c r="W44" s="1970"/>
      <c r="X44" s="1970"/>
      <c r="Y44" s="1970"/>
      <c r="Z44" s="1995"/>
      <c r="AA44" s="1969"/>
    </row>
    <row r="45" spans="1:27" x14ac:dyDescent="0.2">
      <c r="A45" s="1969"/>
      <c r="D45" s="1969" t="s">
        <v>2140</v>
      </c>
      <c r="E45" s="1969"/>
      <c r="F45" s="1969"/>
      <c r="G45" s="1969"/>
      <c r="H45" s="1969"/>
      <c r="I45" s="1969"/>
      <c r="J45" s="1979"/>
      <c r="K45" s="1969"/>
      <c r="L45" s="1980"/>
      <c r="M45" s="1969"/>
      <c r="N45" s="1970"/>
      <c r="O45" s="1970"/>
      <c r="P45" s="1970"/>
      <c r="Q45" s="1970"/>
      <c r="R45" s="1970"/>
      <c r="S45" s="1970"/>
      <c r="T45" s="1970"/>
      <c r="U45" s="1970"/>
      <c r="V45" s="1970"/>
      <c r="W45" s="1970"/>
      <c r="X45" s="1970"/>
      <c r="Y45" s="1984"/>
      <c r="Z45" s="1969"/>
      <c r="AA45" s="1970"/>
    </row>
    <row r="46" spans="1:27" x14ac:dyDescent="0.2">
      <c r="A46" s="1969"/>
      <c r="B46" s="1969"/>
      <c r="D46" s="1969"/>
      <c r="E46" s="1969" t="s">
        <v>2141</v>
      </c>
      <c r="F46" s="1969"/>
      <c r="G46" s="1969"/>
      <c r="H46" s="1969"/>
      <c r="I46" s="1969"/>
      <c r="J46" s="1979">
        <v>10.555</v>
      </c>
      <c r="K46" s="1969"/>
      <c r="L46" s="1986" t="s">
        <v>2142</v>
      </c>
      <c r="M46" s="1969"/>
      <c r="N46" s="1970">
        <v>0</v>
      </c>
      <c r="O46" s="1970"/>
      <c r="P46" s="1970">
        <v>274513</v>
      </c>
      <c r="Q46" s="1970"/>
      <c r="R46" s="1970"/>
      <c r="S46" s="1970">
        <v>0</v>
      </c>
      <c r="T46" s="1970"/>
      <c r="U46" s="1970">
        <v>274513</v>
      </c>
      <c r="V46" s="1970"/>
      <c r="W46" s="1984">
        <v>0</v>
      </c>
      <c r="X46" s="1970"/>
      <c r="Y46" s="1984">
        <f>SUM(S46:W46)</f>
        <v>274513</v>
      </c>
      <c r="Z46" s="1969"/>
      <c r="AA46" s="1989" t="s">
        <v>2126</v>
      </c>
    </row>
    <row r="47" spans="1:27" x14ac:dyDescent="0.2">
      <c r="A47" s="1969"/>
      <c r="B47" s="1969"/>
      <c r="D47" s="1969"/>
      <c r="E47" s="1969" t="s">
        <v>2141</v>
      </c>
      <c r="F47" s="1969"/>
      <c r="G47" s="1969"/>
      <c r="H47" s="1969"/>
      <c r="I47" s="1969"/>
      <c r="J47" s="1979">
        <v>10.555</v>
      </c>
      <c r="K47" s="1969"/>
      <c r="L47" s="1986" t="s">
        <v>2143</v>
      </c>
      <c r="M47" s="1969"/>
      <c r="N47" s="1970">
        <v>273688</v>
      </c>
      <c r="O47" s="1970"/>
      <c r="P47" s="1970">
        <v>60863</v>
      </c>
      <c r="Q47" s="1970"/>
      <c r="R47" s="1970"/>
      <c r="S47" s="1970">
        <v>273688</v>
      </c>
      <c r="T47" s="1970"/>
      <c r="U47" s="1970">
        <v>60863</v>
      </c>
      <c r="V47" s="1970"/>
      <c r="W47" s="1984">
        <v>0</v>
      </c>
      <c r="X47" s="1970"/>
      <c r="Y47" s="1984">
        <f>SUM(S47:W47)</f>
        <v>334551</v>
      </c>
      <c r="Z47" s="1969"/>
      <c r="AA47" s="1989" t="s">
        <v>2126</v>
      </c>
    </row>
    <row r="48" spans="1:27" x14ac:dyDescent="0.2">
      <c r="A48" s="1969"/>
      <c r="B48" s="1969"/>
      <c r="D48" s="1969" t="s">
        <v>2144</v>
      </c>
      <c r="E48" s="1969"/>
      <c r="F48" s="1969"/>
      <c r="G48" s="1969"/>
      <c r="H48" s="1969"/>
      <c r="I48" s="1969"/>
      <c r="J48" s="1979">
        <v>10.555</v>
      </c>
      <c r="K48" s="1969"/>
      <c r="L48" s="1986" t="s">
        <v>2126</v>
      </c>
      <c r="M48" s="1969"/>
      <c r="N48" s="1970">
        <v>0</v>
      </c>
      <c r="O48" s="1970"/>
      <c r="P48" s="1970">
        <v>46861</v>
      </c>
      <c r="Q48" s="1970"/>
      <c r="R48" s="1970"/>
      <c r="S48" s="1970">
        <v>0</v>
      </c>
      <c r="T48" s="1970"/>
      <c r="U48" s="1970">
        <v>46861</v>
      </c>
      <c r="V48" s="1970"/>
      <c r="W48" s="1984">
        <v>0</v>
      </c>
      <c r="X48" s="1970"/>
      <c r="Y48" s="1984">
        <f>SUM(S48:W48)</f>
        <v>46861</v>
      </c>
      <c r="Z48" s="1969"/>
      <c r="AA48" s="1989" t="s">
        <v>2126</v>
      </c>
    </row>
    <row r="49" spans="1:27" hidden="1" x14ac:dyDescent="0.2">
      <c r="A49" s="1969"/>
      <c r="B49" s="1969"/>
      <c r="D49" s="1969" t="s">
        <v>2145</v>
      </c>
      <c r="E49" s="1969"/>
      <c r="F49" s="1969"/>
      <c r="G49" s="1969"/>
      <c r="H49" s="1969"/>
      <c r="I49" s="1969"/>
      <c r="J49" s="1973">
        <v>10.555</v>
      </c>
      <c r="K49" s="1969"/>
      <c r="L49" s="1986" t="s">
        <v>2126</v>
      </c>
      <c r="M49" s="1969"/>
      <c r="N49" s="1988">
        <v>0</v>
      </c>
      <c r="O49" s="1988"/>
      <c r="P49" s="1988">
        <v>0</v>
      </c>
      <c r="Q49" s="1988"/>
      <c r="R49" s="1988"/>
      <c r="S49" s="1988">
        <v>0</v>
      </c>
      <c r="T49" s="1988"/>
      <c r="U49" s="1988">
        <v>0</v>
      </c>
      <c r="V49" s="1988"/>
      <c r="W49" s="1991">
        <v>0</v>
      </c>
      <c r="X49" s="1988"/>
      <c r="Y49" s="1991">
        <f>SUM(S49:W49)</f>
        <v>0</v>
      </c>
      <c r="Z49" s="1969"/>
      <c r="AA49" s="1989" t="s">
        <v>2126</v>
      </c>
    </row>
    <row r="50" spans="1:27" x14ac:dyDescent="0.2">
      <c r="A50" s="1969"/>
      <c r="B50" s="1969"/>
      <c r="D50" s="1969" t="s">
        <v>2146</v>
      </c>
      <c r="E50" s="1969"/>
      <c r="F50" s="1969"/>
      <c r="G50" s="1969"/>
      <c r="H50" s="1969"/>
      <c r="I50" s="1969"/>
      <c r="J50" s="1979"/>
      <c r="K50" s="1969"/>
      <c r="L50" s="1980"/>
      <c r="M50" s="1969"/>
      <c r="N50" s="1970"/>
      <c r="O50" s="1970"/>
      <c r="P50" s="1970"/>
      <c r="Q50" s="1970"/>
      <c r="R50" s="1970"/>
      <c r="S50" s="1970"/>
      <c r="T50" s="1970"/>
      <c r="U50" s="1970"/>
      <c r="V50" s="1970"/>
      <c r="W50" s="1984"/>
      <c r="X50" s="1970"/>
      <c r="Y50" s="1984"/>
      <c r="Z50" s="1969"/>
      <c r="AA50" s="1980"/>
    </row>
    <row r="51" spans="1:27" x14ac:dyDescent="0.2">
      <c r="A51" s="1969"/>
      <c r="B51" s="1969"/>
      <c r="D51" s="1969"/>
      <c r="E51" s="1969" t="s">
        <v>2141</v>
      </c>
      <c r="F51" s="1969"/>
      <c r="G51" s="1969"/>
      <c r="H51" s="1969"/>
      <c r="I51" s="1969"/>
      <c r="J51" s="1979">
        <v>10.553000000000001</v>
      </c>
      <c r="K51" s="1969"/>
      <c r="L51" s="1986" t="s">
        <v>2147</v>
      </c>
      <c r="M51" s="1969"/>
      <c r="N51" s="1970">
        <v>0</v>
      </c>
      <c r="O51" s="1970"/>
      <c r="P51" s="1970">
        <v>88941</v>
      </c>
      <c r="Q51" s="1970"/>
      <c r="R51" s="1970"/>
      <c r="S51" s="1970">
        <v>0</v>
      </c>
      <c r="T51" s="1970"/>
      <c r="U51" s="1970">
        <v>88941</v>
      </c>
      <c r="V51" s="1970"/>
      <c r="W51" s="1984">
        <v>0</v>
      </c>
      <c r="X51" s="1970"/>
      <c r="Y51" s="1984">
        <f>SUM(S51:W51)</f>
        <v>88941</v>
      </c>
      <c r="Z51" s="1969"/>
      <c r="AA51" s="1989" t="s">
        <v>2126</v>
      </c>
    </row>
    <row r="52" spans="1:27" ht="13.5" x14ac:dyDescent="0.35">
      <c r="A52" s="1969"/>
      <c r="B52" s="1969"/>
      <c r="D52" s="1969"/>
      <c r="E52" s="1969" t="s">
        <v>2141</v>
      </c>
      <c r="F52" s="1969"/>
      <c r="G52" s="1969"/>
      <c r="H52" s="1969"/>
      <c r="I52" s="1969"/>
      <c r="J52" s="1973">
        <v>10.553000000000001</v>
      </c>
      <c r="K52" s="1969"/>
      <c r="L52" s="1986" t="s">
        <v>2148</v>
      </c>
      <c r="M52" s="1969"/>
      <c r="N52" s="1982">
        <v>78595</v>
      </c>
      <c r="O52" s="1982"/>
      <c r="P52" s="1982">
        <v>21440</v>
      </c>
      <c r="Q52" s="1982"/>
      <c r="R52" s="1982"/>
      <c r="S52" s="1982">
        <v>78595</v>
      </c>
      <c r="T52" s="1982"/>
      <c r="U52" s="1982">
        <v>21440</v>
      </c>
      <c r="V52" s="1982"/>
      <c r="W52" s="1981">
        <v>0</v>
      </c>
      <c r="X52" s="1982"/>
      <c r="Y52" s="1981">
        <f>SUM(S52:W52)</f>
        <v>100035</v>
      </c>
      <c r="Z52" s="1969"/>
      <c r="AA52" s="1989" t="s">
        <v>2126</v>
      </c>
    </row>
    <row r="53" spans="1:27" ht="13.5" hidden="1" x14ac:dyDescent="0.35">
      <c r="A53" s="1969"/>
      <c r="B53" s="1969"/>
      <c r="D53" s="1969"/>
      <c r="E53" s="1969"/>
      <c r="F53" s="1969"/>
      <c r="G53" s="1969"/>
      <c r="H53" s="1969"/>
      <c r="I53" s="1969"/>
      <c r="J53" s="1979"/>
      <c r="K53" s="1969"/>
      <c r="L53" s="1986"/>
      <c r="M53" s="1969"/>
      <c r="N53" s="1981">
        <f>SUM(N45:N52)</f>
        <v>352283</v>
      </c>
      <c r="O53" s="1982"/>
      <c r="P53" s="1981">
        <f>SUM(P46:P52)</f>
        <v>492618</v>
      </c>
      <c r="Q53" s="1982"/>
      <c r="R53" s="1982"/>
      <c r="S53" s="1981">
        <f>SUM(S45:S52)</f>
        <v>352283</v>
      </c>
      <c r="T53" s="1982"/>
      <c r="U53" s="1981">
        <f>SUM(U46:U52)</f>
        <v>492618</v>
      </c>
      <c r="V53" s="1982"/>
      <c r="W53" s="1981">
        <f>SUM(W46:W52)</f>
        <v>0</v>
      </c>
      <c r="X53" s="1982"/>
      <c r="Y53" s="1981">
        <f>SUM(Y46:Y52)</f>
        <v>844901</v>
      </c>
      <c r="Z53" s="1969"/>
      <c r="AA53" s="1989"/>
    </row>
    <row r="54" spans="1:27" ht="13.5" x14ac:dyDescent="0.35">
      <c r="E54" s="1969" t="s">
        <v>2149</v>
      </c>
      <c r="F54" s="1969"/>
      <c r="G54" s="1969"/>
      <c r="H54" s="1969"/>
      <c r="I54" s="1969"/>
      <c r="J54" s="1990"/>
      <c r="K54" s="1969"/>
      <c r="L54" s="1986"/>
      <c r="M54" s="1969"/>
      <c r="N54" s="1981">
        <f>SUM(N53:N53)</f>
        <v>352283</v>
      </c>
      <c r="O54" s="1982"/>
      <c r="P54" s="1981">
        <f>SUM(P53:P53)</f>
        <v>492618</v>
      </c>
      <c r="Q54" s="1982"/>
      <c r="R54" s="1982"/>
      <c r="S54" s="1981">
        <f>SUM(S53:S53)</f>
        <v>352283</v>
      </c>
      <c r="T54" s="1982"/>
      <c r="U54" s="1981">
        <f>SUM(U53:U53)</f>
        <v>492618</v>
      </c>
      <c r="V54" s="1982"/>
      <c r="W54" s="1981">
        <f>SUM(W53:W53)</f>
        <v>0</v>
      </c>
      <c r="X54" s="1982"/>
      <c r="Y54" s="1981">
        <f>SUM(Y53:Y53)</f>
        <v>844901</v>
      </c>
      <c r="Z54" s="1969"/>
      <c r="AA54" s="1989"/>
    </row>
    <row r="55" spans="1:27" ht="4.1500000000000004" customHeight="1" x14ac:dyDescent="0.2">
      <c r="E55" s="1969"/>
      <c r="F55" s="1969"/>
      <c r="G55" s="1969"/>
      <c r="H55" s="1969"/>
      <c r="I55" s="1969"/>
      <c r="J55" s="1990"/>
      <c r="K55" s="1969"/>
      <c r="L55" s="1980"/>
      <c r="M55" s="1969"/>
      <c r="N55" s="1970"/>
      <c r="O55" s="1970"/>
      <c r="P55" s="1970"/>
      <c r="Q55" s="1970"/>
      <c r="R55" s="1970"/>
      <c r="S55" s="1970"/>
      <c r="T55" s="1970"/>
      <c r="U55" s="1970"/>
      <c r="V55" s="1970"/>
      <c r="W55" s="1970"/>
      <c r="X55" s="1970"/>
      <c r="Y55" s="1970"/>
      <c r="Z55" s="1969"/>
      <c r="AA55" s="1970"/>
    </row>
    <row r="56" spans="1:27" ht="13.5" x14ac:dyDescent="0.35">
      <c r="E56" s="1969"/>
      <c r="F56" s="1969" t="s">
        <v>2150</v>
      </c>
      <c r="G56" s="1969"/>
      <c r="H56" s="1969"/>
      <c r="I56" s="1969"/>
      <c r="J56" s="1979"/>
      <c r="K56" s="1969"/>
      <c r="L56" s="1969"/>
      <c r="M56" s="1969"/>
      <c r="N56" s="1996">
        <f>+N54+N40+N35</f>
        <v>765294</v>
      </c>
      <c r="O56" s="1996"/>
      <c r="P56" s="1996">
        <f>+P54+P40+P35</f>
        <v>1147095</v>
      </c>
      <c r="Q56" s="1996"/>
      <c r="R56" s="1996"/>
      <c r="S56" s="1996">
        <f>+S54+S40+S35</f>
        <v>862247</v>
      </c>
      <c r="T56" s="1996"/>
      <c r="U56" s="1996">
        <f>+U54+U40+U35</f>
        <v>1199009</v>
      </c>
      <c r="V56" s="1996"/>
      <c r="W56" s="1996">
        <f>+W54+W40+W35</f>
        <v>7486</v>
      </c>
      <c r="X56" s="1996"/>
      <c r="Y56" s="1996">
        <f>+Y54+Y40+Y35</f>
        <v>2068742</v>
      </c>
      <c r="Z56" s="1969"/>
      <c r="AA56" s="1970"/>
    </row>
    <row r="57" spans="1:27" s="1969" customFormat="1" x14ac:dyDescent="0.2">
      <c r="A57" s="1997" t="s">
        <v>2151</v>
      </c>
      <c r="B57" s="1998"/>
      <c r="C57" s="1998"/>
      <c r="D57" s="1998"/>
      <c r="E57" s="1998"/>
      <c r="F57" s="1998"/>
      <c r="G57" s="1998"/>
      <c r="H57" s="1998"/>
      <c r="I57" s="1998"/>
      <c r="J57" s="1998"/>
      <c r="K57" s="1998"/>
      <c r="L57" s="1998"/>
      <c r="M57" s="1998"/>
      <c r="N57" s="1998"/>
      <c r="O57" s="1998"/>
      <c r="P57" s="1998"/>
      <c r="Q57" s="1998"/>
      <c r="R57" s="1998"/>
      <c r="S57" s="1998"/>
      <c r="T57" s="1998"/>
      <c r="U57" s="1998"/>
      <c r="V57" s="1998"/>
      <c r="W57" s="1998"/>
      <c r="X57" s="1998"/>
      <c r="Y57" s="1998"/>
      <c r="Z57" s="1998"/>
      <c r="AA57" s="1998"/>
    </row>
    <row r="58" spans="1:27" s="1969" customFormat="1" x14ac:dyDescent="0.2">
      <c r="A58" s="1997"/>
    </row>
    <row r="60" spans="1:27" x14ac:dyDescent="0.2">
      <c r="P60" s="1992">
        <f>+P56</f>
        <v>1147095</v>
      </c>
      <c r="U60" s="1943">
        <f>+U56*0.4</f>
        <v>479603.60000000003</v>
      </c>
    </row>
    <row r="61" spans="1:27" x14ac:dyDescent="0.2">
      <c r="P61" s="1943">
        <v>61339</v>
      </c>
    </row>
    <row r="62" spans="1:27" x14ac:dyDescent="0.2">
      <c r="P62" s="1992">
        <f>-P48</f>
        <v>-46861</v>
      </c>
    </row>
    <row r="63" spans="1:27" x14ac:dyDescent="0.2">
      <c r="U63" s="1999"/>
    </row>
    <row r="64" spans="1:27" x14ac:dyDescent="0.2">
      <c r="P64" s="1992">
        <f>SUM(P60:P63)</f>
        <v>1161573</v>
      </c>
    </row>
  </sheetData>
  <mergeCells count="14">
    <mergeCell ref="U4:Y4"/>
    <mergeCell ref="I1:R1"/>
    <mergeCell ref="U1:W1"/>
    <mergeCell ref="I2:R2"/>
    <mergeCell ref="I3:R3"/>
    <mergeCell ref="U3:Y3"/>
    <mergeCell ref="A10:I10"/>
    <mergeCell ref="A11:I11"/>
    <mergeCell ref="I5:R5"/>
    <mergeCell ref="U5:AA5"/>
    <mergeCell ref="I6:R6"/>
    <mergeCell ref="A9:I9"/>
    <mergeCell ref="N9:Q9"/>
    <mergeCell ref="R9:U9"/>
  </mergeCells>
  <printOptions horizontalCentered="1"/>
  <pageMargins left="0.5" right="0.25" top="0.5" bottom="0.5" header="0.5" footer="0.5"/>
  <pageSetup scale="85" fitToHeight="2" orientation="landscape" r:id="rId1"/>
  <headerFooter alignWithMargins="0">
    <oddFooter>&amp;CSee Notes to Schedule of Expenditures of Federal Awards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D42" sqref="D4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513" t="str">
        <f>'Single Audit Cover'!A7</f>
        <v>Whiteside School District No. 115</v>
      </c>
      <c r="B1" s="2513"/>
      <c r="C1" s="2513"/>
      <c r="D1" s="2513"/>
      <c r="E1" s="2513"/>
      <c r="F1" s="2513"/>
    </row>
    <row r="2" spans="1:7" ht="13.5" customHeight="1" x14ac:dyDescent="0.2">
      <c r="A2" s="2493" t="str">
        <f>'Single Audit Cover'!E7</f>
        <v>50-082-1150-02</v>
      </c>
      <c r="B2" s="2493"/>
      <c r="C2" s="2493"/>
      <c r="D2" s="2493"/>
      <c r="E2" s="2493"/>
      <c r="F2" s="2493"/>
      <c r="G2" s="1272"/>
    </row>
    <row r="3" spans="1:7" ht="15.75" customHeight="1" x14ac:dyDescent="0.2">
      <c r="A3" s="2514" t="s">
        <v>1271</v>
      </c>
      <c r="B3" s="2514"/>
      <c r="C3" s="2514"/>
      <c r="D3" s="2514"/>
      <c r="E3" s="2514"/>
      <c r="F3" s="2514"/>
    </row>
    <row r="4" spans="1:7" ht="13.5" customHeight="1" x14ac:dyDescent="0.2">
      <c r="A4" s="2515" t="str">
        <f>'Single Audit Cover'!A4</f>
        <v>Year Ending June 30, 2019</v>
      </c>
      <c r="B4" s="2515"/>
      <c r="C4" s="2515"/>
      <c r="D4" s="2515"/>
      <c r="E4" s="2515"/>
      <c r="F4" s="2515"/>
    </row>
    <row r="5" spans="1:7" ht="8.25" customHeight="1" x14ac:dyDescent="0.2">
      <c r="C5" s="317"/>
      <c r="D5" s="317"/>
    </row>
    <row r="6" spans="1:7" ht="13.5" customHeight="1" x14ac:dyDescent="0.2">
      <c r="A6" s="1273" t="s">
        <v>2064</v>
      </c>
      <c r="C6" s="317"/>
      <c r="D6" s="317"/>
    </row>
    <row r="7" spans="1:7" ht="60.95" customHeight="1" x14ac:dyDescent="0.2">
      <c r="A7" s="2512" t="s">
        <v>2065</v>
      </c>
      <c r="B7" s="2512"/>
      <c r="C7" s="2512"/>
      <c r="D7" s="2512"/>
      <c r="E7" s="2512"/>
      <c r="F7" s="2512"/>
    </row>
    <row r="8" spans="1:7" ht="12" customHeight="1" x14ac:dyDescent="0.2">
      <c r="A8" s="1273"/>
      <c r="B8" s="1279"/>
      <c r="C8" s="1279"/>
      <c r="D8" s="1279"/>
    </row>
    <row r="9" spans="1:7" ht="15" customHeight="1" x14ac:dyDescent="0.2">
      <c r="A9" s="1274" t="s">
        <v>2066</v>
      </c>
      <c r="B9" s="1277"/>
      <c r="C9" s="1277"/>
      <c r="D9" s="1277"/>
      <c r="E9" s="1275"/>
      <c r="F9" s="1275"/>
      <c r="G9" s="1275"/>
    </row>
    <row r="10" spans="1:7" ht="15" customHeight="1" x14ac:dyDescent="0.2">
      <c r="A10" s="1276" t="s">
        <v>1547</v>
      </c>
      <c r="B10" s="1277"/>
      <c r="C10" s="1278" t="s">
        <v>2044</v>
      </c>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511" t="s">
        <v>2068</v>
      </c>
      <c r="B13" s="2511"/>
      <c r="C13" s="2511"/>
      <c r="D13" s="2511"/>
      <c r="E13" s="2511"/>
      <c r="F13" s="2511"/>
    </row>
    <row r="14" spans="1:7" ht="9.75" hidden="1" customHeight="1" x14ac:dyDescent="0.2">
      <c r="C14" s="1257"/>
      <c r="D14" s="1257"/>
    </row>
    <row r="15" spans="1:7" ht="13.5" hidden="1" customHeight="1" x14ac:dyDescent="0.2">
      <c r="C15" s="1844" t="s">
        <v>1270</v>
      </c>
      <c r="D15" s="2517" t="s">
        <v>1269</v>
      </c>
      <c r="E15" s="2517"/>
      <c r="F15" s="2517"/>
    </row>
    <row r="16" spans="1:7" ht="13.5" hidden="1" customHeight="1" x14ac:dyDescent="0.2">
      <c r="A16" s="1279"/>
      <c r="B16" s="1273" t="s">
        <v>1268</v>
      </c>
      <c r="C16" s="1844" t="s">
        <v>1267</v>
      </c>
      <c r="D16" s="2518" t="s">
        <v>1588</v>
      </c>
      <c r="E16" s="2518"/>
      <c r="F16" s="2518"/>
    </row>
    <row r="17" spans="1:6" ht="20.45" hidden="1" customHeight="1" x14ac:dyDescent="0.2">
      <c r="A17" s="1280"/>
      <c r="B17" s="1281"/>
      <c r="C17" s="1282"/>
      <c r="D17" s="2516"/>
      <c r="E17" s="2516"/>
      <c r="F17" s="2516"/>
    </row>
    <row r="18" spans="1:6" ht="20.65" hidden="1" customHeight="1" x14ac:dyDescent="0.2">
      <c r="A18" s="1280"/>
      <c r="B18" s="1281"/>
      <c r="C18" s="1282"/>
      <c r="D18" s="2516"/>
      <c r="E18" s="2516"/>
      <c r="F18" s="2516"/>
    </row>
    <row r="19" spans="1:6" ht="20.65" hidden="1" customHeight="1" x14ac:dyDescent="0.2">
      <c r="A19" s="1280"/>
      <c r="B19" s="1281"/>
      <c r="C19" s="1282"/>
      <c r="D19" s="2516"/>
      <c r="E19" s="2516"/>
      <c r="F19" s="2516"/>
    </row>
    <row r="20" spans="1:6" ht="20.65" hidden="1" customHeight="1" x14ac:dyDescent="0.2">
      <c r="A20" s="1280"/>
      <c r="B20" s="1281"/>
      <c r="C20" s="1282"/>
      <c r="D20" s="2516"/>
      <c r="E20" s="2516"/>
      <c r="F20" s="2516"/>
    </row>
    <row r="21" spans="1:6" ht="20.65" hidden="1" customHeight="1" x14ac:dyDescent="0.2">
      <c r="A21" s="1280"/>
      <c r="B21" s="1281"/>
      <c r="C21" s="1282"/>
      <c r="D21" s="2516"/>
      <c r="E21" s="2516"/>
      <c r="F21" s="2516"/>
    </row>
    <row r="22" spans="1:6" ht="20.65" hidden="1" customHeight="1" x14ac:dyDescent="0.2">
      <c r="A22" s="1280"/>
      <c r="B22" s="1281"/>
      <c r="C22" s="1282"/>
      <c r="D22" s="2516"/>
      <c r="E22" s="2516"/>
      <c r="F22" s="2516"/>
    </row>
    <row r="23" spans="1:6" ht="20.65" hidden="1" customHeight="1" x14ac:dyDescent="0.2">
      <c r="A23" s="1280"/>
      <c r="B23" s="1281"/>
      <c r="C23" s="1282"/>
      <c r="D23" s="2516"/>
      <c r="E23" s="2516"/>
      <c r="F23" s="2516"/>
    </row>
    <row r="24" spans="1:6" ht="20.65" hidden="1" customHeight="1" x14ac:dyDescent="0.2">
      <c r="A24" s="1280"/>
      <c r="B24" s="1281"/>
      <c r="C24" s="1282"/>
      <c r="D24" s="2516"/>
      <c r="E24" s="2516"/>
      <c r="F24" s="2516"/>
    </row>
    <row r="25" spans="1:6" ht="20.65" hidden="1" customHeight="1" x14ac:dyDescent="0.2">
      <c r="A25" s="1280"/>
      <c r="B25" s="1281"/>
      <c r="C25" s="1282"/>
      <c r="D25" s="2516"/>
      <c r="E25" s="2516"/>
      <c r="F25" s="2516"/>
    </row>
    <row r="26" spans="1:6" ht="20.65" hidden="1" customHeight="1" x14ac:dyDescent="0.2">
      <c r="A26" s="1280"/>
      <c r="B26" s="1281"/>
      <c r="C26" s="1282"/>
      <c r="D26" s="2516"/>
      <c r="E26" s="2516"/>
      <c r="F26" s="2516"/>
    </row>
    <row r="27" spans="1:6" ht="20.65" hidden="1" customHeight="1" x14ac:dyDescent="0.2">
      <c r="A27" s="1280"/>
      <c r="B27" s="1281"/>
      <c r="C27" s="1282"/>
      <c r="D27" s="2516"/>
      <c r="E27" s="2516"/>
      <c r="F27" s="2516"/>
    </row>
    <row r="28" spans="1:6" ht="20.65" hidden="1" customHeight="1" x14ac:dyDescent="0.2">
      <c r="A28" s="1280"/>
      <c r="B28" s="1281"/>
      <c r="C28" s="1282"/>
      <c r="D28" s="2516"/>
      <c r="E28" s="2516"/>
      <c r="F28" s="2516"/>
    </row>
    <row r="29" spans="1:6" ht="20.65" hidden="1" customHeight="1" x14ac:dyDescent="0.2">
      <c r="A29" s="1280"/>
      <c r="B29" s="1281"/>
      <c r="C29" s="1282"/>
      <c r="D29" s="2516"/>
      <c r="E29" s="2516"/>
      <c r="F29" s="2516"/>
    </row>
    <row r="30" spans="1:6" ht="12" customHeight="1" x14ac:dyDescent="0.2">
      <c r="A30" s="328"/>
      <c r="B30" s="328"/>
      <c r="C30" s="1460"/>
      <c r="D30" s="1901"/>
      <c r="E30" s="1283"/>
    </row>
    <row r="31" spans="1:6" ht="12" customHeight="1" x14ac:dyDescent="0.2">
      <c r="A31" s="1284" t="s">
        <v>1549</v>
      </c>
      <c r="B31" s="328"/>
      <c r="C31" s="1460"/>
      <c r="D31" s="1901"/>
      <c r="E31" s="1283"/>
    </row>
    <row r="32" spans="1:6" ht="30" customHeight="1" x14ac:dyDescent="0.2">
      <c r="A32" s="2520" t="s">
        <v>2067</v>
      </c>
      <c r="B32" s="2520"/>
      <c r="C32" s="2520"/>
      <c r="D32" s="2520"/>
      <c r="E32" s="2520"/>
      <c r="F32" s="2520"/>
    </row>
    <row r="33" spans="1:6" ht="13.5" customHeight="1" x14ac:dyDescent="0.2">
      <c r="A33" s="328" t="s">
        <v>1434</v>
      </c>
      <c r="B33" s="328"/>
      <c r="C33" s="1285">
        <v>46861</v>
      </c>
      <c r="D33" s="1901"/>
      <c r="E33" s="1283"/>
    </row>
    <row r="34" spans="1:6" ht="13.5" customHeight="1" x14ac:dyDescent="0.2">
      <c r="A34" s="328" t="s">
        <v>1818</v>
      </c>
      <c r="B34" s="328"/>
      <c r="C34" s="1286">
        <v>0</v>
      </c>
      <c r="D34" s="1901" t="s">
        <v>1589</v>
      </c>
      <c r="E34" s="2521">
        <f>+C33+C34</f>
        <v>46861</v>
      </c>
      <c r="F34" s="2522"/>
    </row>
    <row r="35" spans="1:6" ht="12" customHeight="1" x14ac:dyDescent="0.2">
      <c r="A35" s="328"/>
      <c r="B35" s="328"/>
      <c r="C35" s="1902"/>
      <c r="D35" s="1901"/>
      <c r="E35" s="1287"/>
      <c r="F35" s="1288"/>
    </row>
    <row r="36" spans="1:6" ht="13.5" customHeight="1" x14ac:dyDescent="0.2">
      <c r="A36" s="1284" t="s">
        <v>1550</v>
      </c>
      <c r="B36" s="328"/>
      <c r="C36" s="1460"/>
      <c r="D36" s="1901"/>
      <c r="E36" s="1283"/>
    </row>
    <row r="37" spans="1:6" ht="14.25" customHeight="1" x14ac:dyDescent="0.2">
      <c r="A37" s="328" t="s">
        <v>1484</v>
      </c>
      <c r="B37" s="328"/>
      <c r="C37" s="1903"/>
      <c r="D37" s="1901"/>
      <c r="E37" s="1283"/>
    </row>
    <row r="38" spans="1:6" ht="14.25" customHeight="1" x14ac:dyDescent="0.2">
      <c r="A38" s="328"/>
      <c r="B38" s="328" t="s">
        <v>1435</v>
      </c>
      <c r="C38" s="1289" t="s">
        <v>2069</v>
      </c>
      <c r="D38" s="1901"/>
      <c r="E38" s="1283"/>
    </row>
    <row r="39" spans="1:6" ht="14.25" customHeight="1" x14ac:dyDescent="0.2">
      <c r="A39" s="328"/>
      <c r="B39" s="328" t="s">
        <v>1436</v>
      </c>
      <c r="C39" s="1289" t="s">
        <v>2069</v>
      </c>
      <c r="D39" s="1901"/>
      <c r="E39" s="1283"/>
    </row>
    <row r="40" spans="1:6" ht="14.25" customHeight="1" x14ac:dyDescent="0.2">
      <c r="A40" s="328"/>
      <c r="B40" s="328" t="s">
        <v>1437</v>
      </c>
      <c r="C40" s="1289" t="s">
        <v>2069</v>
      </c>
      <c r="D40" s="1901"/>
      <c r="E40" s="1283"/>
    </row>
    <row r="41" spans="1:6" ht="14.25" customHeight="1" x14ac:dyDescent="0.2">
      <c r="A41" s="328"/>
      <c r="B41" s="328" t="s">
        <v>1438</v>
      </c>
      <c r="C41" s="1289" t="s">
        <v>2069</v>
      </c>
      <c r="D41" s="1901"/>
      <c r="E41" s="1283"/>
    </row>
    <row r="42" spans="1:6" ht="14.25" customHeight="1" x14ac:dyDescent="0.2">
      <c r="A42" s="328" t="s">
        <v>1439</v>
      </c>
      <c r="B42" s="328"/>
      <c r="C42" s="1899" t="s">
        <v>2069</v>
      </c>
      <c r="D42" s="1901"/>
      <c r="E42" s="1283"/>
    </row>
    <row r="43" spans="1:6" ht="14.25" customHeight="1" x14ac:dyDescent="0.2">
      <c r="A43" s="328" t="s">
        <v>1440</v>
      </c>
      <c r="B43" s="328"/>
      <c r="C43" s="1290" t="s">
        <v>383</v>
      </c>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1728</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523" t="s">
        <v>1590</v>
      </c>
      <c r="C49" s="2523"/>
      <c r="D49" s="2523"/>
      <c r="E49" s="1395"/>
    </row>
    <row r="50" spans="1:5" s="1297" customFormat="1" ht="3.75" customHeight="1" x14ac:dyDescent="0.2">
      <c r="A50" s="1296"/>
      <c r="B50" s="1843"/>
      <c r="C50" s="1843"/>
      <c r="D50" s="1843"/>
      <c r="E50" s="1395"/>
    </row>
    <row r="51" spans="1:5" s="1297" customFormat="1" ht="20.25" customHeight="1" x14ac:dyDescent="0.2">
      <c r="A51" s="1298">
        <v>6</v>
      </c>
      <c r="B51" s="2519" t="s">
        <v>1551</v>
      </c>
      <c r="C51" s="2519"/>
      <c r="D51" s="2519"/>
    </row>
    <row r="52" spans="1:5" ht="14.25" customHeight="1" x14ac:dyDescent="0.2">
      <c r="A52" s="1298"/>
      <c r="B52" s="2519"/>
      <c r="C52" s="2519"/>
      <c r="D52" s="251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9" firstPageNumber="39" orientation="portrait" useFirstPageNumber="1" horizontalDpi="4294967293"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4" zoomScale="110" zoomScaleNormal="110" workbookViewId="0">
      <selection activeCell="D45" sqref="D45:E4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8" t="str">
        <f>'Single Audit Cover'!A7</f>
        <v>Whiteside School District No. 115</v>
      </c>
      <c r="C1" s="2529"/>
      <c r="D1" s="2529"/>
      <c r="E1" s="2529"/>
      <c r="F1" s="2529"/>
      <c r="G1" s="2529"/>
      <c r="H1" s="2529"/>
      <c r="I1" s="2529"/>
      <c r="J1" s="1405"/>
    </row>
    <row r="2" spans="2:10" s="317" customFormat="1" ht="12.75" customHeight="1" x14ac:dyDescent="0.2">
      <c r="B2" s="2530" t="str">
        <f>'Single Audit Cover'!E7</f>
        <v>50-082-1150-02</v>
      </c>
      <c r="C2" s="2531"/>
      <c r="D2" s="2531"/>
      <c r="E2" s="2531"/>
      <c r="F2" s="2531"/>
      <c r="G2" s="2531"/>
      <c r="H2" s="2531"/>
      <c r="I2" s="2531"/>
      <c r="J2" s="1405"/>
    </row>
    <row r="3" spans="2:10" s="317" customFormat="1" ht="12.75" customHeight="1" x14ac:dyDescent="0.2">
      <c r="B3" s="2532" t="s">
        <v>1285</v>
      </c>
      <c r="C3" s="2533"/>
      <c r="D3" s="2533"/>
      <c r="E3" s="2533"/>
      <c r="F3" s="2533"/>
      <c r="G3" s="2533"/>
      <c r="H3" s="2533"/>
      <c r="I3" s="2533"/>
      <c r="J3" s="1406"/>
    </row>
    <row r="4" spans="2:10" s="317" customFormat="1" ht="12.75" customHeight="1" x14ac:dyDescent="0.2">
      <c r="B4" s="2532" t="str">
        <f>'Single Audit Cover'!A4</f>
        <v>Year Ending June 30, 2019</v>
      </c>
      <c r="C4" s="2533"/>
      <c r="D4" s="2533"/>
      <c r="E4" s="2533"/>
      <c r="F4" s="2533"/>
      <c r="G4" s="2533"/>
      <c r="H4" s="2533"/>
      <c r="I4" s="2533"/>
    </row>
    <row r="5" spans="2:10" s="317" customFormat="1" ht="6.2" customHeight="1" x14ac:dyDescent="0.2">
      <c r="B5" s="1407" t="s">
        <v>1169</v>
      </c>
      <c r="C5" s="1291"/>
      <c r="D5" s="1291"/>
      <c r="E5" s="1380"/>
      <c r="F5" s="322"/>
      <c r="G5" s="322"/>
      <c r="H5" s="322"/>
      <c r="I5" s="322"/>
    </row>
    <row r="6" spans="2:10" s="317" customFormat="1" ht="6.2" customHeight="1" x14ac:dyDescent="0.2">
      <c r="B6" s="1408"/>
      <c r="C6" s="1376"/>
      <c r="D6" s="1376"/>
      <c r="E6" s="1377"/>
      <c r="F6" s="1376"/>
      <c r="G6" s="1376"/>
      <c r="H6" s="1376"/>
      <c r="I6" s="1376"/>
    </row>
    <row r="7" spans="2:10" s="317" customFormat="1" ht="13.5" customHeight="1" x14ac:dyDescent="0.2">
      <c r="B7" s="2532" t="s">
        <v>1284</v>
      </c>
      <c r="C7" s="2533"/>
      <c r="D7" s="2533"/>
      <c r="E7" s="2533"/>
      <c r="F7" s="2533"/>
      <c r="G7" s="2533"/>
      <c r="H7" s="2533"/>
      <c r="I7" s="2533"/>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80"/>
      <c r="F9" s="322"/>
      <c r="G9" s="322"/>
      <c r="H9" s="322"/>
      <c r="I9" s="322"/>
    </row>
    <row r="10" spans="2:10" s="317" customFormat="1" ht="12.75" customHeight="1" x14ac:dyDescent="0.2">
      <c r="B10" s="1413" t="s">
        <v>1283</v>
      </c>
      <c r="C10" s="1414"/>
      <c r="D10" s="1414"/>
      <c r="E10" s="1255"/>
    </row>
    <row r="11" spans="2:10" s="317" customFormat="1" ht="13.5" customHeight="1" x14ac:dyDescent="0.2">
      <c r="B11" s="1346" t="s">
        <v>1282</v>
      </c>
      <c r="C11" s="2534" t="s">
        <v>1164</v>
      </c>
      <c r="D11" s="2534"/>
      <c r="E11" s="1415"/>
      <c r="F11" s="1415"/>
      <c r="G11" s="1415"/>
    </row>
    <row r="12" spans="2:10" s="317" customFormat="1" ht="11.45" customHeight="1" x14ac:dyDescent="0.2">
      <c r="B12" s="1354"/>
      <c r="C12" s="1416" t="s">
        <v>1442</v>
      </c>
      <c r="D12" s="1417"/>
      <c r="E12" s="1255"/>
    </row>
    <row r="13" spans="2:10" s="317" customFormat="1" ht="12.75" customHeight="1" x14ac:dyDescent="0.2">
      <c r="B13" s="1418"/>
      <c r="C13" s="1383"/>
      <c r="D13" s="1383"/>
      <c r="E13" s="1255"/>
    </row>
    <row r="14" spans="2:10" s="317" customFormat="1" ht="12.75" customHeight="1" x14ac:dyDescent="0.2">
      <c r="B14" s="1365" t="s">
        <v>1281</v>
      </c>
      <c r="C14" s="1279"/>
      <c r="E14" s="1255"/>
    </row>
    <row r="15" spans="2:10" s="317" customFormat="1" ht="13.5" customHeight="1" x14ac:dyDescent="0.2">
      <c r="B15" s="1419" t="s">
        <v>1278</v>
      </c>
      <c r="C15" s="1420"/>
      <c r="D15" s="1394"/>
      <c r="E15" s="1421"/>
      <c r="F15" s="1297" t="s">
        <v>885</v>
      </c>
      <c r="G15" s="1421" t="s">
        <v>2044</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19" t="s">
        <v>1277</v>
      </c>
      <c r="C17" s="1420"/>
      <c r="D17" s="1394"/>
      <c r="E17" s="1422"/>
      <c r="F17" s="1254"/>
      <c r="G17" s="1422"/>
      <c r="H17" s="1297"/>
      <c r="I17" s="1297"/>
    </row>
    <row r="18" spans="2:9" s="317" customFormat="1" ht="12.75" customHeight="1" x14ac:dyDescent="0.2">
      <c r="B18" s="1419" t="s">
        <v>1443</v>
      </c>
      <c r="C18" s="1420"/>
      <c r="D18" s="1394"/>
      <c r="E18" s="1421"/>
      <c r="F18" s="1297" t="s">
        <v>885</v>
      </c>
      <c r="G18" s="1421" t="s">
        <v>2044</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19" t="s">
        <v>1591</v>
      </c>
      <c r="C20" s="1420"/>
      <c r="D20" s="1394"/>
      <c r="E20" s="1421"/>
      <c r="F20" s="1297" t="s">
        <v>885</v>
      </c>
      <c r="G20" s="1421" t="s">
        <v>2044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3" t="s">
        <v>1280</v>
      </c>
      <c r="C22" s="1423"/>
      <c r="D22" s="1414"/>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19" t="s">
        <v>1278</v>
      </c>
      <c r="C24" s="1420"/>
      <c r="D24" s="1394"/>
      <c r="E24" s="1421"/>
      <c r="F24" s="1297" t="s">
        <v>885</v>
      </c>
      <c r="G24" s="1421" t="s">
        <v>2044</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19" t="s">
        <v>1277</v>
      </c>
      <c r="C26" s="1420"/>
      <c r="D26" s="1394"/>
      <c r="E26" s="1422"/>
      <c r="F26" s="1254"/>
      <c r="G26" s="1422"/>
      <c r="H26" s="1297"/>
      <c r="I26" s="1297"/>
    </row>
    <row r="27" spans="2:9" s="317" customFormat="1" ht="12.75" customHeight="1" x14ac:dyDescent="0.2">
      <c r="B27" s="1419" t="s">
        <v>1443</v>
      </c>
      <c r="C27" s="1420"/>
      <c r="D27" s="1394"/>
      <c r="E27" s="1421"/>
      <c r="F27" s="1297" t="s">
        <v>885</v>
      </c>
      <c r="G27" s="1421" t="s">
        <v>2044</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535" t="s">
        <v>2070</v>
      </c>
      <c r="E29" s="2535"/>
      <c r="F29" s="2535"/>
      <c r="G29" s="2535"/>
      <c r="H29" s="2535"/>
      <c r="I29" s="2535"/>
    </row>
    <row r="30" spans="2:9" s="317" customFormat="1" x14ac:dyDescent="0.2">
      <c r="B30" s="1365"/>
      <c r="C30" s="322"/>
      <c r="D30" s="1416" t="s">
        <v>2081</v>
      </c>
      <c r="E30" s="1417"/>
      <c r="F30" s="1417"/>
      <c r="G30" s="1417"/>
      <c r="H30" s="1417"/>
      <c r="I30" s="1417"/>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1"/>
      <c r="F33" s="1297" t="s">
        <v>885</v>
      </c>
      <c r="G33" s="1421" t="s">
        <v>2044</v>
      </c>
      <c r="H33" s="1297" t="s">
        <v>99</v>
      </c>
    </row>
    <row r="35" spans="2:9" x14ac:dyDescent="0.2">
      <c r="B35" s="1424" t="s">
        <v>2082</v>
      </c>
      <c r="C35" s="1425"/>
      <c r="D35" s="1264"/>
    </row>
    <row r="36" spans="2:9" ht="6" customHeight="1" x14ac:dyDescent="0.2">
      <c r="B36" s="1424"/>
      <c r="C36" s="1425"/>
      <c r="D36" s="1264"/>
    </row>
    <row r="37" spans="2:9" ht="17.25" customHeight="1" x14ac:dyDescent="0.2">
      <c r="B37" s="1426" t="s">
        <v>2083</v>
      </c>
      <c r="C37" s="2536" t="s">
        <v>2084</v>
      </c>
      <c r="D37" s="2537"/>
      <c r="E37" s="2537"/>
      <c r="F37" s="2538"/>
      <c r="G37" s="2536" t="s">
        <v>1592</v>
      </c>
      <c r="H37" s="2537"/>
      <c r="I37" s="2538"/>
    </row>
    <row r="38" spans="2:9" ht="16.5" customHeight="1" x14ac:dyDescent="0.2">
      <c r="B38" s="1427"/>
      <c r="C38" s="2524" t="s">
        <v>2085</v>
      </c>
      <c r="D38" s="2525"/>
      <c r="E38" s="2525"/>
      <c r="F38" s="2526"/>
      <c r="G38" s="2539">
        <v>492618</v>
      </c>
      <c r="H38" s="2540"/>
      <c r="I38" s="2541"/>
    </row>
    <row r="39" spans="2:9" ht="16.5" customHeight="1" x14ac:dyDescent="0.2">
      <c r="B39" s="1427"/>
      <c r="C39" s="2524"/>
      <c r="D39" s="2525"/>
      <c r="E39" s="2525"/>
      <c r="F39" s="2526"/>
      <c r="G39" s="2527"/>
      <c r="H39" s="2527"/>
      <c r="I39" s="2527"/>
    </row>
    <row r="40" spans="2:9" ht="16.5" customHeight="1" x14ac:dyDescent="0.2">
      <c r="B40" s="1427"/>
      <c r="C40" s="2524"/>
      <c r="D40" s="2525"/>
      <c r="E40" s="2525"/>
      <c r="F40" s="2526"/>
      <c r="G40" s="2527"/>
      <c r="H40" s="2527"/>
      <c r="I40" s="2527"/>
    </row>
    <row r="41" spans="2:9" ht="16.5" customHeight="1" x14ac:dyDescent="0.2">
      <c r="B41" s="1427"/>
      <c r="C41" s="2524"/>
      <c r="D41" s="2525"/>
      <c r="E41" s="2525"/>
      <c r="F41" s="2526"/>
      <c r="G41" s="2527"/>
      <c r="H41" s="2527"/>
      <c r="I41" s="2527"/>
    </row>
    <row r="42" spans="2:9" ht="16.5" customHeight="1" x14ac:dyDescent="0.2">
      <c r="B42" s="1427"/>
      <c r="C42" s="2524"/>
      <c r="D42" s="2525"/>
      <c r="E42" s="2525"/>
      <c r="F42" s="2526"/>
      <c r="G42" s="2527"/>
      <c r="H42" s="2527"/>
      <c r="I42" s="2527"/>
    </row>
    <row r="43" spans="2:9" ht="16.5" customHeight="1" x14ac:dyDescent="0.2">
      <c r="B43" s="1427"/>
      <c r="C43" s="2542" t="s">
        <v>1593</v>
      </c>
      <c r="D43" s="2543"/>
      <c r="E43" s="2543"/>
      <c r="F43" s="2544"/>
      <c r="G43" s="2545">
        <f>SUM(G38:I42)</f>
        <v>492618</v>
      </c>
      <c r="H43" s="2545"/>
      <c r="I43" s="2545"/>
    </row>
    <row r="44" spans="2:9" ht="12.75" customHeight="1" x14ac:dyDescent="0.2"/>
    <row r="45" spans="2:9" ht="12.75" customHeight="1" x14ac:dyDescent="0.2">
      <c r="B45" s="1418" t="s">
        <v>2041</v>
      </c>
      <c r="D45" s="2546">
        <v>1199009</v>
      </c>
      <c r="E45" s="2547"/>
    </row>
    <row r="46" spans="2:9" ht="5.25" customHeight="1" x14ac:dyDescent="0.2">
      <c r="B46" s="1428"/>
      <c r="D46" s="1429"/>
      <c r="E46" s="1430"/>
    </row>
    <row r="47" spans="2:9" ht="12.75" customHeight="1" x14ac:dyDescent="0.2">
      <c r="B47" s="1297" t="s">
        <v>1594</v>
      </c>
      <c r="C47" s="1297"/>
      <c r="D47" s="1431">
        <f>+G43/D45</f>
        <v>0.41085429717374933</v>
      </c>
      <c r="E47" s="1432"/>
      <c r="F47" s="1433"/>
      <c r="I47" s="1434"/>
    </row>
    <row r="48" spans="2:9" ht="9.9499999999999993" customHeight="1" x14ac:dyDescent="0.2"/>
    <row r="49" spans="1:9" x14ac:dyDescent="0.2">
      <c r="B49" s="1365" t="s">
        <v>1273</v>
      </c>
      <c r="C49" s="1279"/>
      <c r="D49" s="1279"/>
      <c r="E49" s="2548">
        <v>750000</v>
      </c>
      <c r="F49" s="2548"/>
      <c r="G49" s="2548"/>
      <c r="H49" s="322"/>
    </row>
    <row r="51" spans="1:9" ht="13.5" customHeight="1" x14ac:dyDescent="0.2">
      <c r="B51" s="1365" t="s">
        <v>1272</v>
      </c>
      <c r="C51" s="1279"/>
      <c r="E51" s="1421"/>
      <c r="F51" s="1297" t="s">
        <v>885</v>
      </c>
      <c r="G51" s="1421" t="s">
        <v>2044</v>
      </c>
      <c r="H51" s="1297" t="s">
        <v>99</v>
      </c>
    </row>
    <row r="52" spans="1:9" x14ac:dyDescent="0.2">
      <c r="B52" s="1357"/>
      <c r="C52" s="1294"/>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1740</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1741</v>
      </c>
      <c r="C58" s="1447"/>
      <c r="D58" s="1447"/>
    </row>
    <row r="59" spans="1:9" s="1444" customFormat="1" ht="3.95" customHeight="1" x14ac:dyDescent="0.2">
      <c r="A59" s="1441"/>
      <c r="B59" s="1446"/>
      <c r="C59" s="1447"/>
      <c r="D59" s="1447"/>
    </row>
    <row r="60" spans="1:9" s="1444" customFormat="1" ht="13.5" customHeight="1" x14ac:dyDescent="0.2">
      <c r="A60" s="1441"/>
      <c r="B60" s="1446" t="s">
        <v>1742</v>
      </c>
      <c r="C60" s="1447"/>
      <c r="D60" s="1447"/>
    </row>
    <row r="61" spans="1:9" s="1444" customFormat="1" ht="3.95" customHeight="1" x14ac:dyDescent="0.2">
      <c r="A61" s="1441"/>
      <c r="B61" s="1446"/>
      <c r="C61" s="1447"/>
      <c r="D61" s="1447"/>
    </row>
    <row r="62" spans="1:9" s="1444" customFormat="1" ht="12.75" customHeight="1" x14ac:dyDescent="0.2">
      <c r="A62" s="1441"/>
      <c r="B62" s="1446" t="s">
        <v>1743</v>
      </c>
      <c r="C62" s="1447"/>
      <c r="D62" s="1447"/>
    </row>
    <row r="63" spans="1:9" s="1444" customFormat="1" ht="13.5" customHeight="1" x14ac:dyDescent="0.2">
      <c r="A63" s="1441"/>
      <c r="B63" s="1445" t="s">
        <v>1597</v>
      </c>
      <c r="C63" s="1441"/>
      <c r="D63" s="144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8" t="str">
        <f>'Single Audit Cover'!A7</f>
        <v>Whiteside School District No. 115</v>
      </c>
      <c r="C1" s="2528"/>
      <c r="D1" s="2528"/>
      <c r="E1" s="2528"/>
      <c r="F1" s="2528"/>
      <c r="G1" s="2528"/>
      <c r="H1" s="2528"/>
      <c r="I1" s="2528"/>
      <c r="J1" s="2528"/>
      <c r="K1" s="2528"/>
      <c r="L1" s="1371"/>
      <c r="M1" s="1371"/>
    </row>
    <row r="2" spans="1:13" ht="12" customHeight="1" x14ac:dyDescent="0.2">
      <c r="B2" s="2530" t="str">
        <f>'Single Audit Cover'!E7</f>
        <v>50-082-1150-02</v>
      </c>
      <c r="C2" s="2530"/>
      <c r="D2" s="2530"/>
      <c r="E2" s="2530"/>
      <c r="F2" s="2530"/>
      <c r="G2" s="2530"/>
      <c r="H2" s="2530"/>
      <c r="I2" s="2530"/>
      <c r="J2" s="2530"/>
      <c r="K2" s="2530"/>
      <c r="L2" s="1372"/>
      <c r="M2" s="1373"/>
    </row>
    <row r="3" spans="1:13" ht="10.35" customHeight="1" x14ac:dyDescent="0.2">
      <c r="B3" s="2551" t="s">
        <v>1285</v>
      </c>
      <c r="C3" s="2551"/>
      <c r="D3" s="2551"/>
      <c r="E3" s="2551"/>
      <c r="F3" s="2551"/>
      <c r="G3" s="2551"/>
      <c r="H3" s="2551"/>
      <c r="I3" s="2551"/>
      <c r="J3" s="2551"/>
      <c r="K3" s="2551"/>
      <c r="L3" s="1374"/>
      <c r="M3" s="1374"/>
    </row>
    <row r="4" spans="1:13" ht="14.25" customHeight="1" x14ac:dyDescent="0.2">
      <c r="B4" s="2552" t="str">
        <f>'Single Audit Cover'!A4</f>
        <v>Year Ending June 30, 2019</v>
      </c>
      <c r="C4" s="2552"/>
      <c r="D4" s="2552"/>
      <c r="E4" s="2552"/>
      <c r="F4" s="2552"/>
      <c r="G4" s="2552"/>
      <c r="H4" s="2552"/>
      <c r="I4" s="2552"/>
      <c r="J4" s="2552"/>
      <c r="K4" s="255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52" t="s">
        <v>1296</v>
      </c>
      <c r="C7" s="2552"/>
      <c r="D7" s="2553"/>
      <c r="E7" s="2553"/>
      <c r="F7" s="2553"/>
      <c r="G7" s="2553"/>
      <c r="H7" s="2553"/>
      <c r="I7" s="2553"/>
      <c r="J7" s="2553"/>
      <c r="K7" s="255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2071</v>
      </c>
      <c r="C10" s="1382" t="s">
        <v>2069</v>
      </c>
      <c r="D10" s="1941"/>
      <c r="E10" s="322"/>
      <c r="F10" s="1383" t="s">
        <v>1295</v>
      </c>
      <c r="G10" s="1384"/>
      <c r="H10" s="1385" t="s">
        <v>1294</v>
      </c>
      <c r="I10" s="1384"/>
      <c r="J10" s="1386" t="s">
        <v>1293</v>
      </c>
      <c r="K10" s="322"/>
      <c r="L10" s="1378"/>
    </row>
    <row r="11" spans="1:13" ht="13.5" customHeight="1" x14ac:dyDescent="0.2">
      <c r="B11" s="322"/>
      <c r="C11" s="322"/>
      <c r="D11" s="322"/>
      <c r="E11" s="322"/>
      <c r="F11" s="322"/>
      <c r="G11" s="1380"/>
      <c r="H11" s="322"/>
      <c r="I11" s="1387" t="s">
        <v>1292</v>
      </c>
      <c r="J11" s="322"/>
      <c r="K11" s="1388"/>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89" t="s">
        <v>1291</v>
      </c>
      <c r="C13" s="1389"/>
      <c r="D13" s="1390"/>
      <c r="E13" s="1390"/>
      <c r="F13" s="1390"/>
      <c r="G13" s="1391"/>
      <c r="H13" s="1390"/>
      <c r="I13" s="1391"/>
      <c r="J13" s="1390"/>
      <c r="K13" s="1390"/>
      <c r="L13" s="1392"/>
    </row>
    <row r="14" spans="1:13" ht="45.75" customHeight="1" x14ac:dyDescent="0.2">
      <c r="B14" s="2550"/>
      <c r="C14" s="2550"/>
      <c r="D14" s="2550"/>
      <c r="E14" s="2550"/>
      <c r="F14" s="2550"/>
      <c r="G14" s="2550"/>
      <c r="H14" s="2550"/>
      <c r="I14" s="2550"/>
      <c r="J14" s="2550"/>
      <c r="K14" s="2550"/>
      <c r="L14" s="1393"/>
    </row>
    <row r="15" spans="1:13" ht="4.5" customHeight="1" x14ac:dyDescent="0.2">
      <c r="B15" s="1394"/>
      <c r="C15" s="1394"/>
      <c r="D15" s="1395"/>
      <c r="E15" s="1395"/>
      <c r="F15" s="1395"/>
      <c r="H15" s="1395"/>
      <c r="J15" s="1395"/>
      <c r="K15" s="1395"/>
      <c r="L15" s="1393"/>
    </row>
    <row r="16" spans="1:13" s="1279" customFormat="1" ht="13.5" customHeight="1" x14ac:dyDescent="0.2">
      <c r="B16" s="1389" t="s">
        <v>1290</v>
      </c>
      <c r="C16" s="1389"/>
      <c r="D16" s="1390"/>
      <c r="E16" s="1390"/>
      <c r="F16" s="1390"/>
      <c r="G16" s="1391"/>
      <c r="H16" s="1390"/>
      <c r="I16" s="1391"/>
      <c r="J16" s="1390"/>
      <c r="K16" s="1390"/>
      <c r="L16" s="1392"/>
    </row>
    <row r="17" spans="2:12" ht="45.75" customHeight="1" x14ac:dyDescent="0.2">
      <c r="B17" s="2550"/>
      <c r="C17" s="2550"/>
      <c r="D17" s="2550"/>
      <c r="E17" s="2550"/>
      <c r="F17" s="2550"/>
      <c r="G17" s="2550"/>
      <c r="H17" s="2550"/>
      <c r="I17" s="2550"/>
      <c r="J17" s="2550"/>
      <c r="K17" s="2550"/>
      <c r="L17" s="1378"/>
    </row>
    <row r="18" spans="2:12" ht="4.5" customHeight="1" x14ac:dyDescent="0.2">
      <c r="B18" s="1394"/>
      <c r="C18" s="1394"/>
      <c r="L18" s="1378"/>
    </row>
    <row r="19" spans="2:12" s="1279" customFormat="1" ht="13.5" customHeight="1" x14ac:dyDescent="0.2">
      <c r="B19" s="1389" t="s">
        <v>2072</v>
      </c>
      <c r="C19" s="1389"/>
      <c r="D19" s="1390"/>
      <c r="E19" s="1390"/>
      <c r="F19" s="1390"/>
      <c r="G19" s="1391"/>
      <c r="H19" s="1390"/>
      <c r="I19" s="1391"/>
      <c r="J19" s="1390"/>
      <c r="K19" s="1390"/>
      <c r="L19" s="1392"/>
    </row>
    <row r="20" spans="2:12" ht="45.75" customHeight="1" x14ac:dyDescent="0.2">
      <c r="B20" s="2554"/>
      <c r="C20" s="2554"/>
      <c r="D20" s="2550"/>
      <c r="E20" s="2550"/>
      <c r="F20" s="2550"/>
      <c r="G20" s="2550"/>
      <c r="H20" s="2550"/>
      <c r="I20" s="2550"/>
      <c r="J20" s="2550"/>
      <c r="K20" s="2550"/>
      <c r="L20" s="1378"/>
    </row>
    <row r="21" spans="2:12" ht="4.5" customHeight="1" x14ac:dyDescent="0.2">
      <c r="B21" s="1396"/>
      <c r="C21" s="1396"/>
      <c r="L21" s="1378"/>
    </row>
    <row r="22" spans="2:12" ht="13.5" customHeight="1" x14ac:dyDescent="0.2">
      <c r="B22" s="1389" t="s">
        <v>1289</v>
      </c>
      <c r="C22" s="1389"/>
      <c r="D22" s="1376"/>
      <c r="E22" s="1376"/>
      <c r="F22" s="1376"/>
      <c r="G22" s="1377"/>
      <c r="H22" s="1376"/>
      <c r="I22" s="1377"/>
      <c r="J22" s="1376"/>
      <c r="K22" s="1376"/>
      <c r="L22" s="1378"/>
    </row>
    <row r="23" spans="2:12" ht="45" customHeight="1" x14ac:dyDescent="0.2">
      <c r="B23" s="2550"/>
      <c r="C23" s="2550"/>
      <c r="D23" s="2550"/>
      <c r="E23" s="2550"/>
      <c r="F23" s="2550"/>
      <c r="G23" s="2550"/>
      <c r="H23" s="2550"/>
      <c r="I23" s="2550"/>
      <c r="J23" s="2550"/>
      <c r="K23" s="2550"/>
      <c r="L23" s="1378"/>
    </row>
    <row r="24" spans="2:12" ht="4.5" customHeight="1" x14ac:dyDescent="0.2">
      <c r="B24" s="1394"/>
      <c r="C24" s="1394"/>
      <c r="L24" s="1378"/>
    </row>
    <row r="25" spans="2:12" ht="13.5" customHeight="1" x14ac:dyDescent="0.2">
      <c r="B25" s="1389" t="s">
        <v>1288</v>
      </c>
      <c r="C25" s="1389"/>
      <c r="D25" s="1376"/>
      <c r="E25" s="1376"/>
      <c r="F25" s="1376"/>
      <c r="G25" s="1377"/>
      <c r="H25" s="1376"/>
      <c r="I25" s="1377"/>
      <c r="J25" s="1376"/>
      <c r="K25" s="1376"/>
      <c r="L25" s="1378"/>
    </row>
    <row r="26" spans="2:12" ht="45.75" customHeight="1" x14ac:dyDescent="0.2">
      <c r="B26" s="2550"/>
      <c r="C26" s="2550"/>
      <c r="D26" s="2550"/>
      <c r="E26" s="2550"/>
      <c r="F26" s="2550"/>
      <c r="G26" s="2550"/>
      <c r="H26" s="2550"/>
      <c r="I26" s="2550"/>
      <c r="J26" s="2550"/>
      <c r="K26" s="2550"/>
      <c r="L26" s="1378"/>
    </row>
    <row r="27" spans="2:12" ht="4.5" customHeight="1" x14ac:dyDescent="0.2">
      <c r="B27" s="1394"/>
      <c r="C27" s="1394"/>
      <c r="L27" s="1378"/>
    </row>
    <row r="28" spans="2:12" ht="13.5" customHeight="1" x14ac:dyDescent="0.2">
      <c r="B28" s="1397" t="s">
        <v>1287</v>
      </c>
      <c r="C28" s="1397"/>
      <c r="D28" s="1376"/>
      <c r="E28" s="1376"/>
      <c r="F28" s="1376"/>
      <c r="G28" s="1377"/>
      <c r="H28" s="1376"/>
      <c r="I28" s="1377"/>
      <c r="J28" s="1376"/>
      <c r="K28" s="1376"/>
      <c r="L28" s="1378"/>
    </row>
    <row r="29" spans="2:12" ht="45.75" customHeight="1" x14ac:dyDescent="0.2">
      <c r="B29" s="2549"/>
      <c r="C29" s="2549"/>
      <c r="D29" s="2550"/>
      <c r="E29" s="2550"/>
      <c r="F29" s="2550"/>
      <c r="G29" s="2550"/>
      <c r="H29" s="2550"/>
      <c r="I29" s="2550"/>
      <c r="J29" s="2550"/>
      <c r="K29" s="2550"/>
      <c r="L29" s="1378"/>
    </row>
    <row r="30" spans="2:12" ht="4.5" customHeight="1" x14ac:dyDescent="0.2">
      <c r="B30" s="1398"/>
      <c r="C30" s="1398"/>
      <c r="D30" s="322"/>
      <c r="E30" s="322"/>
      <c r="F30" s="322"/>
      <c r="G30" s="1380"/>
      <c r="H30" s="322"/>
      <c r="I30" s="1380"/>
      <c r="J30" s="322"/>
      <c r="K30" s="322"/>
      <c r="L30" s="1378"/>
    </row>
    <row r="31" spans="2:12" s="322" customFormat="1" ht="13.5" customHeight="1" x14ac:dyDescent="0.2">
      <c r="B31" s="1399" t="s">
        <v>2073</v>
      </c>
      <c r="C31" s="1399"/>
      <c r="D31" s="1375"/>
      <c r="E31" s="1376"/>
      <c r="F31" s="1376"/>
      <c r="G31" s="1377"/>
      <c r="H31" s="1376"/>
      <c r="I31" s="1377"/>
      <c r="J31" s="1376"/>
      <c r="K31" s="1376"/>
      <c r="L31" s="1378"/>
    </row>
    <row r="32" spans="2:12" s="322" customFormat="1" ht="44.25" customHeight="1" x14ac:dyDescent="0.2">
      <c r="B32" s="2549"/>
      <c r="C32" s="2549"/>
      <c r="D32" s="2550"/>
      <c r="E32" s="2550"/>
      <c r="F32" s="2550"/>
      <c r="G32" s="2550"/>
      <c r="H32" s="2550"/>
      <c r="I32" s="2550"/>
      <c r="J32" s="2550"/>
      <c r="K32" s="2550"/>
      <c r="L32" s="1378"/>
    </row>
    <row r="33" spans="1:13" s="322" customFormat="1" ht="4.5" customHeight="1" x14ac:dyDescent="0.2">
      <c r="B33" s="1398"/>
      <c r="C33" s="1398"/>
      <c r="G33" s="1380"/>
      <c r="I33" s="1380"/>
      <c r="L33" s="1378"/>
    </row>
    <row r="34" spans="1:13" s="322" customFormat="1" x14ac:dyDescent="0.2">
      <c r="A34" s="1294"/>
      <c r="B34" s="1400"/>
      <c r="C34" s="1400"/>
      <c r="D34" s="1400"/>
      <c r="E34" s="1400"/>
      <c r="F34" s="1400"/>
      <c r="G34" s="1401"/>
      <c r="H34" s="1400"/>
      <c r="I34" s="1401"/>
      <c r="J34" s="1400"/>
      <c r="K34" s="1400"/>
      <c r="L34" s="1378"/>
    </row>
    <row r="35" spans="1:13" ht="11.85" customHeight="1" x14ac:dyDescent="0.2">
      <c r="B35" s="1402" t="s">
        <v>1737</v>
      </c>
      <c r="C35" s="1402"/>
      <c r="D35" s="322"/>
      <c r="E35" s="322"/>
      <c r="F35" s="322"/>
      <c r="L35" s="1378"/>
    </row>
    <row r="36" spans="1:13" ht="9.6" customHeight="1" x14ac:dyDescent="0.2">
      <c r="B36" s="1297" t="s">
        <v>1821</v>
      </c>
      <c r="C36" s="1297"/>
      <c r="L36" s="1378"/>
    </row>
    <row r="37" spans="1:13" ht="9.6" customHeight="1" x14ac:dyDescent="0.2">
      <c r="B37" s="1297" t="s">
        <v>1822</v>
      </c>
      <c r="C37" s="1297"/>
    </row>
    <row r="38" spans="1:13" ht="11.85" customHeight="1" x14ac:dyDescent="0.2">
      <c r="B38" s="1403" t="s">
        <v>1738</v>
      </c>
      <c r="C38" s="1403"/>
    </row>
    <row r="39" spans="1:13" ht="9.6" customHeight="1" x14ac:dyDescent="0.2">
      <c r="B39" s="1297" t="s">
        <v>1286</v>
      </c>
      <c r="C39" s="1297"/>
      <c r="M39" s="1404"/>
    </row>
    <row r="40" spans="1:13" ht="12.6" customHeight="1" x14ac:dyDescent="0.2">
      <c r="B40" s="1403" t="s">
        <v>1739</v>
      </c>
      <c r="C40" s="1403"/>
      <c r="M40" s="1404"/>
    </row>
    <row r="41" spans="1:13" ht="9.6" customHeight="1" x14ac:dyDescent="0.2">
      <c r="B41" s="1297"/>
      <c r="C41" s="1297"/>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Q62" sqref="Q6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5" t="str">
        <f>'Single Audit Cover'!A7</f>
        <v>Whiteside School District No. 115</v>
      </c>
      <c r="C1" s="2555"/>
      <c r="D1" s="2555"/>
      <c r="E1" s="2555"/>
      <c r="F1" s="2555"/>
      <c r="G1" s="2555"/>
      <c r="H1" s="2555"/>
      <c r="I1" s="2555"/>
      <c r="J1" s="2555"/>
      <c r="K1" s="2555"/>
      <c r="L1" s="1448"/>
    </row>
    <row r="2" spans="1:12" ht="12.75" customHeight="1" x14ac:dyDescent="0.2">
      <c r="B2" s="2556" t="str">
        <f>'Single Audit Cover'!E7</f>
        <v>50-082-1150-02</v>
      </c>
      <c r="C2" s="2556"/>
      <c r="D2" s="2556"/>
      <c r="E2" s="2556"/>
      <c r="F2" s="2556"/>
      <c r="G2" s="2556"/>
      <c r="H2" s="2556"/>
      <c r="I2" s="2556"/>
      <c r="J2" s="2556"/>
      <c r="K2" s="2556"/>
      <c r="L2" s="1449"/>
    </row>
    <row r="3" spans="1:12" ht="12.75" customHeight="1" x14ac:dyDescent="0.2">
      <c r="B3" s="2551" t="s">
        <v>1285</v>
      </c>
      <c r="C3" s="2551"/>
      <c r="D3" s="2551"/>
      <c r="E3" s="2551"/>
      <c r="F3" s="2551"/>
      <c r="G3" s="2551"/>
      <c r="H3" s="2551"/>
      <c r="I3" s="2551"/>
      <c r="J3" s="2551"/>
      <c r="K3" s="2551"/>
      <c r="L3" s="1374"/>
    </row>
    <row r="4" spans="1:12" ht="12.75" customHeight="1" x14ac:dyDescent="0.2">
      <c r="B4" s="2551" t="str">
        <f>'Single Audit Cover'!A4</f>
        <v>Year Ending June 30, 2019</v>
      </c>
      <c r="C4" s="2551"/>
      <c r="D4" s="2551"/>
      <c r="E4" s="2551"/>
      <c r="F4" s="2551"/>
      <c r="G4" s="2551"/>
      <c r="H4" s="2551"/>
      <c r="I4" s="2551"/>
      <c r="J4" s="2551"/>
      <c r="K4" s="2551"/>
      <c r="L4" s="1374"/>
    </row>
    <row r="5" spans="1:12" ht="5.25" customHeight="1" x14ac:dyDescent="0.2">
      <c r="B5" s="1257" t="s">
        <v>1169</v>
      </c>
      <c r="C5" s="1257"/>
      <c r="L5" s="322"/>
    </row>
    <row r="6" spans="1:12" ht="30.75" customHeight="1" x14ac:dyDescent="0.2">
      <c r="A6" s="322"/>
      <c r="B6" s="2557" t="s">
        <v>1308</v>
      </c>
      <c r="C6" s="2557"/>
      <c r="D6" s="2557"/>
      <c r="E6" s="2557"/>
      <c r="F6" s="2557"/>
      <c r="G6" s="2557"/>
      <c r="H6" s="2557"/>
      <c r="I6" s="2557"/>
      <c r="J6" s="2557"/>
      <c r="K6" s="2557"/>
      <c r="L6" s="322"/>
    </row>
    <row r="7" spans="1:12" ht="4.5" customHeight="1" x14ac:dyDescent="0.2">
      <c r="B7" s="1376"/>
      <c r="C7" s="1376"/>
      <c r="D7" s="1376"/>
      <c r="E7" s="1376"/>
      <c r="F7" s="1376"/>
      <c r="G7" s="1377"/>
      <c r="H7" s="1376"/>
      <c r="I7" s="1377"/>
      <c r="J7" s="1376"/>
      <c r="K7" s="1376"/>
      <c r="L7" s="322"/>
    </row>
    <row r="8" spans="1:12" ht="13.5" customHeight="1" x14ac:dyDescent="0.2">
      <c r="B8" s="1383" t="s">
        <v>2074</v>
      </c>
      <c r="C8" s="1450" t="s">
        <v>2069</v>
      </c>
      <c r="D8" s="1942"/>
      <c r="E8" s="322"/>
      <c r="F8" s="1381" t="s">
        <v>1295</v>
      </c>
      <c r="G8" s="1451"/>
      <c r="H8" s="1452" t="s">
        <v>1307</v>
      </c>
      <c r="I8" s="1451"/>
      <c r="J8" s="1453" t="s">
        <v>1306</v>
      </c>
      <c r="L8" s="322"/>
    </row>
    <row r="9" spans="1:12" ht="13.5" customHeight="1" x14ac:dyDescent="0.2">
      <c r="D9" s="322"/>
      <c r="E9" s="322"/>
      <c r="F9" s="322"/>
      <c r="G9" s="1380"/>
      <c r="H9" s="322"/>
      <c r="I9" s="1454" t="s">
        <v>1292</v>
      </c>
      <c r="J9" s="322"/>
      <c r="K9" s="1455"/>
      <c r="L9" s="322"/>
    </row>
    <row r="10" spans="1:12" ht="4.5" customHeight="1" x14ac:dyDescent="0.2">
      <c r="B10" s="1456"/>
      <c r="C10" s="1456"/>
      <c r="D10" s="1410"/>
      <c r="E10" s="1410"/>
      <c r="F10" s="1410"/>
      <c r="G10" s="1411"/>
      <c r="H10" s="1410"/>
      <c r="I10" s="1411"/>
      <c r="J10" s="1410"/>
      <c r="K10" s="1410"/>
      <c r="L10" s="322"/>
    </row>
    <row r="11" spans="1:12" ht="5.25" customHeight="1" x14ac:dyDescent="0.2">
      <c r="B11" s="322"/>
      <c r="C11" s="322"/>
      <c r="D11" s="304"/>
      <c r="E11" s="322"/>
      <c r="F11" s="322"/>
      <c r="G11" s="1380"/>
      <c r="H11" s="322"/>
      <c r="I11" s="1380"/>
      <c r="J11" s="322"/>
      <c r="K11" s="1415"/>
      <c r="L11" s="322"/>
    </row>
    <row r="12" spans="1:12" ht="13.5" customHeight="1" x14ac:dyDescent="0.2">
      <c r="B12" s="1381" t="s">
        <v>1305</v>
      </c>
      <c r="C12" s="1381"/>
      <c r="D12" s="304"/>
      <c r="E12" s="322"/>
      <c r="F12" s="2535"/>
      <c r="G12" s="2535"/>
      <c r="H12" s="2535"/>
      <c r="I12" s="2535"/>
      <c r="J12" s="2535"/>
      <c r="K12" s="2535"/>
      <c r="L12" s="322"/>
    </row>
    <row r="13" spans="1:12" ht="9.6" customHeight="1" x14ac:dyDescent="0.2">
      <c r="B13" s="1254"/>
      <c r="C13" s="1254"/>
      <c r="D13" s="304"/>
      <c r="E13" s="322"/>
      <c r="F13" s="322"/>
      <c r="G13" s="1380"/>
      <c r="H13" s="322"/>
      <c r="I13" s="1380"/>
      <c r="J13" s="322"/>
      <c r="K13" s="1415"/>
      <c r="L13" s="322"/>
    </row>
    <row r="14" spans="1:12" ht="13.5" customHeight="1" x14ac:dyDescent="0.2">
      <c r="B14" s="1383" t="s">
        <v>1304</v>
      </c>
      <c r="C14" s="1383"/>
      <c r="D14" s="2558"/>
      <c r="E14" s="2558"/>
      <c r="F14" s="2558"/>
      <c r="H14" s="1457" t="s">
        <v>1303</v>
      </c>
      <c r="I14" s="2559"/>
      <c r="J14" s="2559"/>
      <c r="K14" s="2559"/>
      <c r="L14" s="322"/>
    </row>
    <row r="15" spans="1:12" ht="9.4" customHeight="1" x14ac:dyDescent="0.2">
      <c r="B15" s="1383"/>
      <c r="C15" s="1383"/>
      <c r="D15" s="1370"/>
      <c r="E15" s="1257"/>
      <c r="F15" s="1257"/>
      <c r="G15" s="1283"/>
      <c r="H15" s="1257"/>
      <c r="I15" s="1458"/>
      <c r="J15" s="1291"/>
      <c r="K15" s="1288"/>
      <c r="L15" s="322"/>
    </row>
    <row r="16" spans="1:12" ht="13.5" customHeight="1" x14ac:dyDescent="0.2">
      <c r="B16" s="1383" t="s">
        <v>1302</v>
      </c>
      <c r="C16" s="1383"/>
      <c r="D16" s="2559"/>
      <c r="E16" s="2559"/>
      <c r="F16" s="2559"/>
      <c r="G16" s="2559"/>
      <c r="H16" s="2559"/>
      <c r="I16" s="2559"/>
      <c r="J16" s="2559"/>
      <c r="K16" s="2559"/>
      <c r="L16" s="322"/>
    </row>
    <row r="17" spans="2:12" ht="13.5" customHeight="1" x14ac:dyDescent="0.2">
      <c r="B17" s="1383" t="s">
        <v>1301</v>
      </c>
      <c r="C17" s="1383"/>
      <c r="D17" s="2560"/>
      <c r="E17" s="2560"/>
      <c r="F17" s="2560"/>
      <c r="G17" s="2560"/>
      <c r="H17" s="2560"/>
      <c r="I17" s="2560"/>
      <c r="J17" s="2560"/>
      <c r="K17" s="2560"/>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550"/>
      <c r="C20" s="2550"/>
      <c r="D20" s="2550"/>
      <c r="E20" s="2550"/>
      <c r="F20" s="2550"/>
      <c r="G20" s="2550"/>
      <c r="H20" s="2550"/>
      <c r="I20" s="2550"/>
      <c r="J20" s="2550"/>
      <c r="K20" s="2550"/>
      <c r="L20" s="1415"/>
    </row>
    <row r="21" spans="2:12" ht="4.5" customHeight="1" x14ac:dyDescent="0.2">
      <c r="B21" s="1461"/>
      <c r="C21" s="1461"/>
      <c r="D21" s="1462"/>
      <c r="E21" s="1462"/>
      <c r="F21" s="1462"/>
      <c r="G21" s="1411"/>
      <c r="H21" s="1462"/>
      <c r="I21" s="1411"/>
      <c r="J21" s="1462"/>
      <c r="K21" s="1462"/>
      <c r="L21" s="1415"/>
    </row>
    <row r="22" spans="2:12" ht="13.35" customHeight="1" x14ac:dyDescent="0.2">
      <c r="B22" s="1459" t="s">
        <v>2075</v>
      </c>
      <c r="C22" s="1459"/>
      <c r="D22" s="322"/>
      <c r="E22" s="322"/>
      <c r="F22" s="322"/>
      <c r="G22" s="1380"/>
      <c r="H22" s="322"/>
      <c r="I22" s="1380"/>
      <c r="J22" s="322"/>
      <c r="K22" s="322"/>
      <c r="L22" s="322"/>
    </row>
    <row r="23" spans="2:12" ht="50.25" customHeight="1" x14ac:dyDescent="0.2">
      <c r="B23" s="2550"/>
      <c r="C23" s="2550"/>
      <c r="D23" s="2550"/>
      <c r="E23" s="2550"/>
      <c r="F23" s="2550"/>
      <c r="G23" s="2550"/>
      <c r="H23" s="2550"/>
      <c r="I23" s="2550"/>
      <c r="J23" s="2550"/>
      <c r="K23" s="2550"/>
      <c r="L23" s="322"/>
    </row>
    <row r="24" spans="2:12" ht="4.5" customHeight="1" x14ac:dyDescent="0.2">
      <c r="B24" s="1461"/>
      <c r="C24" s="1461"/>
      <c r="D24" s="1410"/>
      <c r="E24" s="1410"/>
      <c r="F24" s="1410"/>
      <c r="G24" s="1411"/>
      <c r="H24" s="1410"/>
      <c r="I24" s="1411"/>
      <c r="J24" s="1410"/>
      <c r="K24" s="1410"/>
      <c r="L24" s="322"/>
    </row>
    <row r="25" spans="2:12" ht="13.5" customHeight="1" x14ac:dyDescent="0.2">
      <c r="B25" s="1459" t="s">
        <v>2076</v>
      </c>
      <c r="C25" s="1459"/>
      <c r="D25" s="322"/>
      <c r="E25" s="322"/>
      <c r="F25" s="322"/>
      <c r="G25" s="1380"/>
      <c r="H25" s="322"/>
      <c r="I25" s="1380"/>
      <c r="J25" s="322"/>
      <c r="K25" s="322"/>
      <c r="L25" s="322"/>
    </row>
    <row r="26" spans="2:12" ht="45" customHeight="1" x14ac:dyDescent="0.2">
      <c r="B26" s="2550"/>
      <c r="C26" s="2550"/>
      <c r="D26" s="2550"/>
      <c r="E26" s="2550"/>
      <c r="F26" s="2550"/>
      <c r="G26" s="2550"/>
      <c r="H26" s="2550"/>
      <c r="I26" s="2550"/>
      <c r="J26" s="2550"/>
      <c r="K26" s="2550"/>
      <c r="L26" s="322"/>
    </row>
    <row r="27" spans="2:12" ht="4.5" customHeight="1" x14ac:dyDescent="0.2">
      <c r="B27" s="1463"/>
      <c r="C27" s="1463"/>
      <c r="D27" s="1463"/>
      <c r="E27" s="1410"/>
      <c r="F27" s="1410"/>
      <c r="G27" s="1411"/>
      <c r="H27" s="1410"/>
      <c r="I27" s="1411"/>
      <c r="J27" s="1410"/>
      <c r="K27" s="1410"/>
      <c r="L27" s="322"/>
    </row>
    <row r="28" spans="2:12" ht="13.5" customHeight="1" x14ac:dyDescent="0.2">
      <c r="B28" s="1459" t="s">
        <v>2077</v>
      </c>
      <c r="C28" s="1459"/>
      <c r="D28" s="322"/>
      <c r="E28" s="322"/>
      <c r="F28" s="322"/>
      <c r="G28" s="1380"/>
      <c r="H28" s="322"/>
      <c r="I28" s="1380"/>
      <c r="J28" s="322"/>
      <c r="K28" s="322"/>
      <c r="L28" s="322"/>
    </row>
    <row r="29" spans="2:12" ht="37.5" customHeight="1" x14ac:dyDescent="0.2">
      <c r="B29" s="2550"/>
      <c r="C29" s="2550"/>
      <c r="D29" s="2550"/>
      <c r="E29" s="2550"/>
      <c r="F29" s="2550"/>
      <c r="G29" s="2550"/>
      <c r="H29" s="2550"/>
      <c r="I29" s="2550"/>
      <c r="J29" s="2550"/>
      <c r="K29" s="2550"/>
      <c r="L29" s="322"/>
    </row>
    <row r="30" spans="2:12" ht="4.5" customHeight="1" x14ac:dyDescent="0.2">
      <c r="B30" s="1461"/>
      <c r="C30" s="1461"/>
      <c r="D30" s="1410"/>
      <c r="E30" s="1410"/>
      <c r="F30" s="1410"/>
      <c r="G30" s="1411"/>
      <c r="H30" s="1410"/>
      <c r="I30" s="1411"/>
      <c r="J30" s="1410"/>
      <c r="K30" s="1410"/>
      <c r="L30" s="322"/>
    </row>
    <row r="31" spans="2:12" ht="13.5" customHeight="1" x14ac:dyDescent="0.2">
      <c r="B31" s="1459" t="s">
        <v>1299</v>
      </c>
      <c r="C31" s="1459"/>
      <c r="D31" s="322"/>
      <c r="E31" s="322"/>
      <c r="F31" s="322"/>
      <c r="G31" s="1380"/>
      <c r="H31" s="322"/>
      <c r="I31" s="1380"/>
      <c r="J31" s="322"/>
      <c r="K31" s="322"/>
      <c r="L31" s="322"/>
    </row>
    <row r="32" spans="2:12" ht="37.5" customHeight="1" x14ac:dyDescent="0.2">
      <c r="B32" s="2550"/>
      <c r="C32" s="2550"/>
      <c r="D32" s="2550"/>
      <c r="E32" s="2550"/>
      <c r="F32" s="2550"/>
      <c r="G32" s="2550"/>
      <c r="H32" s="2550"/>
      <c r="I32" s="2550"/>
      <c r="J32" s="2550"/>
      <c r="K32" s="2550"/>
      <c r="L32" s="322"/>
    </row>
    <row r="33" spans="2:12" ht="4.5" customHeight="1" x14ac:dyDescent="0.2">
      <c r="B33" s="1461"/>
      <c r="C33" s="1461"/>
      <c r="D33" s="1410"/>
      <c r="E33" s="1410"/>
      <c r="F33" s="1410"/>
      <c r="G33" s="1411"/>
      <c r="H33" s="1410"/>
      <c r="I33" s="1411"/>
      <c r="J33" s="1410"/>
      <c r="K33" s="1410"/>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550"/>
      <c r="C35" s="2550"/>
      <c r="D35" s="2550"/>
      <c r="E35" s="2550"/>
      <c r="F35" s="2550"/>
      <c r="G35" s="2550"/>
      <c r="H35" s="2550"/>
      <c r="I35" s="2550"/>
      <c r="J35" s="2550"/>
      <c r="K35" s="2550"/>
      <c r="L35" s="322"/>
    </row>
    <row r="36" spans="2:12" ht="4.5" customHeight="1" x14ac:dyDescent="0.2">
      <c r="B36" s="1461"/>
      <c r="C36" s="1461"/>
      <c r="D36" s="1410"/>
      <c r="E36" s="1410"/>
      <c r="F36" s="1410"/>
      <c r="G36" s="1411"/>
      <c r="H36" s="1410"/>
      <c r="I36" s="1411"/>
      <c r="J36" s="1410"/>
      <c r="K36" s="1410"/>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550"/>
      <c r="C38" s="2550"/>
      <c r="D38" s="2550"/>
      <c r="E38" s="2550"/>
      <c r="F38" s="2550"/>
      <c r="G38" s="2550"/>
      <c r="H38" s="2550"/>
      <c r="I38" s="2550"/>
      <c r="J38" s="2550"/>
      <c r="K38" s="2550"/>
      <c r="L38" s="322"/>
    </row>
    <row r="39" spans="2:12" ht="4.5" customHeight="1" x14ac:dyDescent="0.2">
      <c r="B39" s="1398"/>
      <c r="C39" s="1398"/>
      <c r="D39" s="322"/>
      <c r="E39" s="322"/>
      <c r="F39" s="322"/>
      <c r="G39" s="1380"/>
      <c r="H39" s="322"/>
      <c r="I39" s="1380"/>
      <c r="J39" s="322"/>
      <c r="K39" s="322"/>
      <c r="L39" s="322"/>
    </row>
    <row r="40" spans="2:12" s="322" customFormat="1" ht="13.5" customHeight="1" x14ac:dyDescent="0.2">
      <c r="B40" s="1399" t="s">
        <v>2078</v>
      </c>
      <c r="C40" s="1399"/>
      <c r="D40" s="1375"/>
      <c r="E40" s="1376"/>
      <c r="F40" s="1376"/>
      <c r="G40" s="1377"/>
      <c r="H40" s="1376"/>
      <c r="I40" s="1377"/>
      <c r="J40" s="1376"/>
      <c r="K40" s="1376"/>
    </row>
    <row r="41" spans="2:12" s="322" customFormat="1" ht="33.75" customHeight="1" x14ac:dyDescent="0.2">
      <c r="B41" s="2550"/>
      <c r="C41" s="2550"/>
      <c r="D41" s="2550"/>
      <c r="E41" s="2550"/>
      <c r="F41" s="2550"/>
      <c r="G41" s="2550"/>
      <c r="H41" s="2550"/>
      <c r="I41" s="2550"/>
      <c r="J41" s="2550"/>
      <c r="K41" s="2550"/>
    </row>
    <row r="42" spans="2:12" s="322" customFormat="1" ht="4.5" customHeight="1" x14ac:dyDescent="0.2">
      <c r="B42" s="1398"/>
      <c r="C42" s="1398"/>
      <c r="G42" s="1380"/>
      <c r="I42" s="1380"/>
    </row>
    <row r="43" spans="2:12" ht="7.5" customHeight="1" x14ac:dyDescent="0.25">
      <c r="B43" s="1464"/>
      <c r="C43" s="1464"/>
      <c r="D43" s="1465"/>
      <c r="E43" s="1465"/>
      <c r="F43" s="1465"/>
      <c r="G43" s="1466"/>
      <c r="H43" s="1465"/>
      <c r="I43" s="1466"/>
      <c r="J43" s="1465"/>
      <c r="K43" s="1465"/>
    </row>
    <row r="44" spans="2:12" ht="13.5" customHeight="1" x14ac:dyDescent="0.2">
      <c r="B44" s="1402" t="s">
        <v>1744</v>
      </c>
      <c r="C44" s="1402"/>
      <c r="D44" s="322"/>
      <c r="E44" s="322"/>
      <c r="F44" s="322"/>
    </row>
    <row r="45" spans="2:12" ht="10.5" customHeight="1" x14ac:dyDescent="0.2">
      <c r="B45" s="1403" t="s">
        <v>1745</v>
      </c>
      <c r="C45" s="1403"/>
      <c r="G45" s="317"/>
      <c r="I45" s="317"/>
    </row>
    <row r="46" spans="2:12" ht="11.1" customHeight="1" x14ac:dyDescent="0.2">
      <c r="B46" s="1403" t="s">
        <v>1746</v>
      </c>
      <c r="C46" s="1403"/>
      <c r="G46" s="317"/>
      <c r="I46" s="317"/>
    </row>
    <row r="47" spans="2:12" ht="11.1" customHeight="1" x14ac:dyDescent="0.2">
      <c r="B47" s="1403" t="s">
        <v>1747</v>
      </c>
      <c r="C47" s="1403"/>
      <c r="G47" s="317"/>
      <c r="I47" s="317"/>
    </row>
    <row r="48" spans="2:12" ht="11.1" customHeight="1" x14ac:dyDescent="0.2">
      <c r="B48" s="1403" t="s">
        <v>1748</v>
      </c>
      <c r="C48" s="1403"/>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22" sqref="D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28" t="str">
        <f>'Single Audit Cover'!A7</f>
        <v>Whiteside School District No. 115</v>
      </c>
      <c r="C1" s="2528"/>
      <c r="D1" s="2528"/>
      <c r="E1" s="1467"/>
    </row>
    <row r="2" spans="2:5" s="1279" customFormat="1" ht="12.75" customHeight="1" x14ac:dyDescent="0.2">
      <c r="B2" s="2530" t="str">
        <f>'Single Audit Cover'!E7</f>
        <v>50-082-1150-02</v>
      </c>
      <c r="C2" s="2530"/>
      <c r="D2" s="2530"/>
      <c r="E2" s="1468"/>
    </row>
    <row r="3" spans="2:5" ht="12.75" customHeight="1" x14ac:dyDescent="0.2">
      <c r="B3" s="2551" t="s">
        <v>2080</v>
      </c>
      <c r="C3" s="2551"/>
      <c r="D3" s="2551"/>
      <c r="E3" s="1271"/>
    </row>
    <row r="4" spans="2:5" s="1279" customFormat="1" ht="12.75" customHeight="1" x14ac:dyDescent="0.2">
      <c r="B4" s="2561" t="str">
        <f>'Single Audit Cover'!A4</f>
        <v>Year Ending June 30, 2019</v>
      </c>
      <c r="C4" s="2561"/>
      <c r="D4" s="2561"/>
      <c r="E4" s="1469"/>
    </row>
    <row r="5" spans="2:5" s="1279" customFormat="1" ht="40.15" customHeight="1" x14ac:dyDescent="0.2">
      <c r="B5" s="1470"/>
      <c r="C5" s="328"/>
      <c r="D5" s="328"/>
      <c r="E5" s="328"/>
    </row>
    <row r="6" spans="2:5" s="1279" customFormat="1" ht="13.5" customHeight="1" x14ac:dyDescent="0.2">
      <c r="B6" s="1471" t="s">
        <v>1315</v>
      </c>
      <c r="C6" s="1471" t="s">
        <v>1314</v>
      </c>
      <c r="D6" s="1471" t="s">
        <v>2079</v>
      </c>
    </row>
    <row r="7" spans="2:5" ht="13.5" customHeight="1" x14ac:dyDescent="0.2">
      <c r="B7" s="1472"/>
      <c r="C7" s="324"/>
      <c r="D7" s="324"/>
      <c r="E7" s="324"/>
    </row>
    <row r="8" spans="2:5" ht="13.5" customHeight="1" x14ac:dyDescent="0.2">
      <c r="B8" s="1472"/>
      <c r="C8" s="324"/>
      <c r="D8" s="324"/>
      <c r="E8" s="324"/>
    </row>
    <row r="9" spans="2:5" ht="13.5" customHeight="1" x14ac:dyDescent="0.2">
      <c r="B9" s="1473" t="s">
        <v>2069</v>
      </c>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4" t="s">
        <v>1313</v>
      </c>
      <c r="C44" s="322"/>
    </row>
    <row r="45" spans="2:5" ht="12.2" customHeight="1" x14ac:dyDescent="0.2">
      <c r="B45" s="1481" t="s">
        <v>1749</v>
      </c>
    </row>
    <row r="46" spans="2:5" ht="12.2" customHeight="1" x14ac:dyDescent="0.2">
      <c r="B46" s="1481" t="s">
        <v>1750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7"/>
    </row>
    <row r="69" spans="2:2" x14ac:dyDescent="0.2">
      <c r="B69" s="1297"/>
    </row>
    <row r="70" spans="2:2" x14ac:dyDescent="0.2">
      <c r="B70" s="1403"/>
    </row>
    <row r="71" spans="2:2" x14ac:dyDescent="0.2">
      <c r="B71" s="1403"/>
    </row>
    <row r="72" spans="2:2" x14ac:dyDescent="0.2">
      <c r="B72" s="1403"/>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6ce3111e-7420-4802-b50a-75d4e9a0b980"/>
    <ds:schemaRef ds:uri="http://schemas.microsoft.com/office/2006/metadata/properties"/>
    <ds:schemaRef ds:uri="http://purl.org/dc/elements/1.1/"/>
    <ds:schemaRef ds:uri="http://www.w3.org/XML/1998/namespace"/>
    <ds:schemaRef ds:uri="http://schemas.microsoft.com/office/2006/documentManagement/types"/>
    <ds:schemaRef ds:uri="d21dc803-237d-4c68-8692-8d731fd29118"/>
    <ds:schemaRef ds:uri="http://purl.org/dc/terms/"/>
    <ds:schemaRef ds:uri="http://purl.org/dc/dcmitype/"/>
    <ds:schemaRef ds:uri="http://schemas.microsoft.com/office/infopath/2007/PartnerControls"/>
    <ds:schemaRef ds:uri="4d435f69-8686-490b-bd6d-b153bf22ab50"/>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20</vt:i4>
      </vt:variant>
    </vt:vector>
  </HeadingPairs>
  <TitlesOfParts>
    <vt:vector size="54" baseType="lpstr">
      <vt:lpstr>AUDITCHECK</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Single Audit Cover</vt:lpstr>
      <vt:lpstr>Single Audit Checklist</vt:lpstr>
      <vt:lpstr>SEFA Reconcile</vt:lpstr>
      <vt:lpstr> SEFA</vt:lpstr>
      <vt:lpstr>SEFA</vt:lpstr>
      <vt:lpstr>SEFA NOTES</vt:lpstr>
      <vt:lpstr>SF&amp;QC Sec-1</vt:lpstr>
      <vt:lpstr>SF&amp;QC Sec-2</vt:lpstr>
      <vt:lpstr>SF&amp;QC Sec-3</vt:lpstr>
      <vt:lpstr>SSPAF</vt:lpstr>
      <vt:lpstr>' SEFA'!Print_Area</vt:lpstr>
      <vt:lpstr>SEFA!Print_Area</vt:lpstr>
      <vt:lpstr>'SEFA NOTES'!Print_Area</vt:lpstr>
      <vt:lpstr>'SEFA Reconcile'!Print_Area</vt:lpstr>
      <vt:lpstr>'SF&amp;QC Sec-1'!Print_Area</vt:lpstr>
      <vt:lpstr>'SF&amp;QC Sec-2'!Print_Area</vt:lpstr>
      <vt:lpstr>'SF&amp;QC Sec-3'!Print_Area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2019-09-10T21:37:46Z</cp:lastPrinted>
  <dcterms:created xsi:type="dcterms:W3CDTF">2003-10-29T19:06:34Z</dcterms:created>
  <dcterms:modified xsi:type="dcterms:W3CDTF">2019-11-25T17:11:38Z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