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3_ncr:1_{E0EEF53F-C602-45A8-9E7D-8811969D7358}" xr6:coauthVersionLast="36" xr6:coauthVersionMax="36" xr10:uidLastSave="{00000000-0000-0000-0000-000000000000}"/>
  <bookViews>
    <workbookView xWindow="0" yWindow="0" windowWidth="28800" windowHeight="117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31'!$A$1:$G$55</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D54" i="3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68" i="36"/>
  <c r="D69" i="36"/>
  <c r="D71" i="36"/>
  <c r="D72" i="36"/>
  <c r="D79" i="36"/>
  <c r="B64" i="127"/>
  <c r="B65" i="127"/>
  <c r="D26" i="108"/>
  <c r="E26" i="108"/>
  <c r="F26" i="108"/>
  <c r="G26" i="108"/>
  <c r="D27" i="108"/>
  <c r="E27" i="108"/>
  <c r="F27" i="108"/>
  <c r="G27" i="108"/>
  <c r="E28" i="108"/>
  <c r="F28"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D11" i="37"/>
  <c r="D22" i="37"/>
  <c r="J22" i="37"/>
  <c r="L22" i="37"/>
  <c r="D24" i="37"/>
  <c r="B4270" i="106" s="1"/>
  <c r="D4270" i="106" s="1"/>
  <c r="L5" i="11"/>
  <c r="B2056" i="106" s="1"/>
  <c r="D2056" i="106" s="1"/>
  <c r="D9" i="7"/>
  <c r="B1767" i="106" s="1"/>
  <c r="D1767" i="106" s="1"/>
  <c r="B5752" i="106"/>
  <c r="D5752" i="106" s="1"/>
  <c r="D17" i="7"/>
  <c r="B4104" i="106" s="1"/>
  <c r="D4104" i="106" s="1"/>
  <c r="K28" i="118" l="1"/>
  <c r="O27" i="118" s="1"/>
  <c r="O29" i="118" s="1"/>
  <c r="B7235" i="106"/>
  <c r="D7235" i="106" s="1"/>
  <c r="J41" i="3"/>
  <c r="G15" i="145"/>
  <c r="B3647" i="106"/>
  <c r="D3647" i="106" s="1"/>
  <c r="K76" i="4"/>
  <c r="B3586" i="106" s="1"/>
  <c r="D3586" i="106" s="1"/>
  <c r="K184" i="29"/>
  <c r="F13" i="4" s="1"/>
  <c r="B2596" i="106" s="1"/>
  <c r="D2596" i="106" s="1"/>
  <c r="G210" i="29"/>
  <c r="B1308" i="106"/>
  <c r="D1308" i="106" s="1"/>
  <c r="E174" i="29"/>
  <c r="B1309" i="106" s="1"/>
  <c r="D1309" i="106" s="1"/>
  <c r="L13" i="11"/>
  <c r="B2060" i="106" s="1"/>
  <c r="D2060" i="106" s="1"/>
  <c r="F19" i="7"/>
  <c r="B1807" i="106" s="1"/>
  <c r="D1807" i="106" s="1"/>
  <c r="L342" i="29"/>
  <c r="C342" i="29"/>
  <c r="B7216" i="106" s="1"/>
  <c r="D7216" i="106" s="1"/>
  <c r="F71" i="34"/>
  <c r="G29" i="108"/>
  <c r="E29" i="108"/>
  <c r="B281" i="106"/>
  <c r="D281" i="106" s="1"/>
  <c r="D31" i="36"/>
  <c r="H33" i="118"/>
  <c r="B3649" i="106"/>
  <c r="D3649" i="106" s="1"/>
  <c r="G367" i="29"/>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778" i="106" l="1"/>
  <c r="D5778" i="106" s="1"/>
  <c r="G6" i="4"/>
  <c r="B2604" i="106" s="1"/>
  <c r="D2604" i="106" s="1"/>
  <c r="B1365" i="106"/>
  <c r="D1365" i="106" s="1"/>
  <c r="F65" i="34"/>
  <c r="D7254" i="106"/>
  <c r="D7256" i="106"/>
  <c r="D7251" i="106"/>
  <c r="D7250" i="106"/>
  <c r="L16" i="11"/>
  <c r="B2061" i="106" s="1"/>
  <c r="D2061" i="106" s="1"/>
  <c r="K342" i="29"/>
  <c r="F13" i="34" s="1"/>
  <c r="B1317" i="106"/>
  <c r="D1317" i="106" s="1"/>
  <c r="C114" i="29"/>
  <c r="B757" i="106" s="1"/>
  <c r="D757" i="106" s="1"/>
  <c r="F174" i="34"/>
  <c r="B5527" i="106"/>
  <c r="D5527" i="106" s="1"/>
  <c r="D44"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19" i="4" l="1"/>
  <c r="B6229" i="106" s="1"/>
  <c r="D6229" i="106" s="1"/>
  <c r="J20" i="4"/>
  <c r="B6230" i="106" s="1"/>
  <c r="D6230"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<sst xmlns="http://schemas.openxmlformats.org/spreadsheetml/2006/main" count="5061" uniqueCount="2092">
  <si>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</si>
  <si>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</si>
  <si>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</si>
  <si>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</si>
  <si>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</si>
  <si>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</si>
  <si>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</si>
  <si>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</si>
  <si>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</si>
  <si>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</si>
  <si>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</si>
  <si>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</si>
  <si>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</si>
  <si>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</si>
  <si>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</si>
  <si>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</si>
  <si>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</si>
  <si>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</si>
  <si>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</si>
  <si>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</si>
  <si>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</si>
  <si>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</si>
  <si>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</si>
  <si>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</si>
  <si>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</si>
  <si>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</si>
  <si>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</si>
  <si>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</si>
  <si>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</si>
  <si>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</si>
  <si>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</si>
  <si>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</si>
  <si>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</si>
  <si>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</si>
  <si>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</si>
  <si>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</si>
  <si>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</si>
  <si>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</si>
  <si>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</si>
  <si>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</si>
  <si>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</si>
  <si>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</si>
  <si>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</si>
  <si>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</si>
  <si>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</si>
  <si>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</si>
  <si>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</si>
  <si>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</si>
  <si>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</si>
  <si>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</si>
  <si>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</si>
  <si>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</si>
  <si>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</si>
  <si>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</si>
  <si>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</si>
  <si>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</si>
  <si>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</si>
  <si>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</si>
  <si>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</si>
  <si>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</si>
  <si>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</si>
  <si>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</si>
  <si>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</si>
  <si>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</si>
  <si>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</si>
  <si>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</si>
  <si>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</si>
  <si>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</si>
  <si>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</si>
  <si>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</si>
  <si>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</si>
  <si>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</si>
  <si>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</si>
  <si>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</si>
  <si>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</si>
  <si>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</si>
  <si>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</si>
  <si>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</si>
  <si>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</si>
  <si>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</si>
  <si>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</si>
  <si>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</si>
  <si>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</si>
  <si>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</si>
  <si>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</si>
  <si>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</si>
  <si>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</si>
  <si>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</si>
  <si>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</si>
  <si>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</si>
  <si>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</si>
  <si>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</si>
  <si>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</si>
  <si>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</si>
  <si>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</si>
  <si>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</si>
  <si>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</si>
  <si>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</si>
  <si>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</si>
  <si>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</si>
  <si>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</si>
  <si>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</si>
  <si>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</si>
  <si>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</si>
  <si>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</si>
  <si>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</si>
  <si>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</si>
  <si>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</si>
  <si>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</si>
  <si>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</si>
  <si>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</si>
  <si>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</si>
  <si>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</si>
  <si>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</si>
  <si>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</si>
  <si>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</si>
  <si>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</si>
  <si>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</si>
  <si>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</si>
  <si>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</si>
  <si>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</si>
  <si>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</si>
  <si>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</si>
  <si>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</si>
  <si>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</si>
  <si>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</si>
  <si>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</si>
  <si>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</si>
  <si>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</si>
  <si>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</si>
  <si>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</si>
  <si>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</si>
  <si>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</si>
  <si>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</si>
  <si>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</si>
  <si>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</si>
  <si>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</si>
  <si>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</si>
  <si>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</si>
  <si>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</si>
  <si>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</si>
  <si>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</si>
  <si>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</si>
  <si>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</si>
  <si>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</si>
  <si>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</si>
  <si>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</si>
  <si>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</si>
  <si>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</si>
  <si>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</si>
  <si>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</si>
  <si>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</si>
  <si>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</si>
  <si>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</si>
  <si>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</si>
  <si>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</si>
  <si>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</si>
  <si>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</si>
  <si>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</si>
  <si>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</si>
  <si>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</si>
  <si>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</si>
  <si>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</si>
  <si>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</si>
  <si>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</si>
  <si>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</si>
  <si>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</si>
  <si>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</si>
  <si>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</si>
  <si>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</si>
  <si>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</si>
  <si>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</si>
  <si>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</si>
  <si>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</si>
  <si>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</si>
  <si>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</si>
  <si>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</si>
  <si>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</si>
  <si>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</si>
  <si>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</si>
  <si>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</si>
  <si>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</si>
  <si>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</si>
  <si>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</si>
  <si>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</si>
  <si>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</si>
  <si>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</si>
  <si>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</si>
  <si>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</si>
  <si>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</si>
  <si>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</si>
  <si>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</si>
  <si>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</si>
  <si>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</si>
  <si>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</si>
  <si>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</si>
  <si>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</si>
  <si>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</si>
  <si>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</si>
  <si>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</si>
  <si>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</si>
  <si>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</si>
  <si>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</si>
  <si>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</si>
  <si>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</si>
  <si>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</si>
  <si>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</si>
  <si>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</si>
  <si>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</si>
  <si>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</si>
  <si>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</si>
  <si>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</si>
  <si>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</si>
  <si>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</si>
  <si>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</si>
  <si>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</si>
  <si>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</si>
  <si>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</si>
  <si>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</si>
  <si>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</si>
  <si>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</si>
  <si>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</si>
  <si>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</si>
  <si>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</si>
  <si>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</si>
  <si>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</si>
  <si>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</si>
  <si>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</si>
  <si>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</si>
  <si>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</si>
  <si>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</si>
  <si>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</si>
  <si>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</si>
  <si>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</si>
  <si>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</si>
  <si>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</si>
  <si>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</si>
  <si>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</si>
  <si>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</si>
  <si>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</si>
  <si>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</si>
  <si>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</si>
  <si>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</si>
  <si>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</si>
  <si>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</si>
  <si>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</si>
  <si>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</si>
  <si>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</si>
  <si>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</si>
  <si>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</si>
  <si>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</si>
  <si>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</si>
  <si>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</si>
  <si>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</si>
  <si>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</si>
  <si>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</si>
  <si>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</si>
  <si>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</si>
  <si>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</si>
  <si>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</si>
  <si>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</si>
  <si>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</si>
  <si>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</si>
  <si>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</si>
  <si>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</si>
  <si>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</si>
  <si>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</si>
  <si>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</si>
  <si>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</si>
  <si>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</si>
  <si>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</si>
  <si>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</si>
  <si>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</si>
  <si>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</si>
  <si>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</si>
  <si>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</si>
  <si>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</si>
  <si>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</si>
  <si>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</si>
  <si>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</si>
  <si>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</si>
  <si>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</si>
  <si>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</si>
  <si>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</si>
  <si>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</si>
  <si>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</si>
  <si>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</si>
  <si>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</si>
  <si>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</si>
  <si>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</si>
  <si>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</si>
  <si>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</si>
  <si>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</si>
  <si>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</si>
  <si>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</si>
  <si>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</si>
  <si>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</si>
  <si>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</si>
  <si>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</si>
  <si>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</si>
  <si>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</si>
  <si>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</si>
  <si>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</si>
  <si>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</si>
  <si>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</si>
  <si>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</si>
  <si>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</si>
  <si>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</si>
  <si>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</si>
  <si>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</si>
  <si>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</si>
  <si>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</si>
  <si>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</si>
  <si>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</si>
  <si>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</si>
  <si>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</si>
  <si>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</si>
  <si>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</si>
  <si>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</si>
  <si>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</si>
  <si>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</si>
  <si>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</si>
  <si>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</si>
  <si>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</si>
  <si>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</si>
  <si>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</si>
  <si>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</si>
  <si>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</si>
  <si>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</si>
  <si>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</si>
  <si>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</si>
  <si>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</si>
  <si>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</si>
  <si>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</si>
  <si>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</si>
  <si>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</si>
  <si>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</si>
  <si>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</si>
  <si>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</si>
  <si>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</si>
  <si>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</si>
  <si>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</si>
  <si>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</si>
  <si>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</si>
  <si>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</si>
  <si>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</si>
  <si>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</si>
  <si>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</si>
  <si>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</si>
  <si>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</si>
  <si>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</si>
  <si>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</si>
  <si>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</si>
  <si>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</si>
  <si>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</si>
  <si>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</si>
  <si>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</si>
  <si>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</si>
  <si>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</si>
  <si>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</si>
  <si>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</si>
  <si>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</si>
  <si>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</si>
  <si>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</si>
  <si>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</si>
  <si>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</si>
  <si>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</si>
  <si>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</si>
  <si>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</si>
  <si>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</si>
  <si>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</si>
  <si>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</si>
  <si>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</si>
  <si>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</si>
  <si>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</si>
  <si>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</si>
  <si>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</si>
  <si>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</si>
  <si>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</si>
  <si>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</si>
  <si>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</si>
  <si>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</si>
  <si>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</si>
  <si>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</si>
  <si>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</si>
  <si>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</si>
  <si>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</si>
  <si>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</si>
  <si>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</si>
  <si>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</si>
  <si>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</si>
  <si>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</si>
  <si>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</si>
  <si>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</si>
  <si>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</si>
  <si>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</si>
  <si>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</si>
  <si>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</si>
  <si>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</si>
  <si>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</si>
  <si>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</si>
  <si>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</si>
  <si>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</si>
  <si>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</si>
  <si>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</si>
  <si>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</si>
  <si>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</si>
  <si>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</si>
  <si>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</si>
  <si>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</si>
  <si>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</si>
  <si>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</si>
  <si>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</si>
  <si>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</si>
  <si>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</si>
  <si>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</si>
  <si>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</si>
  <si>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</si>
  <si>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</si>
  <si>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</si>
  <si>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</si>
  <si>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</si>
  <si>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</si>
  <si>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</si>
  <si>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</si>
  <si>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</si>
  <si>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</si>
  <si>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</si>
  <si>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</si>
  <si>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</si>
  <si>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</si>
  <si>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</si>
  <si>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</si>
  <si>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</si>
  <si>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</si>
  <si>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</si>
  <si>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</si>
  <si>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</si>
  <si>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</si>
  <si>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</si>
  <si>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</si>
  <si>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</si>
  <si>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</si>
  <si>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</si>
  <si>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</si>
  <si>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</si>
  <si>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</si>
  <si>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</si>
  <si>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</si>
  <si>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</si>
  <si>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</si>
  <si>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</si>
  <si>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</si>
  <si>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</si>
  <si>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</si>
  <si>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</si>
  <si>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</si>
  <si>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</si>
  <si>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</si>
  <si>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</si>
  <si>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</si>
  <si>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</si>
  <si>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</si>
  <si>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</si>
  <si>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</si>
  <si>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</si>
  <si>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</si>
  <si>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</si>
  <si>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</si>
  <si>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</si>
  <si>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</si>
  <si>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</si>
  <si>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</si>
  <si>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</si>
  <si>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</si>
  <si>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</si>
  <si>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</si>
  <si>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</si>
  <si>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</si>
  <si>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</si>
  <si>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</si>
  <si>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</si>
  <si>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</si>
  <si>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</si>
  <si>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</si>
  <si>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</si>
  <si>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</si>
  <si>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</si>
  <si>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</si>
  <si>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</si>
  <si>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</si>
  <si>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</si>
  <si>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</si>
  <si>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</si>
  <si>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</si>
  <si>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</si>
  <si>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</si>
  <si>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</si>
  <si>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</si>
  <si>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</si>
  <si>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</si>
  <si>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</si>
  <si>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</si>
  <si>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</si>
  <si>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</si>
  <si>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</si>
  <si>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</si>
  <si>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</si>
  <si>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</si>
  <si>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</si>
  <si>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</si>
  <si>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</si>
  <si>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</si>
  <si>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</si>
  <si>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</si>
  <si>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</si>
  <si>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</si>
  <si>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</si>
  <si>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</si>
  <si>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</si>
  <si>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</si>
  <si>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</si>
  <si>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</si>
  <si>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</si>
  <si>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</si>
  <si>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</si>
  <si>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</si>
  <si>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</si>
  <si>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</si>
  <si>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</si>
  <si>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</si>
  <si>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</si>
  <si>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</si>
  <si>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</si>
  <si>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</si>
  <si>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</si>
  <si>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</si>
  <si>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</si>
  <si>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</si>
  <si>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</si>
  <si>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</si>
  <si>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</si>
  <si>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</si>
  <si>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</si>
  <si>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</si>
  <si>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</si>
  <si>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</si>
  <si>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</si>
  <si>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</si>
  <si>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</si>
  <si>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</si>
  <si>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</si>
  <si>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</si>
  <si>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</si>
  <si>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</si>
  <si>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</si>
  <si>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</si>
  <si>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</si>
  <si>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</si>
  <si>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</si>
  <si>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</si>
  <si>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</si>
  <si>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</si>
  <si>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</si>
  <si>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</si>
  <si>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</si>
  <si>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</si>
  <si>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</si>
  <si>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</si>
  <si>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</si>
  <si>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</si>
  <si>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</si>
  <si>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</si>
  <si>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</si>
  <si>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</si>
  <si>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</si>
  <si>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</si>
  <si>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</si>
  <si>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</si>
  <si>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</si>
  <si>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</si>
  <si>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</si>
  <si>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</si>
  <si>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</si>
  <si>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</si>
  <si>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</si>
  <si>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</si>
  <si>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</si>
  <si>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</si>
  <si>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</si>
  <si>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</si>
  <si>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</si>
  <si>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</si>
  <si>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</si>
  <si>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</si>
  <si>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</si>
  <si>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</si>
  <si>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</si>
  <si>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</si>
  <si>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</si>
  <si>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</si>
  <si>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</si>
  <si>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</si>
  <si>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</si>
  <si>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</si>
  <si>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</si>
  <si>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</si>
  <si>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</si>
  <si>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</si>
  <si>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</si>
  <si>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</si>
  <si>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</si>
  <si>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</si>
  <si>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</si>
  <si>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</si>
  <si>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</si>
  <si>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</si>
  <si>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</si>
  <si>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</si>
  <si>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</si>
  <si>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</si>
  <si>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</si>
  <si>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</si>
  <si>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</si>
  <si>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</si>
  <si>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</si>
  <si>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</si>
  <si>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</si>
  <si>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</si>
  <si>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</si>
  <si>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</si>
  <si>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</si>
  <si>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</si>
  <si>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</si>
  <si>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</si>
  <si>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</si>
  <si>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</si>
  <si>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</si>
  <si>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</si>
  <si>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</si>
  <si>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</si>
  <si>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</si>
  <si>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</si>
  <si>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</si>
  <si>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</si>
  <si>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</si>
  <si>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</si>
  <si>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</si>
  <si>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</si>
  <si>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</si>
  <si>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</si>
  <si>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</si>
  <si>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</si>
  <si>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</si>
  <si>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</si>
  <si>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</si>
  <si>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</si>
  <si>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</si>
  <si>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</si>
  <si>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</si>
  <si>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</si>
  <si>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</si>
  <si>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</si>
  <si>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</si>
  <si>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</si>
  <si>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</si>
  <si>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</si>
  <si>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</si>
  <si>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</si>
  <si>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</si>
  <si>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</si>
  <si>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</si>
  <si>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</si>
  <si>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</si>
  <si>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</si>
  <si>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</si>
  <si>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</si>
  <si>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</si>
  <si>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</si>
  <si>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</si>
  <si>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</si>
  <si>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</si>
  <si>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</si>
  <si>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</si>
  <si>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</si>
  <si>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</si>
  <si>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</si>
  <si>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</si>
  <si>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</si>
  <si>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</si>
  <si>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</si>
  <si>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</si>
  <si>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</si>
  <si>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</si>
  <si>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</si>
  <si>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</si>
  <si>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</si>
  <si>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</si>
  <si>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</si>
  <si>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</si>
  <si>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</si>
  <si>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</si>
  <si>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</si>
  <si>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</si>
  <si>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</si>
  <si>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</si>
  <si>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</si>
  <si>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</si>
  <si>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</si>
  <si>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</si>
  <si>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</si>
  <si>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</si>
  <si>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</si>
  <si>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</si>
  <si>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</si>
  <si>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</si>
  <si>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</si>
  <si>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</si>
  <si>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</si>
  <si>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</si>
  <si>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</si>
  <si>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</si>
  <si>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</si>
  <si>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</si>
  <si>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</si>
  <si>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</si>
  <si>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</si>
  <si>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</si>
  <si>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</si>
  <si>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</si>
  <si>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</si>
  <si>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</si>
  <si>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</si>
  <si>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</si>
  <si>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</si>
  <si>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</si>
  <si>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</si>
  <si>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</si>
  <si>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</si>
  <si>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</si>
  <si>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</si>
  <si>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</si>
  <si>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</si>
  <si>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</si>
  <si>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</si>
  <si>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</si>
  <si>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</si>
  <si>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</si>
  <si>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</si>
  <si>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</si>
  <si>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</si>
  <si>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</si>
  <si>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</si>
  <si>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</si>
  <si>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</si>
  <si>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</si>
  <si>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</si>
  <si>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</si>
  <si>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</si>
  <si>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</si>
  <si>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</si>
  <si>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</si>
  <si>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</si>
  <si>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</si>
  <si>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</si>
  <si>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</si>
  <si>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</si>
  <si>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</si>
  <si>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</si>
  <si>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</si>
  <si>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</si>
  <si>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</si>
  <si>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</si>
  <si>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</si>
  <si>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</si>
  <si>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</si>
  <si>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</si>
  <si>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</si>
  <si>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</si>
  <si>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</si>
  <si>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</si>
  <si>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</si>
  <si>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</si>
  <si>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</si>
  <si>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</si>
  <si>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</si>
  <si>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</si>
  <si>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</si>
  <si>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</si>
  <si>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</si>
  <si>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</si>
  <si>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</si>
  <si>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</si>
  <si>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</si>
  <si>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</si>
  <si>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</si>
  <si>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</si>
  <si>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</si>
  <si>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</si>
  <si>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</si>
  <si>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</si>
  <si>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</si>
  <si>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</si>
  <si>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</si>
  <si>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</si>
  <si>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</si>
  <si>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</si>
  <si>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</si>
  <si>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</si>
  <si>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</si>
  <si>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</si>
  <si>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</si>
  <si>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</si>
  <si>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</si>
  <si>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</si>
  <si>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</si>
  <si>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</si>
  <si>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</si>
  <si>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</si>
  <si>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</si>
  <si>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</si>
  <si>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</si>
  <si>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</si>
  <si>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</si>
  <si>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</si>
  <si>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</si>
  <si>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</si>
  <si>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</si>
  <si>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</si>
  <si>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</si>
  <si>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</si>
  <si>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</si>
  <si>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</si>
  <si>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</si>
  <si>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</si>
  <si>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</si>
  <si>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</si>
  <si>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</si>
  <si>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</si>
  <si>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</si>
  <si>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</si>
  <si>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</si>
  <si>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</si>
  <si>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</si>
  <si>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</si>
  <si>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</si>
  <si>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</si>
  <si>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</si>
  <si>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</si>
  <si>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</si>
  <si>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</si>
  <si>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</si>
  <si>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</si>
  <si>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</si>
  <si>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</si>
  <si>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</si>
  <si>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</si>
  <si>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</si>
  <si>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</si>
  <si>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</si>
  <si>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</si>
  <si>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</si>
  <si>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</si>
  <si>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</si>
  <si>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</si>
  <si>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</si>
  <si>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</si>
  <si>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</si>
  <si>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</si>
  <si>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</si>
  <si>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</si>
  <si>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</si>
  <si>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</si>
  <si>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</si>
  <si>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</si>
  <si>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</si>
  <si>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</si>
  <si>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</si>
  <si>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</si>
  <si>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</si>
  <si>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</si>
  <si>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</si>
  <si>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</si>
  <si>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</si>
  <si>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</si>
  <si>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</si>
  <si>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</si>
  <si>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</si>
  <si>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</si>
  <si>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</si>
  <si>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</si>
  <si>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</si>
  <si>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</si>
  <si>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</si>
  <si>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</si>
  <si>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</si>
  <si>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</si>
  <si>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</si>
  <si>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</si>
  <si>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</si>
  <si>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</si>
  <si>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</si>
  <si>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</si>
  <si>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</si>
  <si>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</si>
  <si>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</si>
  <si>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</si>
  <si>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</si>
  <si>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</si>
  <si>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</si>
  <si>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</si>
  <si>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</si>
  <si>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</si>
  <si>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</si>
  <si>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</si>
  <si>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</si>
  <si>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</si>
  <si>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</si>
  <si>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</si>
  <si>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</si>
  <si>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</si>
  <si>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</si>
  <si>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</si>
  <si>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</si>
  <si>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</si>
  <si>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</si>
  <si>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</si>
  <si>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</si>
  <si>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</si>
  <si>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</si>
  <si>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</si>
  <si>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</si>
  <si>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</si>
  <si>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</si>
  <si>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</si>
  <si>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</si>
  <si>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</si>
  <si>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</si>
  <si>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</si>
  <si>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</si>
  <si>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</si>
  <si>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</si>
  <si>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</si>
  <si>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</si>
  <si>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</si>
  <si>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</si>
  <si>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</si>
  <si>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</si>
  <si>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</si>
  <si>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</si>
  <si>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</si>
  <si>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</si>
  <si>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</si>
  <si>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</si>
  <si>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</si>
  <si>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</si>
  <si>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</si>
  <si>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</si>
  <si>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</si>
  <si>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</si>
  <si>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</si>
  <si>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</si>
  <si>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</si>
  <si>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</si>
  <si>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</si>
  <si>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</si>
  <si>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</si>
  <si>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</si>
  <si>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</si>
  <si>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</si>
  <si>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</si>
  <si>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</si>
  <si>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</si>
  <si>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</si>
  <si>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</si>
  <si>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</si>
  <si>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</si>
  <si>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</si>
  <si>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</si>
  <si>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</si>
  <si>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</si>
  <si>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</si>
  <si>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</si>
  <si>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</si>
  <si>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</si>
  <si>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</si>
  <si>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</si>
  <si>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</si>
  <si>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</si>
  <si>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</si>
  <si>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</si>
  <si>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</si>
  <si>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</si>
  <si>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</si>
  <si>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</si>
  <si>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</si>
  <si>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</si>
  <si>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</si>
  <si>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</si>
  <si>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</si>
  <si>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</si>
  <si>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</si>
  <si>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</si>
  <si>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</si>
  <si>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</si>
  <si>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</si>
  <si>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</si>
  <si>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</si>
  <si>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</si>
  <si>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</si>
  <si>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</si>
  <si>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</si>
  <si>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</si>
  <si>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</si>
  <si>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</si>
  <si>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</si>
  <si>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</si>
  <si>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</si>
  <si>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</si>
  <si>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</si>
  <si>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</si>
  <si>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</si>
  <si>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</si>
  <si>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</si>
  <si>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</si>
  <si>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</si>
  <si>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</si>
  <si>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</si>
  <si>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</si>
  <si>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</si>
  <si>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</si>
  <si>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</si>
  <si>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</si>
  <si>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</si>
  <si>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</si>
  <si>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</si>
  <si>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</si>
  <si>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</si>
  <si>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</si>
  <si>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</si>
  <si>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</si>
  <si>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</si>
  <si>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</si>
  <si>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</si>
  <si>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</si>
  <si>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</si>
  <si>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</si>
  <si>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</si>
  <si>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</si>
  <si>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</si>
  <si>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</si>
  <si>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</si>
  <si>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</si>
  <si>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</si>
  <si>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</si>
  <si>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</si>
  <si>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</si>
  <si>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</si>
  <si>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</si>
  <si>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</si>
  <si>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</si>
  <si>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</si>
  <si>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</si>
  <si>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</si>
  <si>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</si>
  <si>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</si>
  <si>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</si>
  <si>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</si>
  <si>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</si>
  <si>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</si>
  <si>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</si>
  <si>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</si>
  <si>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</si>
  <si>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</si>
  <si>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</si>
  <si>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</si>
  <si>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</si>
  <si>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</si>
  <si>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</si>
  <si>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</si>
  <si>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</si>
  <si>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</si>
  <si>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</si>
  <si>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</si>
  <si>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</si>
  <si>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</si>
  <si>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</si>
  <si>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</si>
  <si>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</si>
  <si>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</si>
  <si>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</si>
  <si>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</si>
  <si>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</si>
  <si>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</si>
  <si>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</si>
  <si>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</si>
  <si>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</si>
  <si>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</si>
  <si>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</si>
  <si>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</si>
  <si>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</si>
  <si>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</si>
  <si>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</si>
  <si>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</si>
  <si>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</si>
  <si>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</si>
  <si>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</si>
  <si>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</si>
  <si>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</si>
  <si>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</si>
  <si>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</si>
  <si>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</si>
  <si>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</si>
  <si>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</si>
  <si>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</si>
  <si>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</si>
  <si>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</si>
  <si>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</si>
  <si>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</si>
  <si>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</si>
  <si>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</si>
  <si>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</si>
  <si>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</si>
  <si>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</si>
  <si>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</si>
  <si>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</si>
  <si>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</si>
  <si>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</si>
  <si>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</si>
  <si>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</si>
  <si>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</si>
  <si>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</si>
  <si>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</si>
  <si>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</si>
  <si>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</si>
  <si>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</si>
  <si>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</si>
  <si>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</si>
  <si>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</si>
  <si>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</si>
  <si>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</si>
  <si>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</si>
  <si>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</si>
  <si>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</si>
  <si>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</si>
  <si>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</si>
  <si>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</si>
  <si>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</si>
  <si>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</si>
  <si>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</si>
  <si>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</si>
  <si>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</si>
  <si>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</si>
  <si>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</si>
  <si>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</si>
  <si>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</si>
  <si>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</si>
  <si>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</si>
  <si>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</si>
  <si>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</si>
  <si>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</si>
  <si>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</si>
  <si>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</si>
  <si>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</si>
  <si>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</si>
  <si>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</si>
  <si>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</si>
  <si>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</si>
  <si>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</si>
  <si>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</si>
  <si>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</si>
  <si>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</si>
  <si>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</si>
  <si>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</si>
  <si>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</si>
  <si>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</si>
  <si>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</si>
  <si>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</si>
  <si>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</si>
  <si>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</si>
  <si>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</si>
  <si>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</si>
  <si>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</si>
  <si>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</si>
  <si>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</si>
  <si>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</si>
  <si>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</si>
  <si>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</si>
  <si>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</si>
  <si>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</si>
  <si>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</si>
  <si>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</si>
  <si>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</si>
  <si>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</si>
  <si>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</si>
  <si>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</si>
  <si>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</si>
  <si>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</si>
  <si>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</si>
  <si>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</si>
  <si>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</si>
  <si>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</si>
  <si>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</si>
  <si>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</si>
  <si>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</si>
  <si>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</si>
  <si>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</si>
  <si>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</si>
  <si>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</si>
  <si>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</si>
  <si>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</si>
  <si>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</si>
  <si>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</si>
  <si>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</si>
  <si>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</si>
  <si>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</si>
  <si>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</si>
  <si>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</si>
  <si>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</si>
  <si>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</si>
  <si>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</si>
  <si>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</si>
  <si>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</si>
  <si>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</si>
  <si>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</si>
  <si>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</si>
  <si>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</si>
  <si>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</si>
  <si>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</si>
  <si>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</si>
  <si>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</si>
  <si>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</si>
  <si>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</si>
  <si>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</si>
  <si>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</si>
  <si>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</si>
  <si>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</si>
  <si>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</si>
  <si>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</si>
  <si>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</si>
  <si>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</si>
  <si>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</si>
  <si>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</si>
  <si>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</si>
  <si>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</si>
  <si>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</si>
  <si>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</si>
  <si>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</si>
  <si>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</si>
  <si>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</si>
  <si>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</si>
  <si>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</si>
  <si>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</si>
  <si>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</si>
  <si>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</si>
  <si>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</si>
  <si>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</si>
  <si>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</si>
  <si>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</si>
  <si>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</si>
  <si>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</si>
  <si>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</si>
  <si>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</si>
  <si>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</si>
  <si>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</si>
  <si>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</si>
  <si>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</si>
  <si>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</si>
  <si>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</si>
  <si>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</si>
  <si>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</si>
  <si>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</si>
  <si>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</si>
  <si>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</si>
  <si>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</si>
  <si>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</si>
  <si>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</si>
  <si>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</si>
  <si>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</si>
  <si>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</si>
  <si>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</si>
  <si>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</si>
  <si>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</si>
  <si>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</si>
  <si>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</si>
  <si>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</si>
  <si>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</si>
  <si>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</si>
  <si>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</si>
  <si>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</si>
  <si>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</si>
  <si>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</si>
  <si>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</si>
  <si>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</si>
  <si>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</si>
  <si>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</si>
  <si>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</si>
  <si>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</si>
  <si>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</si>
  <si>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</si>
  <si>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</si>
  <si>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</si>
  <si>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</si>
  <si>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</si>
  <si>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</si>
  <si>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</si>
  <si>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</si>
  <si>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</si>
  <si>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</si>
  <si>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</si>
  <si>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</si>
  <si>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</si>
  <si>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</si>
  <si>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</si>
  <si>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</si>
  <si>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</si>
  <si>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</si>
  <si>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</si>
  <si>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</si>
  <si>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</si>
  <si>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</si>
  <si>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</si>
  <si>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</si>
  <si>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</si>
  <si>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</si>
  <si>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</si>
  <si>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</si>
  <si>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</si>
  <si>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</si>
  <si>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</si>
  <si>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</si>
  <si>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</si>
  <si>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</si>
  <si>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</si>
  <si>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</si>
  <si>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</si>
  <si>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</si>
  <si>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</si>
  <si>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</si>
  <si>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</si>
  <si>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</si>
  <si>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</si>
  <si>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</si>
  <si>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</si>
  <si>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</si>
  <si>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</si>
  <si>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</si>
  <si>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</si>
  <si>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</si>
  <si>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</si>
  <si>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</si>
  <si>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</si>
  <si>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</si>
  <si>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</si>
  <si>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</si>
  <si>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</si>
  <si>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</si>
  <si>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</si>
  <si>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</si>
  <si>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</si>
  <si>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</si>
  <si>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</si>
  <si>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</si>
  <si>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</si>
  <si>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</si>
  <si>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</si>
  <si>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</si>
  <si>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</si>
  <si>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</si>
  <si>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</si>
  <si>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</si>
  <si>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</si>
  <si>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</si>
  <si>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</si>
  <si>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</si>
  <si>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</si>
  <si>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</si>
  <si>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</si>
  <si>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</si>
  <si>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</si>
  <si>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</si>
  <si>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</si>
  <si>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</si>
  <si>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</si>
  <si>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</si>
  <si>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</si>
  <si>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</si>
  <si>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</si>
  <si>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</si>
  <si>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</si>
  <si>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</si>
  <si>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</si>
  <si>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</si>
  <si>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</si>
  <si>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</si>
  <si>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</si>
  <si>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</si>
  <si>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</si>
  <si>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</si>
  <si>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</si>
  <si>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</si>
  <si>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</si>
  <si>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</si>
  <si>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</si>
  <si>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</si>
  <si>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</si>
  <si>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</si>
  <si>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</si>
  <si>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</si>
  <si>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</si>
  <si>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</si>
  <si>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</si>
  <si>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</si>
  <si>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</si>
  <si>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</si>
  <si>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</si>
  <si>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</si>
  <si>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</si>
  <si>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</si>
  <si>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</si>
  <si>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</si>
  <si>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</si>
  <si>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</si>
  <si>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</si>
  <si>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</si>
  <si>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</si>
  <si>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</si>
  <si>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</si>
  <si>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</si>
  <si>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</si>
  <si>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</si>
  <si>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</si>
  <si>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</si>
  <si>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</si>
  <si>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</si>
  <si>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</si>
  <si>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</si>
  <si>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</si>
  <si>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</si>
  <si>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</si>
  <si>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</si>
  <si>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</si>
  <si>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</si>
  <si>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</si>
  <si>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</si>
  <si>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</si>
  <si>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</si>
  <si>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</si>
  <si>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</si>
  <si>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</si>
  <si>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</si>
  <si>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</si>
  <si>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</si>
  <si>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</si>
  <si>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</si>
  <si>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</si>
  <si>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</si>
  <si>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</si>
  <si>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</si>
  <si>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</si>
  <si>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</si>
  <si>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</si>
  <si>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</si>
  <si>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</si>
  <si>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</si>
  <si>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</si>
  <si>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</si>
  <si>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</si>
  <si>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</si>
  <si>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</si>
  <si>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</si>
  <si>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</si>
  <si>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</si>
  <si>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</si>
  <si>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</si>
  <si>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</si>
  <si>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</si>
  <si>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</si>
  <si>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</si>
  <si>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</si>
  <si>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</si>
  <si>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</si>
  <si>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</si>
  <si>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</si>
  <si>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</si>
  <si>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</si>
  <si>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</si>
  <si>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</si>
  <si>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</si>
  <si>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</si>
  <si>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</si>
  <si>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</si>
  <si>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</si>
  <si>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</si>
  <si>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</si>
  <si>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</si>
  <si>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</si>
  <si>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</si>
  <si>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</si>
  <si>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</si>
  <si>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</si>
  <si>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</si>
  <si>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</si>
  <si>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</si>
  <si>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</si>
  <si>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</si>
  <si>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</si>
  <si>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</si>
  <si>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</si>
  <si>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</si>
  <si>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</si>
  <si>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</si>
  <si>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</si>
  <si>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</si>
  <si>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</si>
  <si>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</si>
  <si>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</si>
  <si>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</si>
  <si>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</si>
  <si>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</si>
  <si>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</si>
  <si>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</si>
  <si>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</si>
  <si>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</si>
  <si>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</si>
  <si>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</si>
  <si>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</si>
  <si>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</si>
  <si>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</si>
  <si>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</si>
  <si>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</si>
  <si>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</si>
  <si>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</si>
  <si>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</si>
  <si>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</si>
  <si>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</si>
  <si>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</si>
  <si>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</si>
  <si>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</si>
  <si>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</si>
  <si>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</si>
  <si>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</si>
  <si>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</si>
  <si>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</si>
  <si>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</si>
  <si>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</si>
  <si>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</si>
  <si>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</si>
  <si>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</si>
  <si>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</si>
  <si>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</si>
  <si>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</si>
  <si>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</si>
  <si>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</si>
  <si>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</si>
  <si>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</si>
  <si>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</si>
  <si>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</si>
  <si>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</si>
  <si>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</si>
  <si>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</si>
  <si>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</si>
  <si>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</si>
  <si>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</si>
  <si>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</si>
  <si>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</si>
  <si>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</si>
  <si>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</si>
  <si>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</si>
  <si>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</si>
  <si>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</si>
  <si>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</si>
  <si>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</si>
  <si>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</si>
  <si>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</si>
  <si>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</si>
  <si>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</si>
  <si>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</si>
  <si>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</si>
  <si>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</si>
  <si>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</si>
  <si>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</si>
  <si>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</si>
  <si>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</si>
  <si>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</si>
  <si>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</si>
  <si>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</si>
  <si>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</si>
  <si>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</si>
  <si>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</si>
  <si>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</si>
  <si>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</si>
  <si>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</si>
  <si>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</si>
  <si>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</si>
  <si>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</si>
  <si>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</si>
  <si>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</si>
  <si>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</si>
  <si>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</si>
  <si>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</si>
  <si>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</si>
  <si>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</si>
  <si>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</si>
  <si>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</si>
  <si>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</si>
  <si>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</si>
  <si>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</si>
  <si>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</si>
  <si>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</si>
  <si>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</si>
  <si>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</si>
  <si>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</si>
  <si>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</si>
  <si>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</si>
  <si>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</si>
  <si>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</si>
  <si>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</si>
  <si>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</si>
  <si>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</si>
  <si>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</si>
  <si>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</si>
  <si>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</si>
  <si>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</si>
  <si>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</si>
  <si>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</si>
  <si>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</si>
  <si>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</si>
  <si>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</si>
  <si>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</si>
  <si>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</si>
  <si>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</si>
  <si>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</si>
  <si>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</si>
  <si>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</si>
  <si>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</si>
  <si>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</si>
  <si>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</si>
  <si>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</si>
  <si>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</si>
  <si>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</si>
  <si>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</si>
  <si>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</si>
  <si>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</si>
  <si>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</si>
  <si>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</si>
  <si>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</si>
  <si>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</si>
  <si>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</si>
  <si>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</si>
  <si>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</si>
  <si>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</si>
  <si>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</si>
  <si>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</si>
  <si>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</si>
  <si>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</si>
  <si>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</si>
  <si>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</si>
  <si>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</si>
  <si>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</si>
  <si>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</si>
  <si>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</si>
  <si>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</si>
  <si>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</si>
  <si>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</si>
  <si>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</si>
  <si>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</si>
  <si>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</si>
  <si>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</si>
  <si>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</si>
  <si>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</si>
  <si>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</si>
  <si>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</si>
  <si>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</si>
  <si>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</si>
  <si>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</si>
  <si>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</si>
  <si>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</si>
  <si>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</si>
  <si>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</si>
  <si>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</si>
  <si>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</si>
  <si>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</si>
  <si>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</si>
  <si>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</si>
  <si>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</si>
  <si>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</si>
  <si>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</si>
  <si>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</si>
  <si>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</si>
  <si>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</si>
  <si>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</si>
  <si>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</si>
  <si>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</si>
  <si>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</si>
  <si>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</si>
  <si>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</si>
  <si>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</si>
  <si>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</si>
  <si>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</si>
  <si>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</si>
  <si>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</si>
  <si>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</si>
  <si>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</si>
  <si>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</si>
  <si>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</si>
  <si>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</si>
  <si>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</si>
  <si>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</si>
  <si>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</si>
  <si>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</si>
  <si>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</si>
  <si>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</si>
  <si>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</si>
  <si>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</si>
  <si>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</si>
  <si>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</si>
  <si>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</si>
  <si>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</si>
  <si>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</si>
  <si>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</si>
  <si>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</si>
  <si>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</si>
  <si>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</si>
  <si>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</si>
  <si>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</si>
  <si>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</si>
  <si>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</si>
  <si>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</si>
  <si>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</si>
  <si>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</si>
  <si>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</si>
  <si>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</si>
  <si>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</si>
  <si>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</si>
  <si>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</si>
  <si>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</si>
  <si>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</si>
  <si>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</si>
  <si>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</si>
  <si>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</si>
  <si>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</si>
  <si>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</si>
  <si>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</si>
  <si>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</si>
  <si>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</si>
  <si>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</si>
  <si>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</si>
  <si>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</si>
  <si>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</si>
  <si>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</si>
  <si>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</si>
  <si>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</si>
  <si>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</si>
  <si>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</si>
  <si>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</si>
  <si>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</si>
  <si>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</si>
  <si>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</si>
  <si>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</si>
  <si>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</si>
  <si>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</si>
  <si>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</si>
  <si>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</si>
  <si>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</si>
  <si>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</si>
  <si>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</si>
  <si>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</si>
  <si>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</si>
  <si>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</si>
  <si>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</si>
  <si>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</si>
  <si>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</si>
  <si>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</si>
  <si>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</si>
  <si>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</si>
  <si>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</si>
  <si>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</si>
  <si>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</si>
  <si>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</si>
  <si>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</si>
  <si>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</si>
  <si>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</si>
  <si>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</si>
  <si>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</si>
  <si>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</si>
  <si>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</si>
  <si>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</si>
  <si>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</si>
  <si>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</si>
  <si>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</si>
  <si>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</si>
  <si>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</si>
  <si>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</si>
  <si>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</si>
  <si>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</si>
  <si>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</si>
  <si>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</si>
  <si>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</si>
  <si>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</si>
  <si>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</si>
  <si>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</si>
  <si>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</si>
  <si>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</si>
  <si>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</si>
  <si>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</si>
  <si>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</si>
  <si>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</si>
  <si>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</si>
  <si>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</si>
  <si>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</si>
  <si>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</si>
  <si>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</si>
  <si>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</si>
  <si>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</si>
  <si>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</si>
  <si>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</si>
  <si>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</si>
  <si>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</si>
  <si>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</si>
  <si>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</si>
  <si>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</si>
  <si>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</si>
  <si>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</si>
  <si>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</si>
  <si>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</si>
  <si>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</si>
  <si>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</si>
  <si>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</si>
  <si>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</si>
  <si>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</si>
  <si>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</si>
  <si>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</si>
  <si>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</si>
  <si>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</si>
  <si>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</si>
  <si>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</si>
  <si>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</si>
  <si>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</si>
  <si>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</si>
  <si>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</si>
  <si>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</si>
  <si>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</si>
  <si>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</si>
  <si>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</si>
  <si>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</si>
  <si>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</si>
  <si>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</si>
  <si>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</si>
  <si>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</si>
  <si>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</si>
  <si>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</si>
  <si>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</si>
  <si>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</si>
  <si>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</si>
  <si>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</si>
  <si>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</si>
  <si>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</si>
  <si>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</si>
  <si>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</si>
  <si>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</si>
  <si>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</si>
  <si>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</si>
  <si>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</si>
  <si>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</si>
  <si>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</si>
  <si>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</si>
  <si>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</si>
  <si>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</si>
  <si>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</si>
  <si>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</si>
  <si>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</si>
  <si>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</si>
  <si>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</si>
  <si>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</si>
  <si>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</si>
  <si>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</si>
  <si>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</si>
  <si>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</si>
  <si>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</si>
  <si>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</si>
  <si>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</si>
  <si>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</si>
  <si>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</si>
  <si>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</si>
  <si>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</si>
  <si>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</si>
  <si>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</si>
  <si>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</si>
  <si>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</si>
  <si>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</si>
  <si>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</si>
  <si>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</si>
  <si>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</si>
  <si>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</si>
  <si>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</si>
  <si>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</si>
  <si>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</si>
  <si>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</si>
  <si>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</si>
  <si>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</si>
  <si>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</si>
  <si>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</si>
  <si>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</si>
  <si>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</si>
  <si>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</si>
  <si>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</si>
  <si>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</si>
  <si>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</si>
  <si>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</si>
  <si>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</si>
  <si>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</si>
  <si>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</si>
  <si>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</si>
  <si>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</si>
  <si>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</si>
  <si>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</si>
  <si>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</si>
  <si>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</si>
  <si>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</si>
  <si>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</si>
  <si>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</si>
  <si>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</si>
  <si>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</si>
  <si>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</si>
  <si>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</si>
  <si>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</si>
  <si>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</si>
  <si>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</si>
  <si>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</si>
  <si>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</si>
  <si>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</si>
  <si>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</si>
  <si>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</si>
  <si>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</si>
  <si>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</si>
  <si>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</si>
  <si>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</si>
  <si>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</si>
  <si>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</si>
  <si>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</si>
  <si>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</si>
  <si>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</si>
  <si>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</si>
  <si>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</si>
  <si>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</si>
  <si>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</si>
  <si>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</si>
  <si>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</si>
  <si>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</si>
  <si>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</si>
  <si>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</si>
  <si>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</si>
  <si>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</si>
  <si>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</si>
  <si>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</si>
  <si>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</si>
  <si>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</si>
  <si>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</si>
  <si>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</si>
  <si>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</si>
  <si>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</si>
  <si>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</si>
  <si>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</si>
  <si>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</si>
  <si>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</si>
  <si>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</si>
  <si>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</si>
  <si>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</si>
  <si>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</si>
  <si>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</si>
  <si>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</si>
  <si>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</si>
  <si>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</si>
  <si>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</si>
  <si>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</si>
  <si>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</si>
  <si>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</si>
  <si>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</si>
  <si>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</si>
  <si>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</si>
  <si>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</si>
  <si>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</si>
  <si>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</si>
  <si>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</si>
  <si>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</si>
  <si>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</si>
  <si>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</si>
  <si>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</si>
  <si>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</si>
  <si>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</si>
  <si>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</si>
  <si>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</si>
  <si>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</si>
  <si>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</si>
  <si>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</si>
  <si>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</si>
  <si>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</si>
  <si>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</si>
  <si>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</si>
  <si>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</si>
  <si>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</si>
  <si>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</si>
  <si>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</si>
  <si>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</si>
  <si>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</si>
  <si>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</si>
  <si>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</si>
  <si>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</si>
  <si>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</si>
  <si>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</si>
  <si>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</si>
  <si>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</si>
  <si>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</si>
  <si>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</si>
  <si>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</si>
  <si>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</si>
  <si>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</si>
  <si>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</si>
  <si>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</si>
  <si>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</si>
  <si>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</si>
  <si>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</si>
  <si>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</si>
  <si>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</si>
  <si>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</si>
  <si>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</si>
  <si>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</si>
  <si>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</si>
  <si>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</si>
  <si>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</si>
  <si>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</si>
  <si>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</si>
  <si>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</si>
  <si>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</si>
  <si>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</si>
  <si>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</si>
  <si>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</si>
  <si>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</si>
  <si>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</si>
  <si>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</si>
  <si>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</si>
  <si>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</si>
  <si>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</si>
  <si>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</si>
  <si>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</si>
  <si>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</si>
  <si>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</si>
  <si>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</si>
  <si>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</si>
  <si>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</si>
  <si>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</si>
  <si>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</si>
  <si>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</si>
  <si>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</si>
  <si>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</si>
  <si>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</si>
  <si>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</si>
  <si>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</si>
  <si>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</si>
  <si>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</si>
  <si>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</si>
  <si>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</si>
  <si>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</si>
  <si>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Robert E. Moore, CPA</t>
  </si>
  <si>
    <t>Moore &amp; Simonin, PC</t>
  </si>
  <si>
    <t>3636 North Belt West</t>
  </si>
  <si>
    <t>Belleville</t>
  </si>
  <si>
    <t>IL</t>
  </si>
  <si>
    <t>618-233-5049</t>
  </si>
  <si>
    <t>618-233-1061</t>
  </si>
  <si>
    <t>066-005248</t>
  </si>
  <si>
    <t>mooresimonin@mrsaccountants.com</t>
  </si>
  <si>
    <t>X</t>
  </si>
  <si>
    <t>St. Clair</t>
  </si>
  <si>
    <t>410 Huntwood Drive</t>
  </si>
  <si>
    <t>Swansea</t>
  </si>
  <si>
    <t>Building damages caused by subsidence.</t>
  </si>
  <si>
    <t>2015A Taxable GO</t>
  </si>
  <si>
    <t>2015B Refunding GO</t>
  </si>
  <si>
    <t>2015C</t>
  </si>
  <si>
    <t>Working Cash Taxable</t>
  </si>
  <si>
    <t>2019 Taxable GO</t>
  </si>
  <si>
    <t>ED-Food Service-Purchased Service</t>
  </si>
  <si>
    <t>10-2560-300</t>
  </si>
  <si>
    <t>Aramark</t>
  </si>
  <si>
    <t>BASSC</t>
  </si>
  <si>
    <t>BTHS District 201</t>
  </si>
  <si>
    <t>Page 11, Line 106:  Pre-K Fees</t>
  </si>
  <si>
    <t>Page 12, Line 168:  Library Grant - $750</t>
  </si>
  <si>
    <t>Page 12, Line 168:  IDNR - $542,091</t>
  </si>
  <si>
    <t>Wolf Branch SD 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</si>
</sst>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1438275</xdr:colOff>
          <xdr:row>3</xdr:row>
          <xdr:rowOff>142875</xdr:rowOff>
        </xdr:from>
        <xdr:to>
          <xdr:col>1</xdr:col>
          <xdr:colOff>2352675</xdr:colOff>
          <xdr:row>8</xdr:row>
          <xdr:rowOff>19050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package" Target="../embeddings/Microsoft_Excel_Worksheet.xlsx"/><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1" t="s">
        <v>405</v>
      </c>
      <c r="J1" s="1982"/>
      <c r="K1" s="1982"/>
      <c r="L1" s="1982"/>
      <c r="M1" s="1982"/>
      <c r="N1" s="1982"/>
      <c r="O1" s="1982"/>
      <c r="P1" s="1982"/>
      <c r="Q1" s="1982"/>
      <c r="R1" s="1982"/>
      <c r="S1" s="1982"/>
    </row>
    <row r="2" spans="1:28" ht="12" customHeight="1" x14ac:dyDescent="0.2">
      <c r="A2" s="47" t="s">
        <v>1993</v>
      </c>
      <c r="D2" s="48"/>
      <c r="I2" s="1983" t="s">
        <v>979</v>
      </c>
      <c r="J2" s="1982"/>
      <c r="K2" s="1982"/>
      <c r="L2" s="1982"/>
      <c r="M2" s="1982"/>
      <c r="N2" s="1982"/>
      <c r="O2" s="1982"/>
      <c r="P2" s="1982"/>
      <c r="Q2" s="1982"/>
      <c r="R2" s="1982"/>
      <c r="S2" s="1982"/>
    </row>
    <row r="3" spans="1:28" ht="12" customHeight="1" x14ac:dyDescent="0.2">
      <c r="A3" s="155" t="s">
        <v>1945</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2073</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2073</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50082113002</v>
      </c>
      <c r="B13" s="2017"/>
      <c r="C13" s="2017"/>
      <c r="D13" s="2017"/>
      <c r="E13" s="2017"/>
      <c r="F13" s="2017"/>
      <c r="G13" s="2017"/>
      <c r="H13" s="2018"/>
      <c r="I13" s="31"/>
      <c r="J13" s="30"/>
      <c r="K13" s="28"/>
      <c r="L13" s="30"/>
      <c r="M13" s="30"/>
      <c r="N13" s="30"/>
      <c r="O13" s="30"/>
      <c r="P13" s="30"/>
      <c r="Q13" s="30"/>
      <c r="R13" s="30"/>
      <c r="S13" s="30"/>
      <c r="T13" s="2021" t="s">
        <v>2065</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2074</v>
      </c>
      <c r="B15" s="2019"/>
      <c r="C15" s="2019"/>
      <c r="D15" s="2019"/>
      <c r="E15" s="2019"/>
      <c r="F15" s="2019"/>
      <c r="G15" s="2019"/>
      <c r="H15" s="2020"/>
      <c r="T15" s="2025" t="s">
        <v>2064</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2091</v>
      </c>
      <c r="B17" s="1976"/>
      <c r="C17" s="1976"/>
      <c r="D17" s="1976"/>
      <c r="E17" s="1976"/>
      <c r="F17" s="1976"/>
      <c r="G17" s="1976"/>
      <c r="H17" s="2001"/>
      <c r="T17" s="2032" t="s">
        <v>2066</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2075</v>
      </c>
      <c r="B19" s="1961"/>
      <c r="C19" s="1961"/>
      <c r="D19" s="1961"/>
      <c r="E19" s="1961"/>
      <c r="F19" s="1961"/>
      <c r="G19" s="1961"/>
      <c r="H19" s="1941"/>
      <c r="I19" s="30"/>
      <c r="J19" s="99"/>
      <c r="K19" s="40"/>
      <c r="L19" s="38"/>
      <c r="M19" s="112" t="s">
        <v>315</v>
      </c>
      <c r="P19" s="27"/>
      <c r="Q19" s="27"/>
      <c r="R19" s="27"/>
      <c r="S19" s="31"/>
      <c r="T19" s="2015" t="s">
        <v>2067</v>
      </c>
      <c r="U19" s="1940"/>
      <c r="V19" s="1940"/>
      <c r="W19" s="1941"/>
      <c r="X19" s="2030" t="s">
        <v>2068</v>
      </c>
      <c r="Y19" s="2031"/>
      <c r="Z19" s="2028">
        <v>62226</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2076</v>
      </c>
      <c r="B21" s="1940"/>
      <c r="C21" s="1940"/>
      <c r="D21" s="1940"/>
      <c r="E21" s="1940"/>
      <c r="F21" s="1940"/>
      <c r="G21" s="1940"/>
      <c r="H21" s="1941"/>
      <c r="I21" s="1995" t="s">
        <v>678</v>
      </c>
      <c r="J21" s="1990"/>
      <c r="K21" s="1990"/>
      <c r="L21" s="1990"/>
      <c r="M21" s="1990"/>
      <c r="N21" s="1990"/>
      <c r="O21" s="1990"/>
      <c r="P21" s="1990"/>
      <c r="Q21" s="1990"/>
      <c r="R21" s="1990"/>
      <c r="S21" s="1996"/>
      <c r="T21" s="2039" t="s">
        <v>2069</v>
      </c>
      <c r="U21" s="2040"/>
      <c r="V21" s="2040"/>
      <c r="W21" s="2040"/>
      <c r="X21" s="2045" t="s">
        <v>2070</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c r="B23" s="1993"/>
      <c r="C23" s="1993"/>
      <c r="D23" s="1993"/>
      <c r="E23" s="1993"/>
      <c r="F23" s="1993"/>
      <c r="G23" s="1993"/>
      <c r="H23" s="1994"/>
      <c r="T23" s="1975" t="s">
        <v>2071</v>
      </c>
      <c r="U23" s="2038"/>
      <c r="V23" s="2038"/>
      <c r="W23" s="2038"/>
      <c r="X23" s="2042">
        <v>44530</v>
      </c>
      <c r="Y23" s="2043"/>
      <c r="Z23" s="2043"/>
      <c r="AA23" s="2044"/>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62226</v>
      </c>
      <c r="B25" s="1940"/>
      <c r="C25" s="1940"/>
      <c r="D25" s="1940"/>
      <c r="E25" s="1940"/>
      <c r="F25" s="1940"/>
      <c r="G25" s="1940"/>
      <c r="H25" s="1941"/>
      <c r="I25" s="113"/>
      <c r="J25" s="1964"/>
      <c r="K25" s="1964"/>
      <c r="L25" s="1964"/>
      <c r="M25" s="1964"/>
      <c r="N25" s="1964"/>
      <c r="O25" s="1964"/>
      <c r="P25" s="1964"/>
      <c r="Q25" s="1964"/>
      <c r="R25" s="1964"/>
      <c r="S25" s="1965"/>
      <c r="T25" s="2035" t="s">
        <v>2072</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c r="B42" s="1959"/>
      <c r="C42" s="1960"/>
      <c r="D42" s="1958"/>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13" sqref="A13:H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A13" sqref="A13:H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2065</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A13" sqref="A13:H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183260717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1.7500000000000002E-2</v>
      </c>
      <c r="E10" s="356" t="s">
        <v>1005</v>
      </c>
      <c r="F10" s="355">
        <v>5.5E-2</v>
      </c>
      <c r="G10" s="356" t="s">
        <v>1005</v>
      </c>
      <c r="H10" s="355">
        <v>1.1379999999999999E-2</v>
      </c>
      <c r="I10" s="356" t="s">
        <v>1006</v>
      </c>
      <c r="J10" s="1732">
        <f>ROUND(D10+F10+H10,5)</f>
        <v>8.3879999999999996E-2</v>
      </c>
      <c r="K10" s="222"/>
      <c r="L10" s="355">
        <v>5.0000000000000001E-4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7462213</v>
      </c>
      <c r="E16" s="356"/>
      <c r="F16" s="1733">
        <f>SUM('Acct Summary 7-8'!C17,'Acct Summary 7-8'!D17,'Acct Summary 7-8'!F17)</f>
        <v>7598417</v>
      </c>
      <c r="G16" s="356"/>
      <c r="H16" s="1733">
        <f>SUM(D16-F16)</f>
        <v>-136204</v>
      </c>
      <c r="I16" s="222"/>
      <c r="J16" s="1733">
        <f>SUM('Acct Summary 7-8'!C81,'Acct Summary 7-8'!D81,'Acct Summary 7-8'!F81,'Acct Summary 7-8'!I81)</f>
        <v>4979445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586</v>
      </c>
      <c r="D31" s="237" t="s">
        <v>1072</v>
      </c>
      <c r="E31" s="222"/>
      <c r="F31" s="222"/>
      <c r="G31" s="363"/>
      <c r="H31" s="1735">
        <f>IF(B31="X",(J7*0.069),IF(B32="X",(J7*0.138),"Enter x in a.or b."))</f>
        <v>12644989.473000001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1792000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t="s">
        <v>2073</v>
      </c>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t="s">
        <v>2077</v>
      </c>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3" sqref="A13:H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Wolf Branch SD 113</v>
      </c>
      <c r="E7" s="391"/>
      <c r="G7" s="252"/>
      <c r="H7" s="387"/>
      <c r="I7" s="387"/>
      <c r="J7" s="387"/>
      <c r="K7" s="387"/>
      <c r="L7" s="329"/>
      <c r="M7" s="329"/>
      <c r="N7" s="329"/>
      <c r="O7" s="329"/>
      <c r="P7" s="329"/>
    </row>
    <row r="8" spans="1:18" ht="12.75" x14ac:dyDescent="0.2">
      <c r="A8" s="329"/>
      <c r="B8" s="329"/>
      <c r="C8" s="389" t="s">
        <v>1125</v>
      </c>
      <c r="D8" s="392">
        <f>COVER!A13</f>
        <v>50082113002</v>
      </c>
      <c r="E8" s="393"/>
      <c r="G8" s="329"/>
      <c r="H8" s="329"/>
      <c r="I8" s="329"/>
      <c r="J8" s="329"/>
      <c r="K8" s="329"/>
      <c r="L8" s="329"/>
      <c r="M8" s="329"/>
      <c r="N8" s="329"/>
      <c r="O8" s="329"/>
      <c r="P8" s="329"/>
    </row>
    <row r="9" spans="1:18" ht="12.75" x14ac:dyDescent="0.2">
      <c r="A9" s="329"/>
      <c r="B9" s="329"/>
      <c r="C9" s="389" t="s">
        <v>713</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4979445</v>
      </c>
      <c r="I12" s="404"/>
      <c r="J12" s="404"/>
      <c r="K12" s="405">
        <f>TRUNC((H12/H13*100000),5)/100000</f>
        <v>0.66728797470000001</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7462213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7598417</v>
      </c>
      <c r="I17" s="404"/>
      <c r="J17" s="416"/>
      <c r="K17" s="405">
        <f>TRUNC((H17/H18*100000),5)/100000</f>
        <v>1.0182524942</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7462213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31.080024899999998</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4979376</v>
      </c>
      <c r="I24" s="422"/>
      <c r="J24" s="422"/>
      <c r="K24" s="423">
        <f>TRUNC(((H24/H25*100000)/100000),2)</f>
        <v>235.91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21106.713889999999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13066122.600670001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1792000</v>
      </c>
      <c r="I32" s="420"/>
      <c r="J32" s="420"/>
      <c r="K32" s="423">
        <f>TRUNC(100-((((H32/H33*100))*100)/100),2)</f>
        <v>85.82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12644989.473000001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4" activePane="bottomLeft" state="frozen"/>
      <selection activeCell="A13" sqref="A13:H13"/>
      <selection pane="bottomLeft" activeCell="A13" sqref="A13:H1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73336</v>
      </c>
      <c r="D4" s="466">
        <v>1666439</v>
      </c>
      <c r="E4" s="466">
        <v>125215</v>
      </c>
      <c r="F4" s="466">
        <v>499590</v>
      </c>
      <c r="G4" s="466">
        <v>219849</v>
      </c>
      <c r="H4" s="466"/>
      <c r="I4" s="466">
        <v>2740011</v>
      </c>
      <c r="J4" s="467">
        <v>222770</v>
      </c>
      <c r="K4" s="466">
        <v>383550</v>
      </c>
      <c r="L4" s="466">
        <v>99607</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v>69</v>
      </c>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73405</v>
      </c>
      <c r="D13" s="1737">
        <f t="shared" ref="D13:L13" si="0">SUM(D4:D12)</f>
        <v>1666439</v>
      </c>
      <c r="E13" s="1737">
        <f t="shared" si="0"/>
        <v>125215</v>
      </c>
      <c r="F13" s="1737">
        <f t="shared" si="0"/>
        <v>499590</v>
      </c>
      <c r="G13" s="1737">
        <f t="shared" si="0"/>
        <v>219849</v>
      </c>
      <c r="H13" s="1737">
        <f t="shared" si="0"/>
        <v>0</v>
      </c>
      <c r="I13" s="1737">
        <f t="shared" si="0"/>
        <v>2740011</v>
      </c>
      <c r="J13" s="1737">
        <f t="shared" si="0"/>
        <v>222770</v>
      </c>
      <c r="K13" s="1737">
        <f t="shared" si="0"/>
        <v>383550</v>
      </c>
      <c r="L13" s="1737">
        <f t="shared" si="0"/>
        <v>99607</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393889</v>
      </c>
      <c r="N16" s="484"/>
    </row>
    <row r="17" spans="1:14" s="485" customFormat="1" ht="12.75" customHeight="1" x14ac:dyDescent="0.2">
      <c r="A17" s="482" t="s">
        <v>1403</v>
      </c>
      <c r="B17" s="483">
        <v>230</v>
      </c>
      <c r="C17" s="477"/>
      <c r="D17" s="477"/>
      <c r="E17" s="477"/>
      <c r="F17" s="477"/>
      <c r="G17" s="477"/>
      <c r="H17" s="477"/>
      <c r="I17" s="477"/>
      <c r="J17" s="477"/>
      <c r="K17" s="477"/>
      <c r="L17" s="477"/>
      <c r="M17" s="467">
        <v>27568827</v>
      </c>
      <c r="N17" s="484"/>
    </row>
    <row r="18" spans="1:14" s="485" customFormat="1" ht="12.75" customHeight="1" x14ac:dyDescent="0.2">
      <c r="A18" s="482" t="s">
        <v>1404</v>
      </c>
      <c r="B18" s="483">
        <v>240</v>
      </c>
      <c r="C18" s="477"/>
      <c r="D18" s="477"/>
      <c r="E18" s="477"/>
      <c r="F18" s="477"/>
      <c r="G18" s="477"/>
      <c r="H18" s="477"/>
      <c r="I18" s="477"/>
      <c r="J18" s="477"/>
      <c r="K18" s="477"/>
      <c r="L18" s="477"/>
      <c r="M18" s="467">
        <v>1702080</v>
      </c>
      <c r="N18" s="484"/>
    </row>
    <row r="19" spans="1:14" s="485" customFormat="1" ht="12.75" customHeight="1" x14ac:dyDescent="0.2">
      <c r="A19" s="482" t="s">
        <v>1405</v>
      </c>
      <c r="B19" s="483">
        <v>250</v>
      </c>
      <c r="C19" s="477"/>
      <c r="D19" s="477"/>
      <c r="E19" s="477"/>
      <c r="F19" s="477"/>
      <c r="G19" s="477"/>
      <c r="H19" s="477"/>
      <c r="I19" s="477"/>
      <c r="J19" s="477"/>
      <c r="K19" s="477"/>
      <c r="L19" s="477"/>
      <c r="M19" s="467">
        <v>1145233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125215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1666785</v>
      </c>
    </row>
    <row r="23" spans="1:14" ht="13.5" customHeight="1" thickBot="1" x14ac:dyDescent="0.25">
      <c r="A23" s="1736" t="s">
        <v>643</v>
      </c>
      <c r="B23" s="1741"/>
      <c r="C23" s="468"/>
      <c r="D23" s="468"/>
      <c r="E23" s="468"/>
      <c r="F23" s="468"/>
      <c r="G23" s="468"/>
      <c r="H23" s="468"/>
      <c r="I23" s="468"/>
      <c r="J23" s="468"/>
      <c r="K23" s="468"/>
      <c r="L23" s="468"/>
      <c r="M23" s="1688">
        <f>SUM(M15:M22)</f>
        <v>30810029</v>
      </c>
      <c r="N23" s="1688">
        <f>SUM(N21:N22)</f>
        <v>1792000</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99607</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99607</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1792000</v>
      </c>
    </row>
    <row r="37" spans="1:14" ht="13.5" thickBot="1" x14ac:dyDescent="0.25">
      <c r="A37" s="1736" t="s">
        <v>653</v>
      </c>
      <c r="B37" s="1741"/>
      <c r="C37" s="477"/>
      <c r="D37" s="477"/>
      <c r="E37" s="477"/>
      <c r="F37" s="477"/>
      <c r="G37" s="477"/>
      <c r="H37" s="477"/>
      <c r="I37" s="477"/>
      <c r="J37" s="477"/>
      <c r="K37" s="477"/>
      <c r="L37" s="480"/>
      <c r="M37" s="468"/>
      <c r="N37" s="1688">
        <f>SUM(N36:N36)</f>
        <v>1792000</v>
      </c>
    </row>
    <row r="38" spans="1:14" s="329" customFormat="1" ht="13.5" customHeight="1" thickTop="1" x14ac:dyDescent="0.2">
      <c r="A38" s="496" t="s">
        <v>420</v>
      </c>
      <c r="B38" s="483">
        <v>714</v>
      </c>
      <c r="C38" s="466">
        <v>260632</v>
      </c>
      <c r="D38" s="466"/>
      <c r="E38" s="466"/>
      <c r="F38" s="466"/>
      <c r="G38" s="466"/>
      <c r="H38" s="466"/>
      <c r="I38" s="466"/>
      <c r="J38" s="467"/>
      <c r="K38" s="466"/>
      <c r="L38" s="481"/>
      <c r="M38" s="497"/>
      <c r="N38" s="497"/>
    </row>
    <row r="39" spans="1:14" s="329" customFormat="1" ht="13.5" customHeight="1" x14ac:dyDescent="0.2">
      <c r="A39" s="496" t="s">
        <v>342</v>
      </c>
      <c r="B39" s="483">
        <v>730</v>
      </c>
      <c r="C39" s="466">
        <v>-187227</v>
      </c>
      <c r="D39" s="466">
        <v>1666439</v>
      </c>
      <c r="E39" s="466">
        <v>125215</v>
      </c>
      <c r="F39" s="466">
        <v>499590</v>
      </c>
      <c r="G39" s="466">
        <v>219849</v>
      </c>
      <c r="H39" s="466"/>
      <c r="I39" s="466">
        <v>2740011</v>
      </c>
      <c r="J39" s="467">
        <v>222770</v>
      </c>
      <c r="K39" s="466">
        <v>383550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30810029</v>
      </c>
      <c r="N40" s="497"/>
    </row>
    <row r="41" spans="1:14" ht="13.5" customHeight="1" thickBot="1" x14ac:dyDescent="0.25">
      <c r="A41" s="1736" t="s">
        <v>655</v>
      </c>
      <c r="B41" s="1706"/>
      <c r="C41" s="1688">
        <f>(SUM(C34,C37,C38,C39))</f>
        <v>73405</v>
      </c>
      <c r="D41" s="1688">
        <f t="shared" ref="D41:L41" si="2">SUM(D34,D37,D38:D39)</f>
        <v>1666439</v>
      </c>
      <c r="E41" s="1688">
        <f t="shared" si="2"/>
        <v>125215</v>
      </c>
      <c r="F41" s="1688">
        <f t="shared" si="2"/>
        <v>499590</v>
      </c>
      <c r="G41" s="1688">
        <f t="shared" si="2"/>
        <v>219849</v>
      </c>
      <c r="H41" s="1688">
        <f t="shared" si="2"/>
        <v>0</v>
      </c>
      <c r="I41" s="1688">
        <f t="shared" si="2"/>
        <v>2740011</v>
      </c>
      <c r="J41" s="1688">
        <f t="shared" si="2"/>
        <v>222770</v>
      </c>
      <c r="K41" s="1688">
        <f t="shared" si="2"/>
        <v>383550</v>
      </c>
      <c r="L41" s="1688">
        <f t="shared" si="2"/>
        <v>99607</v>
      </c>
      <c r="M41" s="1688">
        <f>SUM(M40)</f>
        <v>30810029</v>
      </c>
      <c r="N41" s="1688">
        <f>SUM(N37)</f>
        <v>1792000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&amp;L&amp;8See notes.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9" activePane="bottomLeft" state="frozen"/>
      <selection activeCell="A13" sqref="A13:H13"/>
      <selection pane="bottomLeft" activeCell="A13" sqref="A13:H1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3793008</v>
      </c>
      <c r="D4" s="1742">
        <f>'Revenues 9-14'!D109</f>
        <v>1048464</v>
      </c>
      <c r="E4" s="1742">
        <f>'Revenues 9-14'!E109</f>
        <v>1833565</v>
      </c>
      <c r="F4" s="1742">
        <f>'Revenues 9-14'!F109</f>
        <v>220411</v>
      </c>
      <c r="G4" s="1742">
        <f>'Revenues 9-14'!G109</f>
        <v>165568</v>
      </c>
      <c r="H4" s="1742">
        <f>'Revenues 9-14'!H109</f>
        <v>0</v>
      </c>
      <c r="I4" s="1742">
        <f>'Revenues 9-14'!I109</f>
        <v>97523</v>
      </c>
      <c r="J4" s="1742">
        <f>'Revenues 9-14'!J109</f>
        <v>364872</v>
      </c>
      <c r="K4" s="1742">
        <f>'Revenues 9-14'!K109</f>
        <v>91460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1233526</v>
      </c>
      <c r="D6" s="1743">
        <f>'Revenues 9-14'!D170</f>
        <v>542091</v>
      </c>
      <c r="E6" s="1743">
        <f>'Revenues 9-14'!E170</f>
        <v>0</v>
      </c>
      <c r="F6" s="1743">
        <f>'Revenues 9-14'!F170</f>
        <v>142623</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384567</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5411101</v>
      </c>
      <c r="D8" s="1688">
        <f t="shared" ref="D8:K8" si="0">SUM(D4:D7)</f>
        <v>1590555</v>
      </c>
      <c r="E8" s="1688">
        <f t="shared" si="0"/>
        <v>1833565</v>
      </c>
      <c r="F8" s="1688">
        <f t="shared" si="0"/>
        <v>363034</v>
      </c>
      <c r="G8" s="1688">
        <f t="shared" si="0"/>
        <v>165568</v>
      </c>
      <c r="H8" s="1688">
        <f t="shared" si="0"/>
        <v>0</v>
      </c>
      <c r="I8" s="1688">
        <f t="shared" si="0"/>
        <v>97523</v>
      </c>
      <c r="J8" s="1688">
        <f t="shared" si="0"/>
        <v>364872</v>
      </c>
      <c r="K8" s="1688">
        <f t="shared" si="0"/>
        <v>91460</v>
      </c>
      <c r="L8" s="347"/>
    </row>
    <row r="9" spans="1:13" ht="15.75" thickTop="1" x14ac:dyDescent="0.2">
      <c r="A9" s="514" t="s">
        <v>1653</v>
      </c>
      <c r="B9" s="515">
        <v>3998</v>
      </c>
      <c r="C9" s="481">
        <v>2782584</v>
      </c>
      <c r="D9" s="516"/>
      <c r="E9" s="481"/>
      <c r="F9" s="481"/>
      <c r="G9" s="517"/>
      <c r="H9" s="481"/>
      <c r="I9" s="509" t="s">
        <v>1169</v>
      </c>
      <c r="J9" s="478"/>
      <c r="K9" s="481"/>
      <c r="L9" s="347"/>
    </row>
    <row r="10" spans="1:13" s="519" customFormat="1" ht="13.5" thickBot="1" x14ac:dyDescent="0.25">
      <c r="A10" s="1736" t="s">
        <v>1173</v>
      </c>
      <c r="B10" s="1709"/>
      <c r="C10" s="1688">
        <f>SUM(C8:C9)</f>
        <v>8193685</v>
      </c>
      <c r="D10" s="1688">
        <f t="shared" ref="D10:K10" si="1">SUM(D8:D9)</f>
        <v>1590555</v>
      </c>
      <c r="E10" s="1688">
        <f t="shared" si="1"/>
        <v>1833565</v>
      </c>
      <c r="F10" s="1688">
        <f t="shared" si="1"/>
        <v>363034</v>
      </c>
      <c r="G10" s="1688">
        <f t="shared" si="1"/>
        <v>165568</v>
      </c>
      <c r="H10" s="1688">
        <f t="shared" si="1"/>
        <v>0</v>
      </c>
      <c r="I10" s="1688">
        <f t="shared" si="1"/>
        <v>97523</v>
      </c>
      <c r="J10" s="1688">
        <f t="shared" si="1"/>
        <v>364872</v>
      </c>
      <c r="K10" s="1688">
        <f t="shared" si="1"/>
        <v>91460</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4132868</v>
      </c>
      <c r="D12" s="520" t="s">
        <v>1169</v>
      </c>
      <c r="E12" s="468" t="s">
        <v>1169</v>
      </c>
      <c r="F12" s="468" t="s">
        <v>1169</v>
      </c>
      <c r="G12" s="1742">
        <f>'Expenditures 15-22'!K229</f>
        <v>99022</v>
      </c>
      <c r="H12" s="521"/>
      <c r="I12" s="468" t="s">
        <v>1169</v>
      </c>
      <c r="J12" s="468" t="s">
        <v>1169</v>
      </c>
      <c r="K12" s="521" t="s">
        <v>1169</v>
      </c>
      <c r="L12" s="347"/>
    </row>
    <row r="13" spans="1:13" ht="15.75" customHeight="1" x14ac:dyDescent="0.2">
      <c r="A13" s="1576" t="s">
        <v>457</v>
      </c>
      <c r="B13" s="1578">
        <v>2000</v>
      </c>
      <c r="C13" s="1743">
        <f>'Expenditures 15-22'!K74</f>
        <v>1228859</v>
      </c>
      <c r="D13" s="1743">
        <f>'Expenditures 15-22'!K129</f>
        <v>1527547</v>
      </c>
      <c r="E13" s="469" t="s">
        <v>1169</v>
      </c>
      <c r="F13" s="1743">
        <f>'Expenditures 15-22'!K184</f>
        <v>377094</v>
      </c>
      <c r="G13" s="1743">
        <f>'Expenditures 15-22'!K279</f>
        <v>105861</v>
      </c>
      <c r="H13" s="1743">
        <f>'Expenditures 15-22'!K303</f>
        <v>0</v>
      </c>
      <c r="I13" s="468" t="s">
        <v>1169</v>
      </c>
      <c r="J13" s="1743">
        <f>'Expenditures 15-22'!K330</f>
        <v>289908</v>
      </c>
      <c r="K13" s="1747">
        <f>'Expenditures 15-22'!K352</f>
        <v>0</v>
      </c>
      <c r="L13" s="347"/>
    </row>
    <row r="14" spans="1:13" ht="15.75" customHeight="1" x14ac:dyDescent="0.2">
      <c r="A14" s="1576" t="s">
        <v>449</v>
      </c>
      <c r="B14" s="1578">
        <v>3000</v>
      </c>
      <c r="C14" s="1743">
        <f>'Expenditures 15-22'!K75</f>
        <v>110363</v>
      </c>
      <c r="D14" s="1743">
        <f>'Expenditures 15-22'!K130</f>
        <v>0</v>
      </c>
      <c r="E14" s="520" t="s">
        <v>1169</v>
      </c>
      <c r="F14" s="1743">
        <f>'Expenditures 15-22'!K185</f>
        <v>0</v>
      </c>
      <c r="G14" s="1743">
        <f>'Expenditures 15-22'!K280</f>
        <v>11092</v>
      </c>
      <c r="H14" s="512"/>
      <c r="I14" s="468" t="s">
        <v>1169</v>
      </c>
      <c r="J14" s="468" t="s">
        <v>1169</v>
      </c>
      <c r="K14" s="512" t="s">
        <v>1169</v>
      </c>
      <c r="L14" s="347"/>
    </row>
    <row r="15" spans="1:13" ht="15.75" customHeight="1" x14ac:dyDescent="0.2">
      <c r="A15" s="1576" t="s">
        <v>107</v>
      </c>
      <c r="B15" s="1578">
        <v>4000</v>
      </c>
      <c r="C15" s="1743">
        <f>'Expenditures 15-22'!K102</f>
        <v>221686</v>
      </c>
      <c r="D15" s="1743">
        <f>'Expenditures 15-22'!K139</f>
        <v>0</v>
      </c>
      <c r="E15" s="1743">
        <f>'Expenditures 15-22'!K160</f>
        <v>0</v>
      </c>
      <c r="F15" s="1743">
        <f>'Expenditures 15-22'!K196</f>
        <v>0</v>
      </c>
      <c r="G15" s="1743">
        <f>'Expenditures 15-22'!K285</f>
        <v>553</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1837673</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5693776</v>
      </c>
      <c r="D17" s="1688">
        <f t="shared" si="2"/>
        <v>1527547</v>
      </c>
      <c r="E17" s="1688">
        <f t="shared" si="2"/>
        <v>1837673</v>
      </c>
      <c r="F17" s="1688">
        <f t="shared" si="2"/>
        <v>377094</v>
      </c>
      <c r="G17" s="1688">
        <f t="shared" si="2"/>
        <v>216528</v>
      </c>
      <c r="H17" s="1688">
        <f t="shared" si="2"/>
        <v>0</v>
      </c>
      <c r="I17" s="468"/>
      <c r="J17" s="1688">
        <f>SUM(J12:J16)</f>
        <v>289908</v>
      </c>
      <c r="K17" s="1688">
        <f>SUM(K12:K16)</f>
        <v>0</v>
      </c>
      <c r="L17" s="347"/>
    </row>
    <row r="18" spans="1:12" ht="15" customHeight="1" thickTop="1" x14ac:dyDescent="0.2">
      <c r="A18" s="1744" t="s">
        <v>1654</v>
      </c>
      <c r="B18" s="1745">
        <v>4180</v>
      </c>
      <c r="C18" s="1742">
        <f t="shared" ref="C18:H18" si="3">C9</f>
        <v>2782584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8476360</v>
      </c>
      <c r="D19" s="1688">
        <f t="shared" si="4"/>
        <v>1527547</v>
      </c>
      <c r="E19" s="1688">
        <f t="shared" si="4"/>
        <v>1837673</v>
      </c>
      <c r="F19" s="1688">
        <f t="shared" si="4"/>
        <v>377094</v>
      </c>
      <c r="G19" s="1688">
        <f t="shared" si="4"/>
        <v>216528</v>
      </c>
      <c r="H19" s="1688">
        <f t="shared" si="4"/>
        <v>0</v>
      </c>
      <c r="I19" s="468"/>
      <c r="J19" s="1688">
        <f>SUM(J17:J18)</f>
        <v>289908</v>
      </c>
      <c r="K19" s="1688">
        <f>SUM(K17:K18)</f>
        <v>0</v>
      </c>
      <c r="L19" s="347"/>
    </row>
    <row r="20" spans="1:12" ht="16.5" thickTop="1" thickBot="1" x14ac:dyDescent="0.25">
      <c r="A20" s="2124" t="s">
        <v>1655</v>
      </c>
      <c r="B20" s="2125"/>
      <c r="C20" s="1746">
        <f>C8-C17</f>
        <v>-282675</v>
      </c>
      <c r="D20" s="1746">
        <f t="shared" ref="D20:K20" si="5">D8-D17</f>
        <v>63008</v>
      </c>
      <c r="E20" s="1746">
        <f t="shared" si="5"/>
        <v>-4108</v>
      </c>
      <c r="F20" s="1746">
        <f t="shared" si="5"/>
        <v>-14060</v>
      </c>
      <c r="G20" s="1746">
        <f t="shared" si="5"/>
        <v>-50960</v>
      </c>
      <c r="H20" s="1746">
        <f t="shared" si="5"/>
        <v>0</v>
      </c>
      <c r="I20" s="1746">
        <f t="shared" si="5"/>
        <v>97523</v>
      </c>
      <c r="J20" s="1746">
        <f t="shared" si="5"/>
        <v>74964</v>
      </c>
      <c r="K20" s="1746">
        <f t="shared" si="5"/>
        <v>91460</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v>300000</v>
      </c>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v>1547000</v>
      </c>
      <c r="J33" s="467"/>
      <c r="K33" s="467"/>
      <c r="L33" s="524"/>
    </row>
    <row r="34" spans="1:12" s="485" customFormat="1" x14ac:dyDescent="0.2">
      <c r="A34" s="1489" t="s">
        <v>1001</v>
      </c>
      <c r="B34" s="525">
        <v>7220</v>
      </c>
      <c r="C34" s="467"/>
      <c r="D34" s="467"/>
      <c r="E34" s="467"/>
      <c r="F34" s="467"/>
      <c r="G34" s="477"/>
      <c r="H34" s="478"/>
      <c r="I34" s="478">
        <v>23391</v>
      </c>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8" t="s">
        <v>374</v>
      </c>
      <c r="B44" s="2139"/>
      <c r="C44" s="1703">
        <f>SUM(C24:C43)</f>
        <v>300000</v>
      </c>
      <c r="D44" s="1703">
        <f t="shared" ref="D44:K44" si="6">SUM(D24:D43)</f>
        <v>0</v>
      </c>
      <c r="E44" s="1703">
        <f t="shared" si="6"/>
        <v>0</v>
      </c>
      <c r="F44" s="1703">
        <f t="shared" si="6"/>
        <v>0</v>
      </c>
      <c r="G44" s="1703">
        <f t="shared" si="6"/>
        <v>0</v>
      </c>
      <c r="H44" s="1703">
        <f t="shared" si="6"/>
        <v>0</v>
      </c>
      <c r="I44" s="1703">
        <f t="shared" si="6"/>
        <v>1570391</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300000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v>24064</v>
      </c>
      <c r="J75" s="530"/>
      <c r="K75" s="532"/>
      <c r="L75" s="524"/>
    </row>
    <row r="76" spans="1:12" s="485" customFormat="1" ht="14.25" thickTop="1" thickBot="1" x14ac:dyDescent="0.25">
      <c r="A76" s="2114" t="s">
        <v>440</v>
      </c>
      <c r="B76" s="2115"/>
      <c r="C76" s="1703">
        <f t="shared" ref="C76:K76" si="7">SUM(C47:C75)</f>
        <v>0</v>
      </c>
      <c r="D76" s="1703">
        <f t="shared" si="7"/>
        <v>0</v>
      </c>
      <c r="E76" s="1703">
        <f t="shared" si="7"/>
        <v>0</v>
      </c>
      <c r="F76" s="1703">
        <f t="shared" si="7"/>
        <v>0</v>
      </c>
      <c r="G76" s="1703">
        <f t="shared" si="7"/>
        <v>0</v>
      </c>
      <c r="H76" s="1703">
        <f t="shared" si="7"/>
        <v>0</v>
      </c>
      <c r="I76" s="1703">
        <f t="shared" si="7"/>
        <v>324064</v>
      </c>
      <c r="J76" s="1703">
        <f t="shared" si="7"/>
        <v>0</v>
      </c>
      <c r="K76" s="1703">
        <f t="shared" si="7"/>
        <v>0</v>
      </c>
      <c r="L76" s="524"/>
    </row>
    <row r="77" spans="1:12" ht="14.25" thickTop="1" thickBot="1" x14ac:dyDescent="0.25">
      <c r="A77" s="2116" t="s">
        <v>1177</v>
      </c>
      <c r="B77" s="2117"/>
      <c r="C77" s="1703">
        <f t="shared" ref="C77:K77" si="8">C44-C76</f>
        <v>300000</v>
      </c>
      <c r="D77" s="1703">
        <f t="shared" si="8"/>
        <v>0</v>
      </c>
      <c r="E77" s="1703">
        <f t="shared" si="8"/>
        <v>0</v>
      </c>
      <c r="F77" s="1703">
        <f t="shared" si="8"/>
        <v>0</v>
      </c>
      <c r="G77" s="1703">
        <f t="shared" si="8"/>
        <v>0</v>
      </c>
      <c r="H77" s="1703">
        <f t="shared" si="8"/>
        <v>0</v>
      </c>
      <c r="I77" s="1703">
        <f t="shared" si="8"/>
        <v>1246327</v>
      </c>
      <c r="J77" s="1703">
        <f t="shared" si="8"/>
        <v>0</v>
      </c>
      <c r="K77" s="1703">
        <f t="shared" si="8"/>
        <v>0</v>
      </c>
      <c r="L77" s="347"/>
    </row>
    <row r="78" spans="1:12" ht="21.75" customHeight="1" thickTop="1" thickBot="1" x14ac:dyDescent="0.25">
      <c r="A78" s="2120" t="s">
        <v>597</v>
      </c>
      <c r="B78" s="2121"/>
      <c r="C78" s="1702">
        <f t="shared" ref="C78:K78" si="9">C20+C77</f>
        <v>17325</v>
      </c>
      <c r="D78" s="1702">
        <f t="shared" si="9"/>
        <v>63008</v>
      </c>
      <c r="E78" s="1702">
        <f t="shared" si="9"/>
        <v>-4108</v>
      </c>
      <c r="F78" s="1702">
        <f t="shared" si="9"/>
        <v>-14060</v>
      </c>
      <c r="G78" s="1702">
        <f t="shared" si="9"/>
        <v>-50960</v>
      </c>
      <c r="H78" s="1702">
        <f t="shared" si="9"/>
        <v>0</v>
      </c>
      <c r="I78" s="1702">
        <f t="shared" si="9"/>
        <v>1343850</v>
      </c>
      <c r="J78" s="1702">
        <f t="shared" si="9"/>
        <v>74964</v>
      </c>
      <c r="K78" s="1702">
        <f t="shared" si="9"/>
        <v>91460</v>
      </c>
      <c r="L78" s="533"/>
    </row>
    <row r="79" spans="1:12" ht="13.5" thickTop="1" x14ac:dyDescent="0.2">
      <c r="A79" s="1494" t="s">
        <v>1949</v>
      </c>
      <c r="B79" s="534"/>
      <c r="C79" s="478">
        <v>56080</v>
      </c>
      <c r="D79" s="535">
        <v>1603431</v>
      </c>
      <c r="E79" s="535">
        <v>129323</v>
      </c>
      <c r="F79" s="535">
        <v>513650</v>
      </c>
      <c r="G79" s="535">
        <v>270809</v>
      </c>
      <c r="H79" s="535"/>
      <c r="I79" s="535">
        <v>1396161</v>
      </c>
      <c r="J79" s="535">
        <v>147806</v>
      </c>
      <c r="K79" s="535">
        <v>292090</v>
      </c>
      <c r="L79" s="347"/>
    </row>
    <row r="80" spans="1:12" x14ac:dyDescent="0.2">
      <c r="A80" s="2126" t="s">
        <v>1795</v>
      </c>
      <c r="B80" s="2127"/>
      <c r="C80" s="467"/>
      <c r="D80" s="467"/>
      <c r="E80" s="467"/>
      <c r="F80" s="467"/>
      <c r="G80" s="467"/>
      <c r="H80" s="467"/>
      <c r="I80" s="467"/>
      <c r="J80" s="467"/>
      <c r="K80" s="467"/>
      <c r="L80" s="347"/>
    </row>
    <row r="81" spans="1:12" ht="13.5" thickBot="1" x14ac:dyDescent="0.25">
      <c r="A81" s="2118" t="s">
        <v>1950</v>
      </c>
      <c r="B81" s="2119"/>
      <c r="C81" s="1688">
        <f>(SUM(C78:C80))</f>
        <v>73405</v>
      </c>
      <c r="D81" s="1688">
        <f>SUM(D78:D80)</f>
        <v>1666439</v>
      </c>
      <c r="E81" s="1688">
        <f t="shared" ref="E81:K81" si="10">SUM(E78:E80)</f>
        <v>125215</v>
      </c>
      <c r="F81" s="1688">
        <f t="shared" si="10"/>
        <v>499590</v>
      </c>
      <c r="G81" s="1688">
        <f t="shared" si="10"/>
        <v>219849</v>
      </c>
      <c r="H81" s="1688">
        <f t="shared" si="10"/>
        <v>0</v>
      </c>
      <c r="I81" s="1688">
        <f t="shared" si="10"/>
        <v>2740011</v>
      </c>
      <c r="J81" s="1688">
        <f t="shared" si="10"/>
        <v>222770</v>
      </c>
      <c r="K81" s="1688">
        <f t="shared" si="10"/>
        <v>383550</v>
      </c>
      <c r="L81" s="347"/>
    </row>
    <row r="82" spans="1:12" ht="0.75" customHeight="1" thickTop="1" thickBot="1" x14ac:dyDescent="0.25">
      <c r="A82" s="536" t="s">
        <v>343</v>
      </c>
      <c r="B82" s="537"/>
      <c r="C82" s="538">
        <f>(C81-C79)</f>
        <v>17325</v>
      </c>
      <c r="D82" s="538">
        <f t="shared" ref="D82:K82" si="11">(D81-D79)</f>
        <v>63008</v>
      </c>
      <c r="E82" s="538">
        <f t="shared" si="11"/>
        <v>-4108</v>
      </c>
      <c r="F82" s="538">
        <f t="shared" si="11"/>
        <v>-14060</v>
      </c>
      <c r="G82" s="538">
        <f t="shared" si="11"/>
        <v>-50960</v>
      </c>
      <c r="H82" s="538">
        <f t="shared" si="11"/>
        <v>0</v>
      </c>
      <c r="I82" s="538">
        <f t="shared" si="11"/>
        <v>1343850</v>
      </c>
      <c r="J82" s="538">
        <f t="shared" si="11"/>
        <v>74964</v>
      </c>
      <c r="K82" s="538">
        <f t="shared" si="11"/>
        <v>91460</v>
      </c>
    </row>
    <row r="83" spans="1:12" ht="14.25" hidden="1" thickTop="1" thickBot="1" x14ac:dyDescent="0.25">
      <c r="A83" s="539" t="s">
        <v>344</v>
      </c>
      <c r="B83" s="464"/>
      <c r="C83" s="540">
        <f>C82/C81</f>
        <v>0.23601934473128533</v>
      </c>
      <c r="D83" s="540">
        <f t="shared" ref="D83:K83" si="12">D82/D81</f>
        <v>3.7809964841197308E-2</v>
      </c>
      <c r="E83" s="540">
        <f t="shared" si="12"/>
        <v>-3.2807570977917984E-2</v>
      </c>
      <c r="F83" s="540">
        <f t="shared" si="12"/>
        <v>-2.8143077323405194E-2</v>
      </c>
      <c r="G83" s="540">
        <f t="shared" si="12"/>
        <v>-0.23179545961091477</v>
      </c>
      <c r="H83" s="540" t="e">
        <f t="shared" si="12"/>
        <v>#DIV/0!</v>
      </c>
      <c r="I83" s="540">
        <f t="shared" si="12"/>
        <v>0.49045423540270461</v>
      </c>
      <c r="J83" s="540">
        <f t="shared" si="12"/>
        <v>0.33650850653140008</v>
      </c>
      <c r="K83" s="540">
        <f t="shared" si="12"/>
        <v>0.2384565245730674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&amp;L&amp;8See notes.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5" activePane="bottomLeft" state="frozen"/>
      <selection activeCell="A13" sqref="A13:H13"/>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3147687</v>
      </c>
      <c r="D5" s="481">
        <v>989277</v>
      </c>
      <c r="E5" s="466">
        <v>1830342</v>
      </c>
      <c r="F5" s="548">
        <v>215840</v>
      </c>
      <c r="G5" s="466">
        <v>67453</v>
      </c>
      <c r="H5" s="466"/>
      <c r="I5" s="466">
        <v>89934</v>
      </c>
      <c r="J5" s="467">
        <v>363697</v>
      </c>
      <c r="K5" s="466">
        <v>89935</v>
      </c>
    </row>
    <row r="6" spans="1:12" ht="15" x14ac:dyDescent="0.2">
      <c r="A6" s="463" t="s">
        <v>1662</v>
      </c>
      <c r="B6" s="470">
        <v>1130</v>
      </c>
      <c r="C6" s="466">
        <v>57152</v>
      </c>
      <c r="D6" s="466">
        <v>9765</v>
      </c>
      <c r="E6" s="475"/>
      <c r="F6" s="475"/>
      <c r="G6" s="468"/>
      <c r="H6" s="468"/>
      <c r="I6" s="468"/>
      <c r="J6" s="468"/>
      <c r="K6" s="468"/>
    </row>
    <row r="7" spans="1:12" x14ac:dyDescent="0.2">
      <c r="A7" s="463" t="s">
        <v>110</v>
      </c>
      <c r="B7" s="549">
        <v>1140</v>
      </c>
      <c r="C7" s="466">
        <v>35980</v>
      </c>
      <c r="D7" s="466"/>
      <c r="E7" s="468"/>
      <c r="F7" s="467"/>
      <c r="G7" s="467"/>
      <c r="H7" s="467"/>
      <c r="I7" s="468"/>
      <c r="J7" s="468"/>
      <c r="K7" s="468"/>
    </row>
    <row r="8" spans="1:12" x14ac:dyDescent="0.2">
      <c r="A8" s="463" t="s">
        <v>413</v>
      </c>
      <c r="B8" s="470">
        <v>1150</v>
      </c>
      <c r="C8" s="475"/>
      <c r="D8" s="475"/>
      <c r="E8" s="477"/>
      <c r="F8" s="477"/>
      <c r="G8" s="481">
        <v>69794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3240819</v>
      </c>
      <c r="D12" s="1707">
        <f t="shared" si="0"/>
        <v>999042</v>
      </c>
      <c r="E12" s="1707">
        <f t="shared" si="0"/>
        <v>1830342</v>
      </c>
      <c r="F12" s="1707">
        <f t="shared" si="0"/>
        <v>215840</v>
      </c>
      <c r="G12" s="1707">
        <f t="shared" si="0"/>
        <v>137247</v>
      </c>
      <c r="H12" s="1707">
        <f t="shared" si="0"/>
        <v>0</v>
      </c>
      <c r="I12" s="1707">
        <f t="shared" si="0"/>
        <v>89934</v>
      </c>
      <c r="J12" s="1707">
        <f t="shared" si="0"/>
        <v>363697</v>
      </c>
      <c r="K12" s="1688">
        <f t="shared" si="0"/>
        <v>89935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329</v>
      </c>
      <c r="D14" s="466">
        <v>103</v>
      </c>
      <c r="E14" s="466">
        <v>191</v>
      </c>
      <c r="F14" s="466">
        <v>23</v>
      </c>
      <c r="G14" s="466">
        <v>7</v>
      </c>
      <c r="H14" s="466"/>
      <c r="I14" s="466">
        <v>9</v>
      </c>
      <c r="J14" s="467">
        <v>38</v>
      </c>
      <c r="K14" s="466">
        <v>9</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20359</v>
      </c>
      <c r="D16" s="466"/>
      <c r="E16" s="466"/>
      <c r="F16" s="466"/>
      <c r="G16" s="466">
        <v>5900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20688</v>
      </c>
      <c r="D18" s="1710">
        <f t="shared" ref="D18:K18" si="1">SUM(D14:D17)</f>
        <v>103</v>
      </c>
      <c r="E18" s="1710">
        <f t="shared" si="1"/>
        <v>191</v>
      </c>
      <c r="F18" s="1710">
        <f t="shared" si="1"/>
        <v>23</v>
      </c>
      <c r="G18" s="1710">
        <f t="shared" si="1"/>
        <v>5907</v>
      </c>
      <c r="H18" s="1710">
        <f t="shared" si="1"/>
        <v>0</v>
      </c>
      <c r="I18" s="1710">
        <f t="shared" si="1"/>
        <v>9</v>
      </c>
      <c r="J18" s="1710">
        <f t="shared" si="1"/>
        <v>38</v>
      </c>
      <c r="K18" s="1711">
        <f t="shared" si="1"/>
        <v>9</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3790</v>
      </c>
      <c r="D65" s="466">
        <v>13266</v>
      </c>
      <c r="E65" s="466">
        <v>3032</v>
      </c>
      <c r="F65" s="467">
        <v>4548</v>
      </c>
      <c r="G65" s="466">
        <v>3032</v>
      </c>
      <c r="H65" s="466"/>
      <c r="I65" s="466">
        <v>7580</v>
      </c>
      <c r="J65" s="467">
        <v>1137</v>
      </c>
      <c r="K65" s="466">
        <v>1516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3790</v>
      </c>
      <c r="D67" s="1688">
        <f t="shared" ref="D67:K67" si="2">SUM(D65:D66)</f>
        <v>13266</v>
      </c>
      <c r="E67" s="1688">
        <f t="shared" si="2"/>
        <v>3032</v>
      </c>
      <c r="F67" s="1688">
        <f t="shared" si="2"/>
        <v>4548</v>
      </c>
      <c r="G67" s="1688">
        <f t="shared" si="2"/>
        <v>3032</v>
      </c>
      <c r="H67" s="1688">
        <f t="shared" si="2"/>
        <v>0</v>
      </c>
      <c r="I67" s="1688">
        <f t="shared" si="2"/>
        <v>7580</v>
      </c>
      <c r="J67" s="1688">
        <f t="shared" si="2"/>
        <v>1137</v>
      </c>
      <c r="K67" s="1688">
        <f t="shared" si="2"/>
        <v>1516</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129983</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6950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136933</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156620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156620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87455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87455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700</v>
      </c>
      <c r="E95" s="521"/>
      <c r="F95" s="521"/>
      <c r="G95" s="521"/>
      <c r="H95" s="521"/>
      <c r="I95" s="521"/>
      <c r="J95" s="521"/>
      <c r="K95" s="521"/>
    </row>
    <row r="96" spans="1:11" ht="12.75" customHeight="1" x14ac:dyDescent="0.2">
      <c r="A96" s="463" t="s">
        <v>391</v>
      </c>
      <c r="B96" s="470">
        <v>1920</v>
      </c>
      <c r="C96" s="551">
        <v>9564</v>
      </c>
      <c r="D96" s="551">
        <v>25000</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3165</v>
      </c>
      <c r="D99" s="466">
        <v>10353</v>
      </c>
      <c r="E99" s="466"/>
      <c r="F99" s="466"/>
      <c r="G99" s="466"/>
      <c r="H99" s="466"/>
      <c r="I99" s="468"/>
      <c r="J99" s="467"/>
      <c r="K99" s="466"/>
    </row>
    <row r="100" spans="1:12" ht="12.75" customHeight="1" x14ac:dyDescent="0.2">
      <c r="A100" s="463" t="s">
        <v>245</v>
      </c>
      <c r="B100" s="470">
        <v>1960</v>
      </c>
      <c r="C100" s="489">
        <v>5950</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12139</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115885</v>
      </c>
      <c r="D106" s="489"/>
      <c r="E106" s="467"/>
      <c r="F106" s="467"/>
      <c r="G106" s="467">
        <v>19382</v>
      </c>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8" t="s">
        <v>487</v>
      </c>
      <c r="B108" s="1712"/>
      <c r="C108" s="1707">
        <f>SUM(C95:C107)</f>
        <v>146703</v>
      </c>
      <c r="D108" s="1707">
        <f t="shared" ref="D108:K108" si="3">SUM(D95:D107)</f>
        <v>36053</v>
      </c>
      <c r="E108" s="1707">
        <f t="shared" si="3"/>
        <v>0</v>
      </c>
      <c r="F108" s="1707">
        <f t="shared" si="3"/>
        <v>0</v>
      </c>
      <c r="G108" s="1707">
        <f t="shared" si="3"/>
        <v>19382</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3793008</v>
      </c>
      <c r="D109" s="1715">
        <f t="shared" si="4"/>
        <v>1048464</v>
      </c>
      <c r="E109" s="1715">
        <f t="shared" si="4"/>
        <v>1833565</v>
      </c>
      <c r="F109" s="1715">
        <f t="shared" si="4"/>
        <v>220411</v>
      </c>
      <c r="G109" s="1715">
        <f t="shared" si="4"/>
        <v>165568</v>
      </c>
      <c r="H109" s="1715">
        <f t="shared" si="4"/>
        <v>0</v>
      </c>
      <c r="I109" s="1715">
        <f t="shared" si="4"/>
        <v>97523</v>
      </c>
      <c r="J109" s="1715">
        <f t="shared" si="4"/>
        <v>364872</v>
      </c>
      <c r="K109" s="1702">
        <f t="shared" si="4"/>
        <v>91460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1202100</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1202100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19085</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6143</v>
      </c>
      <c r="D128" s="561"/>
      <c r="E128" s="468"/>
      <c r="F128" s="466"/>
      <c r="G128" s="468"/>
      <c r="H128" s="468"/>
      <c r="I128" s="468"/>
      <c r="J128" s="468"/>
      <c r="K128" s="468"/>
    </row>
    <row r="129" spans="1:11" ht="12.75" customHeight="1" x14ac:dyDescent="0.2">
      <c r="A129" s="463" t="s">
        <v>1447</v>
      </c>
      <c r="B129" s="562">
        <v>3130</v>
      </c>
      <c r="C129" s="466">
        <v>3084</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28312</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v>1472</v>
      </c>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1472</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892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20238</v>
      </c>
      <c r="G152" s="467"/>
      <c r="H152" s="468"/>
      <c r="I152" s="468"/>
      <c r="J152" s="468"/>
      <c r="K152" s="468"/>
    </row>
    <row r="153" spans="1:11" ht="12.75" customHeight="1" x14ac:dyDescent="0.2">
      <c r="A153" s="463" t="s">
        <v>1057</v>
      </c>
      <c r="B153" s="562">
        <v>3510</v>
      </c>
      <c r="C153" s="551"/>
      <c r="D153" s="466"/>
      <c r="E153" s="561"/>
      <c r="F153" s="466">
        <v>122385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142623</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v>542091</v>
      </c>
      <c r="E168" s="580"/>
      <c r="F168" s="580"/>
      <c r="G168" s="581"/>
      <c r="H168" s="582"/>
      <c r="I168" s="581"/>
      <c r="J168" s="581"/>
      <c r="K168" s="582"/>
    </row>
    <row r="169" spans="1:11" ht="12.75" customHeight="1" thickTop="1" thickBot="1" x14ac:dyDescent="0.25">
      <c r="A169" s="2142" t="s">
        <v>398</v>
      </c>
      <c r="B169" s="2143"/>
      <c r="C169" s="1722">
        <f t="shared" ref="C169:K169" si="6">SUM(C132,C141,C145,C146:C150,C155,C156:C167,C168)</f>
        <v>31426</v>
      </c>
      <c r="D169" s="1722">
        <f t="shared" si="6"/>
        <v>542091</v>
      </c>
      <c r="E169" s="1722">
        <f t="shared" si="6"/>
        <v>0</v>
      </c>
      <c r="F169" s="1722">
        <f t="shared" si="6"/>
        <v>142623</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1233526</v>
      </c>
      <c r="D170" s="1715">
        <f t="shared" si="7"/>
        <v>542091</v>
      </c>
      <c r="E170" s="1715">
        <f t="shared" si="7"/>
        <v>0</v>
      </c>
      <c r="F170" s="1715">
        <f t="shared" si="7"/>
        <v>142623</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v>29446</v>
      </c>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7">
        <f>SUM(C173:C174)</f>
        <v>29446</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1803</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66765</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66765</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93004</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93004</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14153</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14153</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148737</v>
      </c>
      <c r="D213" s="466"/>
      <c r="E213" s="468"/>
      <c r="F213" s="466"/>
      <c r="G213" s="466"/>
      <c r="H213" s="468"/>
      <c r="I213" s="468"/>
      <c r="J213" s="468"/>
      <c r="K213" s="468"/>
    </row>
    <row r="214" spans="1:11" ht="12.75" customHeight="1" x14ac:dyDescent="0.2">
      <c r="A214" s="463" t="s">
        <v>1054</v>
      </c>
      <c r="B214" s="470">
        <v>4625</v>
      </c>
      <c r="C214" s="551">
        <v>1034</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149771</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6979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24449</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355121</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384567</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5411101</v>
      </c>
      <c r="D268" s="1715">
        <f t="shared" si="12"/>
        <v>1590555</v>
      </c>
      <c r="E268" s="1715">
        <f t="shared" si="12"/>
        <v>1833565</v>
      </c>
      <c r="F268" s="1715">
        <f t="shared" si="12"/>
        <v>363034</v>
      </c>
      <c r="G268" s="1715">
        <f t="shared" si="12"/>
        <v>165568</v>
      </c>
      <c r="H268" s="1715">
        <f t="shared" si="12"/>
        <v>0</v>
      </c>
      <c r="I268" s="1715">
        <f t="shared" si="12"/>
        <v>97523</v>
      </c>
      <c r="J268" s="1715">
        <f t="shared" si="12"/>
        <v>364872</v>
      </c>
      <c r="K268" s="1702">
        <f t="shared" si="12"/>
        <v>91460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&amp;L&amp;8See notes.
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5" activePane="bottomLeft" state="frozen"/>
      <selection activeCell="A13" sqref="A13:H13"/>
      <selection pane="bottomLeft" activeCell="A13" sqref="A13:H1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2572946</v>
      </c>
      <c r="D5" s="466">
        <v>603662</v>
      </c>
      <c r="E5" s="466">
        <v>337</v>
      </c>
      <c r="F5" s="466">
        <v>109804</v>
      </c>
      <c r="G5" s="466"/>
      <c r="H5" s="466">
        <v>80</v>
      </c>
      <c r="I5" s="467">
        <v>56192</v>
      </c>
      <c r="J5" s="467"/>
      <c r="K5" s="1671">
        <f>SUM(C5:J5)</f>
        <v>3343021</v>
      </c>
      <c r="L5" s="466">
        <v>3287044</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54805</v>
      </c>
      <c r="D7" s="467">
        <v>9358</v>
      </c>
      <c r="E7" s="467"/>
      <c r="F7" s="467">
        <v>4316</v>
      </c>
      <c r="G7" s="467"/>
      <c r="H7" s="467"/>
      <c r="I7" s="467"/>
      <c r="J7" s="467"/>
      <c r="K7" s="1671">
        <f t="shared" ref="K7:K32" si="0">SUM(C7:J7)</f>
        <v>68479</v>
      </c>
      <c r="L7" s="466">
        <v>95769</v>
      </c>
    </row>
    <row r="8" spans="1:14" x14ac:dyDescent="0.2">
      <c r="A8" s="1504" t="s">
        <v>164</v>
      </c>
      <c r="B8" s="614">
        <v>1200</v>
      </c>
      <c r="C8" s="466">
        <v>413256</v>
      </c>
      <c r="D8" s="466">
        <v>74046</v>
      </c>
      <c r="E8" s="466">
        <v>549</v>
      </c>
      <c r="F8" s="466">
        <v>226</v>
      </c>
      <c r="G8" s="466"/>
      <c r="H8" s="466"/>
      <c r="I8" s="467"/>
      <c r="J8" s="467"/>
      <c r="K8" s="1671">
        <f t="shared" si="0"/>
        <v>488077</v>
      </c>
      <c r="L8" s="466">
        <v>471851</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80496</v>
      </c>
      <c r="D10" s="466">
        <v>4591</v>
      </c>
      <c r="E10" s="466">
        <v>1204</v>
      </c>
      <c r="F10" s="466">
        <v>610</v>
      </c>
      <c r="G10" s="466"/>
      <c r="H10" s="466"/>
      <c r="I10" s="467"/>
      <c r="J10" s="467"/>
      <c r="K10" s="1671">
        <f t="shared" si="0"/>
        <v>86901</v>
      </c>
      <c r="L10" s="466">
        <v>88924</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61379</v>
      </c>
      <c r="D14" s="466">
        <v>5112</v>
      </c>
      <c r="E14" s="466"/>
      <c r="F14" s="466"/>
      <c r="G14" s="466"/>
      <c r="H14" s="466"/>
      <c r="I14" s="467"/>
      <c r="J14" s="467"/>
      <c r="K14" s="1671">
        <f t="shared" si="0"/>
        <v>66491</v>
      </c>
      <c r="L14" s="466">
        <v>63108</v>
      </c>
    </row>
    <row r="15" spans="1:14" x14ac:dyDescent="0.2">
      <c r="A15" s="1504" t="s">
        <v>964</v>
      </c>
      <c r="B15" s="614">
        <v>1600</v>
      </c>
      <c r="C15" s="466">
        <v>2625</v>
      </c>
      <c r="D15" s="466">
        <v>338</v>
      </c>
      <c r="E15" s="466"/>
      <c r="F15" s="466"/>
      <c r="G15" s="466"/>
      <c r="H15" s="466"/>
      <c r="I15" s="467"/>
      <c r="J15" s="467"/>
      <c r="K15" s="1671">
        <f t="shared" si="0"/>
        <v>2963</v>
      </c>
      <c r="L15" s="466">
        <v>2200</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76936</v>
      </c>
      <c r="I22" s="616"/>
      <c r="J22" s="477"/>
      <c r="K22" s="1671">
        <f t="shared" si="0"/>
        <v>76936</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3185507</v>
      </c>
      <c r="D33" s="1670">
        <f t="shared" ref="D33:L33" si="1">SUM(D5:D32)</f>
        <v>697107</v>
      </c>
      <c r="E33" s="1670">
        <f t="shared" si="1"/>
        <v>2090</v>
      </c>
      <c r="F33" s="1670">
        <f t="shared" si="1"/>
        <v>114956</v>
      </c>
      <c r="G33" s="1670">
        <f t="shared" si="1"/>
        <v>0</v>
      </c>
      <c r="H33" s="1670">
        <f t="shared" si="1"/>
        <v>77016</v>
      </c>
      <c r="I33" s="1670">
        <f t="shared" si="1"/>
        <v>56192</v>
      </c>
      <c r="J33" s="1670">
        <f t="shared" si="1"/>
        <v>0</v>
      </c>
      <c r="K33" s="1670">
        <f t="shared" si="1"/>
        <v>4132868</v>
      </c>
      <c r="L33" s="1670">
        <f t="shared" si="1"/>
        <v>4008896</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82698</v>
      </c>
      <c r="D36" s="481">
        <v>27348</v>
      </c>
      <c r="E36" s="481"/>
      <c r="F36" s="481"/>
      <c r="G36" s="481"/>
      <c r="H36" s="481"/>
      <c r="I36" s="467"/>
      <c r="J36" s="467"/>
      <c r="K36" s="1671">
        <f t="shared" ref="K36:K41" si="2">SUM(C36:J36)</f>
        <v>110046</v>
      </c>
      <c r="L36" s="466">
        <v>106201</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35081</v>
      </c>
      <c r="D38" s="466"/>
      <c r="E38" s="466">
        <v>48568</v>
      </c>
      <c r="F38" s="466">
        <v>1893</v>
      </c>
      <c r="G38" s="466"/>
      <c r="H38" s="466"/>
      <c r="I38" s="467"/>
      <c r="J38" s="467"/>
      <c r="K38" s="1671">
        <f t="shared" si="2"/>
        <v>85542</v>
      </c>
      <c r="L38" s="466">
        <v>78399</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77378</v>
      </c>
      <c r="D40" s="466">
        <v>19242</v>
      </c>
      <c r="E40" s="466"/>
      <c r="F40" s="466">
        <v>25</v>
      </c>
      <c r="G40" s="466"/>
      <c r="H40" s="466"/>
      <c r="I40" s="467"/>
      <c r="J40" s="467"/>
      <c r="K40" s="1671">
        <f t="shared" si="2"/>
        <v>96645</v>
      </c>
      <c r="L40" s="466">
        <v>99611</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195157</v>
      </c>
      <c r="D42" s="1670">
        <f t="shared" ref="D42:L42" si="3">SUM(D36:D41)</f>
        <v>46590</v>
      </c>
      <c r="E42" s="1670">
        <f t="shared" si="3"/>
        <v>48568</v>
      </c>
      <c r="F42" s="1670">
        <f t="shared" si="3"/>
        <v>1918</v>
      </c>
      <c r="G42" s="1670">
        <f t="shared" si="3"/>
        <v>0</v>
      </c>
      <c r="H42" s="1670">
        <f t="shared" si="3"/>
        <v>0</v>
      </c>
      <c r="I42" s="1670">
        <f t="shared" si="3"/>
        <v>0</v>
      </c>
      <c r="J42" s="1670">
        <f t="shared" si="3"/>
        <v>0</v>
      </c>
      <c r="K42" s="1670">
        <f t="shared" si="3"/>
        <v>292233</v>
      </c>
      <c r="L42" s="1670">
        <f t="shared" si="3"/>
        <v>284211</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16955</v>
      </c>
      <c r="D44" s="481">
        <v>6743</v>
      </c>
      <c r="E44" s="481">
        <v>5784</v>
      </c>
      <c r="F44" s="481">
        <v>1100</v>
      </c>
      <c r="G44" s="481"/>
      <c r="H44" s="481"/>
      <c r="I44" s="467"/>
      <c r="J44" s="467"/>
      <c r="K44" s="1672">
        <f>SUM(C44:J44)</f>
        <v>30582</v>
      </c>
      <c r="L44" s="481">
        <v>36222</v>
      </c>
    </row>
    <row r="45" spans="1:14" x14ac:dyDescent="0.2">
      <c r="A45" s="1504" t="s">
        <v>815</v>
      </c>
      <c r="B45" s="614">
        <v>2220</v>
      </c>
      <c r="C45" s="466">
        <v>14536</v>
      </c>
      <c r="D45" s="466"/>
      <c r="E45" s="466"/>
      <c r="F45" s="466">
        <v>140</v>
      </c>
      <c r="G45" s="466"/>
      <c r="H45" s="466"/>
      <c r="I45" s="467"/>
      <c r="J45" s="467"/>
      <c r="K45" s="1672">
        <f>SUM(C45:J45)</f>
        <v>14676</v>
      </c>
      <c r="L45" s="466">
        <v>14376</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31491</v>
      </c>
      <c r="D47" s="1670">
        <f t="shared" ref="D47:K47" si="4">SUM(D44:D46)</f>
        <v>6743</v>
      </c>
      <c r="E47" s="1670">
        <f t="shared" si="4"/>
        <v>5784</v>
      </c>
      <c r="F47" s="1670">
        <f t="shared" si="4"/>
        <v>1240</v>
      </c>
      <c r="G47" s="1670">
        <f t="shared" si="4"/>
        <v>0</v>
      </c>
      <c r="H47" s="1670">
        <f t="shared" si="4"/>
        <v>0</v>
      </c>
      <c r="I47" s="1670">
        <f t="shared" si="4"/>
        <v>0</v>
      </c>
      <c r="J47" s="1670">
        <f t="shared" si="4"/>
        <v>0</v>
      </c>
      <c r="K47" s="1670">
        <f t="shared" si="4"/>
        <v>45258</v>
      </c>
      <c r="L47" s="1670">
        <f>SUM(L44:L46)</f>
        <v>50598</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1500</v>
      </c>
      <c r="D49" s="481"/>
      <c r="E49" s="481">
        <v>7568</v>
      </c>
      <c r="F49" s="481">
        <v>10205</v>
      </c>
      <c r="G49" s="481"/>
      <c r="H49" s="481">
        <v>10100</v>
      </c>
      <c r="I49" s="467"/>
      <c r="J49" s="467"/>
      <c r="K49" s="1672">
        <f>SUM(C49:J49)</f>
        <v>29373</v>
      </c>
      <c r="L49" s="481">
        <v>32500</v>
      </c>
    </row>
    <row r="50" spans="1:14" x14ac:dyDescent="0.2">
      <c r="A50" s="1504" t="s">
        <v>818</v>
      </c>
      <c r="B50" s="614">
        <v>2320</v>
      </c>
      <c r="C50" s="466">
        <v>162142</v>
      </c>
      <c r="D50" s="466">
        <v>40625</v>
      </c>
      <c r="E50" s="466">
        <v>770</v>
      </c>
      <c r="F50" s="466">
        <v>1116</v>
      </c>
      <c r="G50" s="466"/>
      <c r="H50" s="466">
        <v>1413</v>
      </c>
      <c r="I50" s="467"/>
      <c r="J50" s="467"/>
      <c r="K50" s="1672">
        <f>SUM(C50:J50)</f>
        <v>206066</v>
      </c>
      <c r="L50" s="466">
        <v>211239</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163642</v>
      </c>
      <c r="D53" s="1670">
        <f t="shared" ref="D53:L53" si="5">SUM(D49:D52)</f>
        <v>40625</v>
      </c>
      <c r="E53" s="1670">
        <f t="shared" si="5"/>
        <v>8338</v>
      </c>
      <c r="F53" s="1670">
        <f t="shared" si="5"/>
        <v>11321</v>
      </c>
      <c r="G53" s="1670">
        <f t="shared" si="5"/>
        <v>0</v>
      </c>
      <c r="H53" s="1670">
        <f t="shared" si="5"/>
        <v>11513</v>
      </c>
      <c r="I53" s="1670">
        <f t="shared" si="5"/>
        <v>0</v>
      </c>
      <c r="J53" s="1670">
        <f t="shared" si="5"/>
        <v>0</v>
      </c>
      <c r="K53" s="1670">
        <f t="shared" si="5"/>
        <v>235439</v>
      </c>
      <c r="L53" s="1670">
        <f t="shared" si="5"/>
        <v>243739</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330638</v>
      </c>
      <c r="D55" s="481">
        <v>86753</v>
      </c>
      <c r="E55" s="481">
        <v>22143</v>
      </c>
      <c r="F55" s="481">
        <v>8178</v>
      </c>
      <c r="G55" s="481"/>
      <c r="H55" s="481">
        <v>858</v>
      </c>
      <c r="I55" s="467"/>
      <c r="J55" s="467"/>
      <c r="K55" s="1672">
        <f>SUM(C55:J55)</f>
        <v>448570</v>
      </c>
      <c r="L55" s="481">
        <v>457008</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330638</v>
      </c>
      <c r="D57" s="1674">
        <f t="shared" ref="D57:K57" si="6">SUM(D55:D56)</f>
        <v>86753</v>
      </c>
      <c r="E57" s="1674">
        <f t="shared" si="6"/>
        <v>22143</v>
      </c>
      <c r="F57" s="1674">
        <f t="shared" si="6"/>
        <v>8178</v>
      </c>
      <c r="G57" s="1674">
        <f t="shared" si="6"/>
        <v>0</v>
      </c>
      <c r="H57" s="1674">
        <f t="shared" si="6"/>
        <v>858</v>
      </c>
      <c r="I57" s="1674">
        <f t="shared" si="6"/>
        <v>0</v>
      </c>
      <c r="J57" s="1674">
        <f t="shared" si="6"/>
        <v>0</v>
      </c>
      <c r="K57" s="1674">
        <f t="shared" si="6"/>
        <v>448570</v>
      </c>
      <c r="L57" s="1670">
        <f>SUM(L55:L56)</f>
        <v>457008</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29414</v>
      </c>
      <c r="D60" s="466">
        <v>2239</v>
      </c>
      <c r="E60" s="466">
        <v>1300</v>
      </c>
      <c r="F60" s="466">
        <v>987</v>
      </c>
      <c r="G60" s="466"/>
      <c r="H60" s="466"/>
      <c r="I60" s="467"/>
      <c r="J60" s="467"/>
      <c r="K60" s="1672">
        <f t="shared" si="7"/>
        <v>33940</v>
      </c>
      <c r="L60" s="466">
        <v>33118</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397</v>
      </c>
      <c r="D63" s="466"/>
      <c r="E63" s="466">
        <v>171690</v>
      </c>
      <c r="F63" s="466">
        <v>1332</v>
      </c>
      <c r="G63" s="466"/>
      <c r="H63" s="466"/>
      <c r="I63" s="467"/>
      <c r="J63" s="467"/>
      <c r="K63" s="1672">
        <f t="shared" si="7"/>
        <v>173419</v>
      </c>
      <c r="L63" s="466">
        <v>201500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29811</v>
      </c>
      <c r="D65" s="1670">
        <f t="shared" ref="D65:L65" si="8">SUM(D59:D64)</f>
        <v>2239</v>
      </c>
      <c r="E65" s="1670">
        <f t="shared" si="8"/>
        <v>172990</v>
      </c>
      <c r="F65" s="1670">
        <f t="shared" si="8"/>
        <v>2319</v>
      </c>
      <c r="G65" s="1670">
        <f t="shared" si="8"/>
        <v>0</v>
      </c>
      <c r="H65" s="1670">
        <f t="shared" si="8"/>
        <v>0</v>
      </c>
      <c r="I65" s="1670">
        <f t="shared" si="8"/>
        <v>0</v>
      </c>
      <c r="J65" s="1670">
        <f t="shared" si="8"/>
        <v>0</v>
      </c>
      <c r="K65" s="1670">
        <f t="shared" si="8"/>
        <v>207359</v>
      </c>
      <c r="L65" s="1670">
        <f t="shared" si="8"/>
        <v>234618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750739</v>
      </c>
      <c r="D74" s="1677">
        <f t="shared" ref="D74:K74" si="10">SUM(D42,D47,D53,D57,D65,D72,D73)</f>
        <v>182950</v>
      </c>
      <c r="E74" s="1677">
        <f t="shared" si="10"/>
        <v>257823</v>
      </c>
      <c r="F74" s="1677">
        <f t="shared" si="10"/>
        <v>24976</v>
      </c>
      <c r="G74" s="1677">
        <f t="shared" si="10"/>
        <v>0</v>
      </c>
      <c r="H74" s="1677">
        <f t="shared" si="10"/>
        <v>12371</v>
      </c>
      <c r="I74" s="1677">
        <f t="shared" si="10"/>
        <v>0</v>
      </c>
      <c r="J74" s="1677">
        <f t="shared" si="10"/>
        <v>0</v>
      </c>
      <c r="K74" s="1677">
        <f t="shared" si="10"/>
        <v>1228859</v>
      </c>
      <c r="L74" s="1677">
        <f>SUM(L42,L47,L53,L57,L65,L72,L73)</f>
        <v>1270174</v>
      </c>
    </row>
    <row r="75" spans="1:14" s="259" customFormat="1" ht="15.75" customHeight="1" thickTop="1" thickBot="1" x14ac:dyDescent="0.25">
      <c r="A75" s="1610" t="s">
        <v>47</v>
      </c>
      <c r="B75" s="1611" t="s">
        <v>575</v>
      </c>
      <c r="C75" s="573">
        <v>94746</v>
      </c>
      <c r="D75" s="573">
        <v>3801</v>
      </c>
      <c r="E75" s="573">
        <v>1711</v>
      </c>
      <c r="F75" s="573">
        <v>10105</v>
      </c>
      <c r="G75" s="573"/>
      <c r="H75" s="573"/>
      <c r="I75" s="531"/>
      <c r="J75" s="531"/>
      <c r="K75" s="1670">
        <f>SUM(C75:J75)</f>
        <v>110363</v>
      </c>
      <c r="L75" s="576">
        <v>117605</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13776</v>
      </c>
      <c r="F79" s="616"/>
      <c r="G79" s="616"/>
      <c r="H79" s="466">
        <v>1996</v>
      </c>
      <c r="I79" s="477"/>
      <c r="J79" s="477"/>
      <c r="K79" s="1671">
        <f t="shared" si="11"/>
        <v>15772</v>
      </c>
      <c r="L79" s="466">
        <v>14500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13776</v>
      </c>
      <c r="F84" s="616"/>
      <c r="G84" s="616"/>
      <c r="H84" s="1670">
        <f>SUM(H78:H83)</f>
        <v>1996</v>
      </c>
      <c r="I84" s="477"/>
      <c r="J84" s="477"/>
      <c r="K84" s="1670">
        <f>SUM(K78:K83)</f>
        <v>15772</v>
      </c>
      <c r="L84" s="1670">
        <f>SUM(L78:L83)</f>
        <v>14500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205914</v>
      </c>
      <c r="I86" s="477"/>
      <c r="J86" s="477"/>
      <c r="K86" s="1677">
        <f t="shared" ref="K86:K98" si="12">H86</f>
        <v>205914</v>
      </c>
      <c r="L86" s="530">
        <v>280000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205914</v>
      </c>
      <c r="I92" s="477"/>
      <c r="J92" s="477"/>
      <c r="K92" s="1677">
        <f t="shared" si="12"/>
        <v>205914</v>
      </c>
      <c r="L92" s="1670">
        <f>SUM(L85:L91)</f>
        <v>280000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13776</v>
      </c>
      <c r="F102" s="616"/>
      <c r="G102" s="616"/>
      <c r="H102" s="1677">
        <f>SUM(H84,H92,H100,H101)</f>
        <v>207910</v>
      </c>
      <c r="I102" s="477"/>
      <c r="J102" s="477"/>
      <c r="K102" s="1677">
        <f>SUM(K84,K92,K100,K101)</f>
        <v>221686</v>
      </c>
      <c r="L102" s="1677">
        <f>SUM(L84,L92,L100,L101)</f>
        <v>294500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4030992</v>
      </c>
      <c r="D114" s="1670">
        <f t="shared" ref="D114:K114" si="13">SUM(D33,D74,D75,D102,D112,D113)</f>
        <v>883858</v>
      </c>
      <c r="E114" s="1670">
        <f t="shared" si="13"/>
        <v>275400</v>
      </c>
      <c r="F114" s="1670">
        <f t="shared" si="13"/>
        <v>150037</v>
      </c>
      <c r="G114" s="1670">
        <f t="shared" si="13"/>
        <v>0</v>
      </c>
      <c r="H114" s="1670">
        <f>SUM(H33,H74,H75,H102,H112,H113)</f>
        <v>297297</v>
      </c>
      <c r="I114" s="1670">
        <f t="shared" si="13"/>
        <v>56192</v>
      </c>
      <c r="J114" s="1670">
        <f t="shared" si="13"/>
        <v>0</v>
      </c>
      <c r="K114" s="1670">
        <f t="shared" si="13"/>
        <v>5693776</v>
      </c>
      <c r="L114" s="1670">
        <f>SUM(L33,L74,L75,L102,L112,L113)</f>
        <v>5691175</v>
      </c>
    </row>
    <row r="115" spans="1:14" ht="13.5" thickTop="1" x14ac:dyDescent="0.2">
      <c r="A115" s="2154" t="s">
        <v>996</v>
      </c>
      <c r="B115" s="2155"/>
      <c r="C115" s="618"/>
      <c r="D115" s="618"/>
      <c r="E115" s="618"/>
      <c r="F115" s="618"/>
      <c r="G115" s="618"/>
      <c r="H115" s="618"/>
      <c r="I115" s="618"/>
      <c r="J115" s="618"/>
      <c r="K115" s="1684">
        <f>'Revenues 9-14'!C268-'Expenditures 15-22'!K114</f>
        <v>-282675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334959</v>
      </c>
      <c r="D124" s="466">
        <v>57979</v>
      </c>
      <c r="E124" s="466">
        <v>842065</v>
      </c>
      <c r="F124" s="466">
        <v>265442</v>
      </c>
      <c r="G124" s="466">
        <v>27102</v>
      </c>
      <c r="H124" s="466"/>
      <c r="I124" s="467"/>
      <c r="J124" s="467"/>
      <c r="K124" s="1670">
        <f>SUM(C124:J124)</f>
        <v>1527547</v>
      </c>
      <c r="L124" s="466">
        <v>2730344</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334959</v>
      </c>
      <c r="D127" s="1670">
        <f t="shared" ref="D127:L127" si="14">SUM(D122:D126)</f>
        <v>57979</v>
      </c>
      <c r="E127" s="1670">
        <f t="shared" si="14"/>
        <v>842065</v>
      </c>
      <c r="F127" s="1670">
        <f t="shared" si="14"/>
        <v>265442</v>
      </c>
      <c r="G127" s="1670">
        <f t="shared" si="14"/>
        <v>27102</v>
      </c>
      <c r="H127" s="1670">
        <f t="shared" si="14"/>
        <v>0</v>
      </c>
      <c r="I127" s="1670">
        <f t="shared" si="14"/>
        <v>0</v>
      </c>
      <c r="J127" s="1670">
        <f t="shared" si="14"/>
        <v>0</v>
      </c>
      <c r="K127" s="1670">
        <f t="shared" si="14"/>
        <v>1527547</v>
      </c>
      <c r="L127" s="1670">
        <f t="shared" si="14"/>
        <v>2730344</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334959</v>
      </c>
      <c r="D129" s="1677">
        <f t="shared" ref="D129:L129" si="15">SUM(D120,D127,D128)</f>
        <v>57979</v>
      </c>
      <c r="E129" s="1677">
        <f t="shared" si="15"/>
        <v>842065</v>
      </c>
      <c r="F129" s="1677">
        <f t="shared" si="15"/>
        <v>265442</v>
      </c>
      <c r="G129" s="1677">
        <f t="shared" si="15"/>
        <v>27102</v>
      </c>
      <c r="H129" s="1677">
        <f t="shared" si="15"/>
        <v>0</v>
      </c>
      <c r="I129" s="1677">
        <f t="shared" si="15"/>
        <v>0</v>
      </c>
      <c r="J129" s="1677">
        <f t="shared" si="15"/>
        <v>0</v>
      </c>
      <c r="K129" s="1677">
        <f t="shared" si="15"/>
        <v>1527547</v>
      </c>
      <c r="L129" s="1677">
        <f t="shared" si="15"/>
        <v>2730344</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1" t="s">
        <v>620</v>
      </c>
      <c r="B151" s="2151"/>
      <c r="C151" s="1670">
        <f>SUM(C129,C130,C139,C149,C150)</f>
        <v>334959</v>
      </c>
      <c r="D151" s="1670">
        <f t="shared" ref="D151:K151" si="16">SUM(D129,D130,D139,D149,D150)</f>
        <v>57979</v>
      </c>
      <c r="E151" s="1670">
        <f t="shared" si="16"/>
        <v>842065</v>
      </c>
      <c r="F151" s="1670">
        <f t="shared" si="16"/>
        <v>265442</v>
      </c>
      <c r="G151" s="1670">
        <f t="shared" si="16"/>
        <v>27102</v>
      </c>
      <c r="H151" s="1670">
        <f t="shared" si="16"/>
        <v>0</v>
      </c>
      <c r="I151" s="1670">
        <f t="shared" si="16"/>
        <v>0</v>
      </c>
      <c r="J151" s="1670">
        <f t="shared" si="16"/>
        <v>0</v>
      </c>
      <c r="K151" s="1670">
        <f t="shared" si="16"/>
        <v>1527547</v>
      </c>
      <c r="L151" s="1670">
        <f>SUM(L129,L130,L139,L149,L150)</f>
        <v>2730344</v>
      </c>
    </row>
    <row r="152" spans="1:14" ht="12.75" customHeight="1" thickTop="1" x14ac:dyDescent="0.2">
      <c r="A152" s="2174" t="s">
        <v>1178</v>
      </c>
      <c r="B152" s="2175"/>
      <c r="C152" s="618"/>
      <c r="D152" s="618"/>
      <c r="E152" s="618"/>
      <c r="F152" s="618"/>
      <c r="G152" s="618"/>
      <c r="H152" s="618"/>
      <c r="I152" s="618"/>
      <c r="J152" s="616"/>
      <c r="K152" s="1684">
        <f>'Revenues 9-14'!D268-'Expenditures 15-22'!K151</f>
        <v>63008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36878</v>
      </c>
      <c r="I169" s="616"/>
      <c r="J169" s="616"/>
      <c r="K169" s="1671">
        <f>SUM(C169:H169)</f>
        <v>36878</v>
      </c>
      <c r="L169" s="656">
        <v>1836879</v>
      </c>
    </row>
    <row r="170" spans="1:14" ht="33.75" customHeight="1" x14ac:dyDescent="0.2">
      <c r="A170" s="669" t="s">
        <v>1670</v>
      </c>
      <c r="B170" s="671" t="s">
        <v>31</v>
      </c>
      <c r="C170" s="616"/>
      <c r="D170" s="616"/>
      <c r="E170" s="616"/>
      <c r="F170" s="616"/>
      <c r="G170" s="616"/>
      <c r="H170" s="569">
        <v>1800000</v>
      </c>
      <c r="I170" s="616"/>
      <c r="J170" s="616"/>
      <c r="K170" s="1671">
        <f>SUM(C170:J170)</f>
        <v>1800000</v>
      </c>
      <c r="L170" s="569"/>
    </row>
    <row r="171" spans="1:14" ht="15.75" customHeight="1" x14ac:dyDescent="0.2">
      <c r="A171" s="621" t="s">
        <v>766</v>
      </c>
      <c r="B171" s="672" t="s">
        <v>84</v>
      </c>
      <c r="C171" s="616"/>
      <c r="D171" s="616"/>
      <c r="E171" s="466"/>
      <c r="F171" s="616"/>
      <c r="G171" s="616"/>
      <c r="H171" s="569">
        <v>795</v>
      </c>
      <c r="I171" s="477"/>
      <c r="J171" s="616"/>
      <c r="K171" s="1671">
        <f>SUM(C171:J171)</f>
        <v>795</v>
      </c>
      <c r="L171" s="569">
        <v>1300</v>
      </c>
    </row>
    <row r="172" spans="1:14" ht="12.75" customHeight="1" thickBot="1" x14ac:dyDescent="0.25">
      <c r="A172" s="1668" t="s">
        <v>638</v>
      </c>
      <c r="B172" s="1669" t="s">
        <v>492</v>
      </c>
      <c r="C172" s="616"/>
      <c r="D172" s="616"/>
      <c r="E172" s="1677">
        <f>SUM(E168,E169,E170,E171)</f>
        <v>0</v>
      </c>
      <c r="F172" s="616"/>
      <c r="G172" s="616"/>
      <c r="H172" s="1677">
        <f>SUM(H168,H169,H170,H171)</f>
        <v>1837673</v>
      </c>
      <c r="I172" s="638"/>
      <c r="J172" s="616"/>
      <c r="K172" s="1677">
        <f>SUM(K168,K169,K170,K171)</f>
        <v>1837673</v>
      </c>
      <c r="L172" s="1677">
        <f>SUM(L168,L169,L170,L171)</f>
        <v>1838179</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1837673</v>
      </c>
      <c r="I174" s="638"/>
      <c r="J174" s="616"/>
      <c r="K174" s="1677">
        <f>SUM(K160,K172,K173)</f>
        <v>1837673</v>
      </c>
      <c r="L174" s="1677">
        <f>SUM(L160,L172,L173)</f>
        <v>1838179</v>
      </c>
    </row>
    <row r="175" spans="1:14" ht="13.5" thickTop="1" x14ac:dyDescent="0.2">
      <c r="A175" s="2154" t="s">
        <v>996</v>
      </c>
      <c r="B175" s="2155"/>
      <c r="C175" s="616"/>
      <c r="D175" s="616"/>
      <c r="E175" s="616"/>
      <c r="F175" s="616"/>
      <c r="G175" s="616"/>
      <c r="H175" s="618"/>
      <c r="I175" s="616"/>
      <c r="J175" s="616"/>
      <c r="K175" s="1684">
        <f>'Revenues 9-14'!E268-'Expenditures 15-22'!K174</f>
        <v>-4108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v>377094</v>
      </c>
      <c r="F182" s="466"/>
      <c r="G182" s="466"/>
      <c r="H182" s="466"/>
      <c r="I182" s="467"/>
      <c r="J182" s="467"/>
      <c r="K182" s="1671">
        <f>SUM(C182:J182)</f>
        <v>377094</v>
      </c>
      <c r="L182" s="466">
        <v>340000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377094</v>
      </c>
      <c r="F184" s="1677">
        <f t="shared" si="17"/>
        <v>0</v>
      </c>
      <c r="G184" s="1677">
        <f t="shared" si="17"/>
        <v>0</v>
      </c>
      <c r="H184" s="1677">
        <f t="shared" si="17"/>
        <v>0</v>
      </c>
      <c r="I184" s="1677">
        <f t="shared" si="17"/>
        <v>0</v>
      </c>
      <c r="J184" s="1677">
        <f t="shared" si="17"/>
        <v>0</v>
      </c>
      <c r="K184" s="1677">
        <f>SUM(K180,K182,K183)</f>
        <v>377094</v>
      </c>
      <c r="L184" s="1677">
        <f>SUM(L180, L182:L183)</f>
        <v>340000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377094</v>
      </c>
      <c r="F210" s="1670">
        <f>SUM(F184,F185)</f>
        <v>0</v>
      </c>
      <c r="G210" s="1670">
        <f>SUM(G184,G185)</f>
        <v>0</v>
      </c>
      <c r="H210" s="1670">
        <f>SUM(H184,H185,H196,H208,H209)</f>
        <v>0</v>
      </c>
      <c r="I210" s="1670">
        <f>SUM(I184,I185)</f>
        <v>0</v>
      </c>
      <c r="J210" s="1670">
        <f>SUM(J184,J185)</f>
        <v>0</v>
      </c>
      <c r="K210" s="1671">
        <f>SUM(K184,K185,K196,K208,K209)</f>
        <v>377094</v>
      </c>
      <c r="L210" s="1670">
        <f>SUM(L184,L185,L196,L208,L209)</f>
        <v>340000</v>
      </c>
    </row>
    <row r="211" spans="1:14" ht="13.5" thickTop="1" x14ac:dyDescent="0.2">
      <c r="A211" s="2154" t="s">
        <v>996</v>
      </c>
      <c r="B211" s="2155"/>
      <c r="C211" s="618"/>
      <c r="D211" s="618"/>
      <c r="E211" s="618"/>
      <c r="F211" s="618"/>
      <c r="G211" s="618"/>
      <c r="H211" s="618"/>
      <c r="I211" s="616"/>
      <c r="J211" s="616"/>
      <c r="K211" s="1684">
        <f>'Revenues 9-14'!F268-'Expenditures 15-22'!K210</f>
        <v>-14060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44298</v>
      </c>
      <c r="E215" s="616"/>
      <c r="F215" s="616"/>
      <c r="G215" s="616"/>
      <c r="H215" s="616"/>
      <c r="I215" s="616"/>
      <c r="J215" s="616"/>
      <c r="K215" s="1671">
        <f>D215</f>
        <v>44298</v>
      </c>
      <c r="L215" s="466">
        <v>48000</v>
      </c>
    </row>
    <row r="216" spans="1:14" x14ac:dyDescent="0.2">
      <c r="A216" s="1504" t="s">
        <v>163</v>
      </c>
      <c r="B216" s="614" t="s">
        <v>967</v>
      </c>
      <c r="C216" s="616"/>
      <c r="D216" s="467">
        <v>8290</v>
      </c>
      <c r="E216" s="616"/>
      <c r="F216" s="616"/>
      <c r="G216" s="616"/>
      <c r="H216" s="616"/>
      <c r="I216" s="616"/>
      <c r="J216" s="616"/>
      <c r="K216" s="1671">
        <f t="shared" ref="K216:K228" si="19">D216</f>
        <v>8290</v>
      </c>
      <c r="L216" s="466">
        <v>14091</v>
      </c>
    </row>
    <row r="217" spans="1:14" x14ac:dyDescent="0.2">
      <c r="A217" s="1504" t="s">
        <v>164</v>
      </c>
      <c r="B217" s="614">
        <v>1200</v>
      </c>
      <c r="C217" s="616"/>
      <c r="D217" s="466">
        <v>30381</v>
      </c>
      <c r="E217" s="616"/>
      <c r="F217" s="616"/>
      <c r="G217" s="616"/>
      <c r="H217" s="616"/>
      <c r="I217" s="616"/>
      <c r="J217" s="616"/>
      <c r="K217" s="1671">
        <f t="shared" si="19"/>
        <v>30381</v>
      </c>
      <c r="L217" s="466">
        <v>31600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13602</v>
      </c>
      <c r="E219" s="616"/>
      <c r="F219" s="616"/>
      <c r="G219" s="616"/>
      <c r="H219" s="616"/>
      <c r="I219" s="616"/>
      <c r="J219" s="616"/>
      <c r="K219" s="1671">
        <f t="shared" si="19"/>
        <v>13602</v>
      </c>
      <c r="L219" s="466">
        <v>15514</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2413</v>
      </c>
      <c r="E223" s="616"/>
      <c r="F223" s="616"/>
      <c r="G223" s="616"/>
      <c r="H223" s="616"/>
      <c r="I223" s="616"/>
      <c r="J223" s="616"/>
      <c r="K223" s="1671">
        <f t="shared" si="19"/>
        <v>2413</v>
      </c>
      <c r="L223" s="466">
        <v>2700</v>
      </c>
    </row>
    <row r="224" spans="1:14" x14ac:dyDescent="0.2">
      <c r="A224" s="1504" t="s">
        <v>964</v>
      </c>
      <c r="B224" s="614">
        <v>1600</v>
      </c>
      <c r="C224" s="616"/>
      <c r="D224" s="466">
        <v>38</v>
      </c>
      <c r="E224" s="616"/>
      <c r="F224" s="616"/>
      <c r="G224" s="616"/>
      <c r="H224" s="616"/>
      <c r="I224" s="616"/>
      <c r="J224" s="616"/>
      <c r="K224" s="1671">
        <f t="shared" si="19"/>
        <v>38</v>
      </c>
      <c r="L224" s="466">
        <v>25</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99022</v>
      </c>
      <c r="E229" s="616"/>
      <c r="F229" s="616"/>
      <c r="G229" s="616"/>
      <c r="H229" s="616"/>
      <c r="I229" s="616"/>
      <c r="J229" s="616"/>
      <c r="K229" s="1670">
        <f>SUM(K215:K228)</f>
        <v>99022</v>
      </c>
      <c r="L229" s="1670">
        <f>SUM(L215:L228)</f>
        <v>111930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1064</v>
      </c>
      <c r="E232" s="616"/>
      <c r="F232" s="616"/>
      <c r="G232" s="616"/>
      <c r="H232" s="616"/>
      <c r="I232" s="616"/>
      <c r="J232" s="616"/>
      <c r="K232" s="1671">
        <f t="shared" ref="K232:K237" si="20">D232</f>
        <v>1064</v>
      </c>
      <c r="L232" s="466">
        <v>1200</v>
      </c>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5827</v>
      </c>
      <c r="E234" s="616"/>
      <c r="F234" s="616"/>
      <c r="G234" s="616"/>
      <c r="H234" s="616"/>
      <c r="I234" s="616"/>
      <c r="J234" s="616"/>
      <c r="K234" s="1671">
        <f t="shared" si="20"/>
        <v>5827</v>
      </c>
      <c r="L234" s="466">
        <v>4802</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995</v>
      </c>
      <c r="E236" s="616"/>
      <c r="F236" s="616"/>
      <c r="G236" s="616"/>
      <c r="H236" s="616"/>
      <c r="I236" s="616"/>
      <c r="J236" s="616"/>
      <c r="K236" s="1671">
        <f t="shared" si="20"/>
        <v>995</v>
      </c>
      <c r="L236" s="466">
        <v>1168</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7886</v>
      </c>
      <c r="E238" s="616"/>
      <c r="F238" s="616"/>
      <c r="G238" s="616"/>
      <c r="H238" s="616"/>
      <c r="I238" s="616"/>
      <c r="J238" s="616"/>
      <c r="K238" s="1670">
        <f>SUM(K232:K237)</f>
        <v>7886</v>
      </c>
      <c r="L238" s="1670">
        <f>SUM(L232:L237)</f>
        <v>7170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1967</v>
      </c>
      <c r="E240" s="616"/>
      <c r="F240" s="616"/>
      <c r="G240" s="616"/>
      <c r="H240" s="616"/>
      <c r="I240" s="616"/>
      <c r="J240" s="616"/>
      <c r="K240" s="1672">
        <f>D240</f>
        <v>1967</v>
      </c>
      <c r="L240" s="481">
        <v>1902</v>
      </c>
    </row>
    <row r="241" spans="1:12" x14ac:dyDescent="0.2">
      <c r="A241" s="1504" t="s">
        <v>815</v>
      </c>
      <c r="B241" s="614">
        <v>2220</v>
      </c>
      <c r="C241" s="616"/>
      <c r="D241" s="466">
        <v>2471</v>
      </c>
      <c r="E241" s="616"/>
      <c r="F241" s="616"/>
      <c r="G241" s="616"/>
      <c r="H241" s="616"/>
      <c r="I241" s="616"/>
      <c r="J241" s="616"/>
      <c r="K241" s="1672">
        <f>D241</f>
        <v>2471</v>
      </c>
      <c r="L241" s="466">
        <v>2477</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4438</v>
      </c>
      <c r="E243" s="616"/>
      <c r="F243" s="616"/>
      <c r="G243" s="616"/>
      <c r="H243" s="616"/>
      <c r="I243" s="616"/>
      <c r="J243" s="616"/>
      <c r="K243" s="1670">
        <f>SUM(K240:K242)</f>
        <v>4438</v>
      </c>
      <c r="L243" s="1670">
        <f>SUM(L240:L242)</f>
        <v>4379</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115</v>
      </c>
      <c r="E245" s="616"/>
      <c r="F245" s="616"/>
      <c r="G245" s="616"/>
      <c r="H245" s="616"/>
      <c r="I245" s="616"/>
      <c r="J245" s="616"/>
      <c r="K245" s="1672">
        <f>D245</f>
        <v>115</v>
      </c>
      <c r="L245" s="481">
        <v>200</v>
      </c>
    </row>
    <row r="246" spans="1:12" x14ac:dyDescent="0.2">
      <c r="A246" s="1504" t="s">
        <v>818</v>
      </c>
      <c r="B246" s="614">
        <v>2320</v>
      </c>
      <c r="C246" s="616"/>
      <c r="D246" s="466">
        <v>9102</v>
      </c>
      <c r="E246" s="616"/>
      <c r="F246" s="616"/>
      <c r="G246" s="616"/>
      <c r="H246" s="616"/>
      <c r="I246" s="616"/>
      <c r="J246" s="616"/>
      <c r="K246" s="1672">
        <f t="shared" ref="K246:K256" si="21">D246</f>
        <v>9102</v>
      </c>
      <c r="L246" s="466">
        <v>9650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v>6224</v>
      </c>
      <c r="E252" s="616"/>
      <c r="F252" s="616"/>
      <c r="G252" s="616"/>
      <c r="H252" s="616"/>
      <c r="I252" s="616"/>
      <c r="J252" s="616"/>
      <c r="K252" s="1672">
        <f t="shared" si="21"/>
        <v>6224</v>
      </c>
      <c r="L252" s="466">
        <v>7754</v>
      </c>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15441</v>
      </c>
      <c r="E257" s="616"/>
      <c r="F257" s="616"/>
      <c r="G257" s="616"/>
      <c r="H257" s="616"/>
      <c r="I257" s="616"/>
      <c r="J257" s="616"/>
      <c r="K257" s="1670">
        <f>SUM(K245:K256)</f>
        <v>15441</v>
      </c>
      <c r="L257" s="1670">
        <f>SUM(L245:L256)</f>
        <v>17604</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17708</v>
      </c>
      <c r="E259" s="616"/>
      <c r="F259" s="616"/>
      <c r="G259" s="616"/>
      <c r="H259" s="616"/>
      <c r="I259" s="616"/>
      <c r="J259" s="616"/>
      <c r="K259" s="1672">
        <f>D259</f>
        <v>17708</v>
      </c>
      <c r="L259" s="481">
        <v>18500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17708</v>
      </c>
      <c r="E261" s="616"/>
      <c r="F261" s="616"/>
      <c r="G261" s="616"/>
      <c r="H261" s="616"/>
      <c r="I261" s="616"/>
      <c r="J261" s="616"/>
      <c r="K261" s="1670">
        <f>SUM(K259:K260)</f>
        <v>17708</v>
      </c>
      <c r="L261" s="1670">
        <f>SUM(L259:L260)</f>
        <v>18500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5199</v>
      </c>
      <c r="E264" s="616"/>
      <c r="F264" s="616"/>
      <c r="G264" s="616"/>
      <c r="H264" s="616"/>
      <c r="I264" s="616"/>
      <c r="J264" s="616"/>
      <c r="K264" s="1672">
        <f t="shared" ref="K264:K269" si="22">D264</f>
        <v>5199</v>
      </c>
      <c r="L264" s="466">
        <v>5500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55189</v>
      </c>
      <c r="E266" s="616"/>
      <c r="F266" s="616"/>
      <c r="G266" s="616"/>
      <c r="H266" s="616"/>
      <c r="I266" s="616"/>
      <c r="J266" s="616"/>
      <c r="K266" s="1672">
        <f t="shared" si="22"/>
        <v>55189</v>
      </c>
      <c r="L266" s="466">
        <v>60000</v>
      </c>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60388</v>
      </c>
      <c r="E270" s="616"/>
      <c r="F270" s="616"/>
      <c r="G270" s="616"/>
      <c r="H270" s="616"/>
      <c r="I270" s="616"/>
      <c r="J270" s="616"/>
      <c r="K270" s="1670">
        <f>SUM(K263:K269)</f>
        <v>60388</v>
      </c>
      <c r="L270" s="1670">
        <f>SUM(L263:L269)</f>
        <v>65500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105861</v>
      </c>
      <c r="E279" s="616"/>
      <c r="F279" s="616"/>
      <c r="G279" s="616"/>
      <c r="H279" s="616"/>
      <c r="I279" s="616"/>
      <c r="J279" s="616"/>
      <c r="K279" s="1677">
        <f>SUM(K238,K243,K257,K261,K270,K277,K278)</f>
        <v>105861</v>
      </c>
      <c r="L279" s="1677">
        <f>SUM(L238,L243,L257,L261,L270,L277,L278)</f>
        <v>113153</v>
      </c>
    </row>
    <row r="280" spans="1:12" ht="15.75" customHeight="1" thickTop="1" thickBot="1" x14ac:dyDescent="0.25">
      <c r="A280" s="1624" t="s">
        <v>875</v>
      </c>
      <c r="B280" s="1613">
        <v>3000</v>
      </c>
      <c r="C280" s="616"/>
      <c r="D280" s="576">
        <v>11092</v>
      </c>
      <c r="E280" s="616"/>
      <c r="F280" s="616"/>
      <c r="G280" s="616"/>
      <c r="H280" s="616"/>
      <c r="I280" s="616"/>
      <c r="J280" s="616"/>
      <c r="K280" s="1679">
        <f>D280</f>
        <v>11092</v>
      </c>
      <c r="L280" s="576">
        <v>12000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v>553</v>
      </c>
      <c r="E283" s="616"/>
      <c r="F283" s="616"/>
      <c r="G283" s="616"/>
      <c r="H283" s="616"/>
      <c r="I283" s="616"/>
      <c r="J283" s="616"/>
      <c r="K283" s="1671">
        <f>D283</f>
        <v>553</v>
      </c>
      <c r="L283" s="466">
        <v>2000</v>
      </c>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553</v>
      </c>
      <c r="E285" s="616"/>
      <c r="F285" s="616"/>
      <c r="G285" s="616"/>
      <c r="H285" s="616"/>
      <c r="I285" s="616"/>
      <c r="J285" s="616"/>
      <c r="K285" s="1670">
        <f>SUM(K282:K284)</f>
        <v>553</v>
      </c>
      <c r="L285" s="1670">
        <f>SUM(L282:L284)</f>
        <v>2000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70">
        <f>SUM(D229,D279,D280,D285)</f>
        <v>216528</v>
      </c>
      <c r="E295" s="616"/>
      <c r="F295" s="616"/>
      <c r="G295" s="616"/>
      <c r="H295" s="1670">
        <f>H293</f>
        <v>0</v>
      </c>
      <c r="I295" s="616"/>
      <c r="J295" s="616"/>
      <c r="K295" s="1670">
        <f>SUM(K229,K279,K280,K285,K293,K294)</f>
        <v>216528</v>
      </c>
      <c r="L295" s="1670">
        <f>SUM(L229,L279,L280,L285,L293,L294)</f>
        <v>239083</v>
      </c>
    </row>
    <row r="296" spans="1:14" ht="13.5" thickTop="1" x14ac:dyDescent="0.2">
      <c r="A296" s="2154" t="s">
        <v>996</v>
      </c>
      <c r="B296" s="2155"/>
      <c r="C296" s="616"/>
      <c r="D296" s="618"/>
      <c r="E296" s="616"/>
      <c r="F296" s="616"/>
      <c r="G296" s="616"/>
      <c r="H296" s="687"/>
      <c r="I296" s="616"/>
      <c r="J296" s="616"/>
      <c r="K296" s="1684">
        <f>'Revenues 9-14'!G268-'Expenditures 15-22'!K295</f>
        <v>-50960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28384</v>
      </c>
      <c r="F320" s="467"/>
      <c r="G320" s="467"/>
      <c r="H320" s="467"/>
      <c r="I320" s="467"/>
      <c r="J320" s="467"/>
      <c r="K320" s="1671">
        <f t="shared" ref="K320:K327" si="24">SUM(C320:J320)</f>
        <v>28384</v>
      </c>
      <c r="L320" s="467">
        <v>37000</v>
      </c>
      <c r="M320" s="665"/>
      <c r="N320" s="665"/>
    </row>
    <row r="321" spans="1:14" s="674" customFormat="1" x14ac:dyDescent="0.2">
      <c r="A321" s="1519" t="s">
        <v>300</v>
      </c>
      <c r="B321" s="697" t="s">
        <v>283</v>
      </c>
      <c r="C321" s="467"/>
      <c r="D321" s="467"/>
      <c r="E321" s="467">
        <v>2826</v>
      </c>
      <c r="F321" s="467"/>
      <c r="G321" s="467"/>
      <c r="H321" s="467"/>
      <c r="I321" s="467"/>
      <c r="J321" s="467"/>
      <c r="K321" s="1671">
        <f t="shared" si="24"/>
        <v>2826</v>
      </c>
      <c r="L321" s="467">
        <v>6000</v>
      </c>
      <c r="M321" s="665"/>
      <c r="N321" s="665"/>
    </row>
    <row r="322" spans="1:14" s="674" customFormat="1" x14ac:dyDescent="0.2">
      <c r="A322" s="1519" t="s">
        <v>238</v>
      </c>
      <c r="B322" s="697" t="s">
        <v>284</v>
      </c>
      <c r="C322" s="467"/>
      <c r="D322" s="467"/>
      <c r="E322" s="467">
        <v>38216</v>
      </c>
      <c r="F322" s="467"/>
      <c r="G322" s="467"/>
      <c r="H322" s="467"/>
      <c r="I322" s="467"/>
      <c r="J322" s="467"/>
      <c r="K322" s="1671">
        <f t="shared" si="24"/>
        <v>38216</v>
      </c>
      <c r="L322" s="467">
        <v>40000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210574</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168697</v>
      </c>
      <c r="D325" s="467">
        <v>19297</v>
      </c>
      <c r="E325" s="467">
        <v>5040</v>
      </c>
      <c r="F325" s="467">
        <v>2381</v>
      </c>
      <c r="G325" s="467"/>
      <c r="H325" s="467">
        <v>6661</v>
      </c>
      <c r="I325" s="467">
        <v>4180</v>
      </c>
      <c r="J325" s="467"/>
      <c r="K325" s="1671">
        <f t="shared" si="24"/>
        <v>206256</v>
      </c>
      <c r="L325" s="467">
        <v>10000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14226</v>
      </c>
      <c r="F327" s="467"/>
      <c r="G327" s="467"/>
      <c r="H327" s="467"/>
      <c r="I327" s="467"/>
      <c r="J327" s="467"/>
      <c r="K327" s="1671">
        <f t="shared" si="24"/>
        <v>14226</v>
      </c>
      <c r="L327" s="467">
        <v>35000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168697</v>
      </c>
      <c r="D330" s="1670">
        <f t="shared" ref="D330:J330" si="25">SUM(D319:D329)</f>
        <v>19297</v>
      </c>
      <c r="E330" s="1670">
        <f t="shared" si="25"/>
        <v>88692</v>
      </c>
      <c r="F330" s="1670">
        <f t="shared" si="25"/>
        <v>2381</v>
      </c>
      <c r="G330" s="1670">
        <f t="shared" si="25"/>
        <v>0</v>
      </c>
      <c r="H330" s="1670">
        <f t="shared" si="25"/>
        <v>6661</v>
      </c>
      <c r="I330" s="1670">
        <f t="shared" si="25"/>
        <v>4180</v>
      </c>
      <c r="J330" s="1670">
        <f t="shared" si="25"/>
        <v>0</v>
      </c>
      <c r="K330" s="1670">
        <f>SUM(K319:K329)</f>
        <v>289908</v>
      </c>
      <c r="L330" s="1670">
        <f>SUM(L319:L329)</f>
        <v>338574</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168697</v>
      </c>
      <c r="D342" s="1670">
        <f>SUM(D330)</f>
        <v>19297</v>
      </c>
      <c r="E342" s="1670">
        <f>SUM(E330)</f>
        <v>88692</v>
      </c>
      <c r="F342" s="1670">
        <f>SUM(F330)</f>
        <v>2381</v>
      </c>
      <c r="G342" s="1670">
        <f>SUM(G330)</f>
        <v>0</v>
      </c>
      <c r="H342" s="1670">
        <f>SUM(H330,H334,H340)</f>
        <v>6661</v>
      </c>
      <c r="I342" s="1670">
        <f>SUM(I330)</f>
        <v>4180</v>
      </c>
      <c r="J342" s="1670">
        <f>SUM(J330)</f>
        <v>0</v>
      </c>
      <c r="K342" s="1670">
        <f>SUM(K330,K334,K340)</f>
        <v>289908</v>
      </c>
      <c r="L342" s="1677">
        <f>SUM(L330,L340,L341)</f>
        <v>338574</v>
      </c>
    </row>
    <row r="343" spans="1:14" ht="12.75" customHeight="1" thickTop="1" x14ac:dyDescent="0.2">
      <c r="A343" s="2167" t="s">
        <v>996</v>
      </c>
      <c r="B343" s="2168"/>
      <c r="C343" s="616"/>
      <c r="D343" s="616"/>
      <c r="E343" s="616"/>
      <c r="F343" s="616"/>
      <c r="G343" s="616"/>
      <c r="H343" s="616"/>
      <c r="I343" s="616"/>
      <c r="J343" s="616"/>
      <c r="K343" s="1684">
        <f>'Revenues 9-14'!J268-'Expenditures 15-22'!K342</f>
        <v>74964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1088000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1088000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1088000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1088000</v>
      </c>
    </row>
    <row r="368" spans="1:14" ht="13.5" thickTop="1" x14ac:dyDescent="0.2">
      <c r="A368" s="2154" t="s">
        <v>996</v>
      </c>
      <c r="B368" s="2155"/>
      <c r="C368" s="654"/>
      <c r="D368" s="654"/>
      <c r="E368" s="626"/>
      <c r="F368" s="626"/>
      <c r="G368" s="626"/>
      <c r="H368" s="626"/>
      <c r="I368" s="626"/>
      <c r="J368" s="623"/>
      <c r="K368" s="1671">
        <f>'Revenues 9-14'!K268-'Expenditures 15-22'!K367</f>
        <v>91460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
See notes.
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13" sqref="A13:H1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1802</v>
      </c>
      <c r="B2" s="1528" t="s">
        <v>1951</v>
      </c>
      <c r="C2" s="714" t="s">
        <v>1952</v>
      </c>
      <c r="D2" s="714" t="s">
        <v>1953</v>
      </c>
      <c r="E2" s="714" t="s">
        <v>1954</v>
      </c>
      <c r="F2" s="714" t="s">
        <v>1955</v>
      </c>
    </row>
    <row r="3" spans="1:6" ht="12" customHeight="1" x14ac:dyDescent="0.2">
      <c r="A3" s="2182"/>
      <c r="B3" s="1525"/>
      <c r="C3" s="1526"/>
      <c r="D3" s="1527" t="s">
        <v>256</v>
      </c>
      <c r="E3" s="1526"/>
      <c r="F3" s="1527" t="s">
        <v>257</v>
      </c>
    </row>
    <row r="4" spans="1:6" ht="13.7" customHeight="1" x14ac:dyDescent="0.2">
      <c r="A4" s="715" t="s">
        <v>1155</v>
      </c>
      <c r="B4" s="1749">
        <f>'Revenues 9-14'!C5</f>
        <v>3147687</v>
      </c>
      <c r="C4" s="1524"/>
      <c r="D4" s="1752">
        <f>B4-C4</f>
        <v>3147687</v>
      </c>
      <c r="E4" s="1524">
        <v>3207063</v>
      </c>
      <c r="F4" s="1752">
        <f>E4-C4</f>
        <v>3207063</v>
      </c>
    </row>
    <row r="5" spans="1:6" ht="13.7" customHeight="1" x14ac:dyDescent="0.2">
      <c r="A5" s="715" t="s">
        <v>870</v>
      </c>
      <c r="B5" s="1750">
        <f>'Revenues 9-14'!D5</f>
        <v>989277</v>
      </c>
      <c r="C5" s="585"/>
      <c r="D5" s="1753">
        <f t="shared" ref="D5:D18" si="0">B5-C5</f>
        <v>989277</v>
      </c>
      <c r="E5" s="585">
        <v>1019218</v>
      </c>
      <c r="F5" s="1753">
        <f>E5-C5</f>
        <v>1019218</v>
      </c>
    </row>
    <row r="6" spans="1:6" ht="13.7" customHeight="1" x14ac:dyDescent="0.2">
      <c r="A6" s="715" t="s">
        <v>411</v>
      </c>
      <c r="B6" s="1750">
        <f>'Revenues 9-14'!E5</f>
        <v>1830342</v>
      </c>
      <c r="C6" s="585"/>
      <c r="D6" s="1753">
        <f t="shared" si="0"/>
        <v>1830342</v>
      </c>
      <c r="E6" s="585">
        <v>1855332</v>
      </c>
      <c r="F6" s="1753">
        <f t="shared" ref="F6:F18" si="1">E6-C6</f>
        <v>1855332</v>
      </c>
    </row>
    <row r="7" spans="1:6" ht="13.7" customHeight="1" x14ac:dyDescent="0.2">
      <c r="A7" s="715" t="s">
        <v>155</v>
      </c>
      <c r="B7" s="1750">
        <f>'Revenues 9-14'!F5</f>
        <v>215840</v>
      </c>
      <c r="C7" s="585"/>
      <c r="D7" s="1753">
        <f t="shared" si="0"/>
        <v>215840</v>
      </c>
      <c r="E7" s="585">
        <v>210885</v>
      </c>
      <c r="F7" s="1753">
        <f t="shared" si="1"/>
        <v>210885</v>
      </c>
    </row>
    <row r="8" spans="1:6" ht="13.7" customHeight="1" x14ac:dyDescent="0.2">
      <c r="A8" s="715" t="s">
        <v>1179</v>
      </c>
      <c r="B8" s="1750">
        <f>'Revenues 9-14'!G5</f>
        <v>67453</v>
      </c>
      <c r="C8" s="585"/>
      <c r="D8" s="1753">
        <f t="shared" si="0"/>
        <v>67453</v>
      </c>
      <c r="E8" s="585">
        <v>70789</v>
      </c>
      <c r="F8" s="1753">
        <f t="shared" si="1"/>
        <v>70789</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89934</v>
      </c>
      <c r="C10" s="585"/>
      <c r="D10" s="1753">
        <f t="shared" si="0"/>
        <v>89934</v>
      </c>
      <c r="E10" s="585">
        <v>92656</v>
      </c>
      <c r="F10" s="1753">
        <f t="shared" si="1"/>
        <v>92656</v>
      </c>
    </row>
    <row r="11" spans="1:6" x14ac:dyDescent="0.2">
      <c r="A11" s="715" t="s">
        <v>409</v>
      </c>
      <c r="B11" s="1750">
        <f>'Revenues 9-14'!J5</f>
        <v>363697</v>
      </c>
      <c r="C11" s="585"/>
      <c r="D11" s="1753">
        <f t="shared" si="0"/>
        <v>363697</v>
      </c>
      <c r="E11" s="585">
        <v>380261</v>
      </c>
      <c r="F11" s="1753">
        <f t="shared" si="1"/>
        <v>380261</v>
      </c>
    </row>
    <row r="12" spans="1:6" ht="13.7" customHeight="1" x14ac:dyDescent="0.2">
      <c r="A12" s="715" t="s">
        <v>157</v>
      </c>
      <c r="B12" s="1750">
        <f>'Revenues 9-14'!K5</f>
        <v>89935</v>
      </c>
      <c r="C12" s="585"/>
      <c r="D12" s="1753">
        <f t="shared" si="0"/>
        <v>89935</v>
      </c>
      <c r="E12" s="585">
        <v>92656</v>
      </c>
      <c r="F12" s="1753">
        <f t="shared" si="1"/>
        <v>92656</v>
      </c>
    </row>
    <row r="13" spans="1:6" ht="13.7" customHeight="1" x14ac:dyDescent="0.2">
      <c r="A13" s="715" t="s">
        <v>936</v>
      </c>
      <c r="B13" s="1750">
        <f>SUM('Revenues 9-14'!C6:D6)</f>
        <v>66917</v>
      </c>
      <c r="C13" s="585"/>
      <c r="D13" s="1753">
        <f t="shared" si="0"/>
        <v>66917</v>
      </c>
      <c r="E13" s="585">
        <v>76719</v>
      </c>
      <c r="F13" s="1753">
        <f t="shared" si="1"/>
        <v>76719</v>
      </c>
    </row>
    <row r="14" spans="1:6" ht="13.7" customHeight="1" x14ac:dyDescent="0.2">
      <c r="A14" s="715" t="s">
        <v>410</v>
      </c>
      <c r="B14" s="1750">
        <f>SUM('Revenues 9-14'!C7:D7,'Revenues 9-14'!F7:H7)</f>
        <v>35980</v>
      </c>
      <c r="C14" s="585"/>
      <c r="D14" s="1753">
        <f t="shared" si="0"/>
        <v>35980</v>
      </c>
      <c r="E14" s="585">
        <v>37062</v>
      </c>
      <c r="F14" s="1753">
        <f t="shared" si="1"/>
        <v>37062</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69794</v>
      </c>
      <c r="C16" s="585"/>
      <c r="D16" s="1753">
        <f t="shared" si="0"/>
        <v>69794</v>
      </c>
      <c r="E16" s="585">
        <v>75978</v>
      </c>
      <c r="F16" s="1753">
        <f t="shared" si="1"/>
        <v>75978</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6966856</v>
      </c>
      <c r="C19" s="1751">
        <f>SUM(C4:C18)</f>
        <v>0</v>
      </c>
      <c r="D19" s="1751">
        <f>SUM(D4:D18)</f>
        <v>6966856</v>
      </c>
      <c r="E19" s="1751">
        <f>SUM(E4:E18)</f>
        <v>7118619</v>
      </c>
      <c r="F19" s="1751">
        <f>SUM(F4:F18)</f>
        <v>7118619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A13" sqref="A13:H1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1802</v>
      </c>
      <c r="B2" s="2209"/>
      <c r="C2" s="1884" t="s">
        <v>1956</v>
      </c>
      <c r="D2" s="723" t="s">
        <v>1957</v>
      </c>
      <c r="E2" s="723" t="s">
        <v>1958</v>
      </c>
      <c r="F2" s="1884" t="s">
        <v>1959</v>
      </c>
    </row>
    <row r="3" spans="1:7" ht="15.75" customHeight="1" x14ac:dyDescent="0.2">
      <c r="A3" s="2210" t="s">
        <v>1114</v>
      </c>
      <c r="B3" s="2211"/>
      <c r="C3" s="2204"/>
      <c r="D3" s="2205"/>
      <c r="E3" s="2205"/>
      <c r="F3" s="2206"/>
    </row>
    <row r="4" spans="1:7" ht="12.75" customHeight="1" thickBot="1" x14ac:dyDescent="0.25">
      <c r="A4" s="2198" t="s">
        <v>630</v>
      </c>
      <c r="B4" s="2199"/>
      <c r="C4" s="581"/>
      <c r="D4" s="581"/>
      <c r="E4" s="581"/>
      <c r="F4" s="1755">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4" t="s">
        <v>631</v>
      </c>
      <c r="B15" s="2195"/>
      <c r="C15" s="1755">
        <f>SUM(C6:C14)</f>
        <v>0</v>
      </c>
      <c r="D15" s="1755">
        <f>SUM(D6:D14)</f>
        <v>0</v>
      </c>
      <c r="E15" s="1755">
        <f>SUM(E6:E14)</f>
        <v>0</v>
      </c>
      <c r="F15" s="1755">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c r="D17" s="585"/>
      <c r="E17" s="726"/>
      <c r="F17" s="1755">
        <f>SUM(C17+D17)-E17</f>
        <v>0</v>
      </c>
    </row>
    <row r="18" spans="1:11" ht="12.75" customHeight="1" thickTop="1" thickBot="1" x14ac:dyDescent="0.25">
      <c r="A18" s="2189" t="s">
        <v>6</v>
      </c>
      <c r="B18" s="2190"/>
      <c r="C18" s="726"/>
      <c r="D18" s="585"/>
      <c r="E18" s="726"/>
      <c r="F18" s="1755">
        <f>SUM(C18+D18)-E18</f>
        <v>0</v>
      </c>
    </row>
    <row r="19" spans="1:11" ht="12.75" customHeight="1" thickTop="1" thickBot="1" x14ac:dyDescent="0.25">
      <c r="A19" s="2189" t="s">
        <v>388</v>
      </c>
      <c r="B19" s="2190"/>
      <c r="C19" s="726"/>
      <c r="D19" s="585"/>
      <c r="E19" s="726"/>
      <c r="F19" s="1755">
        <f>SUM(C19+D19)-E19</f>
        <v>0</v>
      </c>
    </row>
    <row r="20" spans="1:11" ht="12.75" customHeight="1" thickTop="1" thickBot="1" x14ac:dyDescent="0.25">
      <c r="A20" s="2189" t="s">
        <v>448</v>
      </c>
      <c r="B20" s="2190"/>
      <c r="C20" s="726"/>
      <c r="D20" s="585"/>
      <c r="E20" s="726"/>
      <c r="F20" s="1755">
        <f>SUM(C20+D20)-E20</f>
        <v>0</v>
      </c>
    </row>
    <row r="21" spans="1:11" ht="14.25" thickTop="1" thickBot="1" x14ac:dyDescent="0.25">
      <c r="A21" s="2194" t="s">
        <v>632</v>
      </c>
      <c r="B21" s="2195"/>
      <c r="C21" s="1755">
        <f>SUM(C17:C20)</f>
        <v>0</v>
      </c>
      <c r="D21" s="1755">
        <f>SUM(D17:D20)</f>
        <v>0</v>
      </c>
      <c r="E21" s="1755">
        <f>SUM(E17:E20)</f>
        <v>0</v>
      </c>
      <c r="F21" s="1755">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c r="D23" s="581"/>
      <c r="E23" s="581"/>
      <c r="F23" s="1755">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c r="D25" s="581"/>
      <c r="E25" s="581"/>
      <c r="F25" s="1755">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c r="D27" s="585"/>
      <c r="E27" s="585"/>
      <c r="F27" s="1755">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2078</v>
      </c>
      <c r="B31" s="733">
        <v>42048</v>
      </c>
      <c r="C31" s="734">
        <v>2000000</v>
      </c>
      <c r="D31" s="735">
        <v>1</v>
      </c>
      <c r="E31" s="734">
        <v>485000</v>
      </c>
      <c r="F31" s="734"/>
      <c r="G31" s="734"/>
      <c r="H31" s="734">
        <v>485000</v>
      </c>
      <c r="I31" s="1756">
        <f>((E31+F31)-H31)+G31</f>
        <v>0</v>
      </c>
      <c r="J31" s="734">
        <v>0</v>
      </c>
      <c r="K31" s="736"/>
    </row>
    <row r="32" spans="1:11" ht="12" customHeight="1" x14ac:dyDescent="0.2">
      <c r="A32" s="732" t="s">
        <v>2079</v>
      </c>
      <c r="B32" s="733">
        <v>42048</v>
      </c>
      <c r="C32" s="734">
        <v>2860000</v>
      </c>
      <c r="D32" s="735">
        <v>3</v>
      </c>
      <c r="E32" s="734">
        <v>985000</v>
      </c>
      <c r="F32" s="734"/>
      <c r="G32" s="734"/>
      <c r="H32" s="734">
        <v>985000</v>
      </c>
      <c r="I32" s="1756">
        <f>((E32+F32)-H32)+G32</f>
        <v>0</v>
      </c>
      <c r="J32" s="734">
        <v>0</v>
      </c>
      <c r="K32" s="736"/>
    </row>
    <row r="33" spans="1:11" ht="12" customHeight="1" x14ac:dyDescent="0.2">
      <c r="A33" s="732" t="s">
        <v>2080</v>
      </c>
      <c r="B33" s="733">
        <v>42104</v>
      </c>
      <c r="C33" s="734">
        <v>245000</v>
      </c>
      <c r="D33" s="735">
        <v>4</v>
      </c>
      <c r="E33" s="734">
        <v>245000</v>
      </c>
      <c r="F33" s="734"/>
      <c r="G33" s="734"/>
      <c r="H33" s="734"/>
      <c r="I33" s="1756">
        <f t="shared" ref="I33:I48" si="1">((E33+F33)-H33)+G33</f>
        <v>245000</v>
      </c>
      <c r="J33" s="734">
        <v>119785</v>
      </c>
      <c r="K33" s="736"/>
    </row>
    <row r="34" spans="1:11" ht="12" customHeight="1" x14ac:dyDescent="0.2">
      <c r="A34" s="732" t="s">
        <v>2081</v>
      </c>
      <c r="B34" s="733">
        <v>43154</v>
      </c>
      <c r="C34" s="734">
        <v>330000</v>
      </c>
      <c r="D34" s="735">
        <v>1</v>
      </c>
      <c r="E34" s="734">
        <v>330000</v>
      </c>
      <c r="F34" s="734"/>
      <c r="G34" s="734"/>
      <c r="H34" s="734">
        <v>330000</v>
      </c>
      <c r="I34" s="1756">
        <f t="shared" si="1"/>
        <v>0</v>
      </c>
      <c r="J34" s="734"/>
      <c r="K34" s="737"/>
    </row>
    <row r="35" spans="1:11" ht="12" customHeight="1" x14ac:dyDescent="0.2">
      <c r="A35" s="732" t="s">
        <v>2082</v>
      </c>
      <c r="B35" s="733">
        <v>43525</v>
      </c>
      <c r="C35" s="738">
        <v>1547000</v>
      </c>
      <c r="D35" s="735">
        <v>1</v>
      </c>
      <c r="E35" s="738"/>
      <c r="F35" s="738">
        <v>1547000</v>
      </c>
      <c r="G35" s="738"/>
      <c r="H35" s="738"/>
      <c r="I35" s="1756">
        <f t="shared" si="1"/>
        <v>1547000</v>
      </c>
      <c r="J35" s="738">
        <v>1547000</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6982000</v>
      </c>
      <c r="D49" s="745"/>
      <c r="E49" s="1756">
        <f t="shared" ref="E49:J49" si="2">SUM(E31:E48)</f>
        <v>2045000</v>
      </c>
      <c r="F49" s="1756">
        <f t="shared" si="2"/>
        <v>1547000</v>
      </c>
      <c r="G49" s="1756">
        <f t="shared" si="2"/>
        <v>0</v>
      </c>
      <c r="H49" s="1756">
        <f t="shared" si="2"/>
        <v>1800000</v>
      </c>
      <c r="I49" s="1756">
        <f t="shared" si="2"/>
        <v>1792000</v>
      </c>
      <c r="J49" s="1756">
        <f t="shared" si="2"/>
        <v>1666785</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c r="G52" s="2186"/>
      <c r="H52" s="736"/>
      <c r="I52" s="736"/>
      <c r="J52" s="746"/>
    </row>
    <row r="53" spans="1:11" ht="11.25" customHeight="1" x14ac:dyDescent="0.2">
      <c r="A53" s="750" t="s">
        <v>913</v>
      </c>
      <c r="B53" s="751" t="s">
        <v>951</v>
      </c>
      <c r="C53" s="746"/>
      <c r="D53" s="737"/>
      <c r="E53" s="749" t="s">
        <v>497</v>
      </c>
      <c r="F53" s="2187"/>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A13" sqref="A13:H1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31" t="s">
        <v>1677</v>
      </c>
      <c r="B2" s="2232"/>
      <c r="C2" s="2232"/>
      <c r="D2" s="2232"/>
      <c r="E2" s="2233"/>
      <c r="F2" s="761" t="s">
        <v>904</v>
      </c>
      <c r="G2" s="762" t="s">
        <v>1674</v>
      </c>
      <c r="H2" s="762" t="s">
        <v>410</v>
      </c>
      <c r="I2" s="762" t="s">
        <v>1158</v>
      </c>
      <c r="J2" s="762" t="s">
        <v>1812</v>
      </c>
      <c r="K2" s="762" t="s">
        <v>138</v>
      </c>
    </row>
    <row r="3" spans="1:11" x14ac:dyDescent="0.2">
      <c r="A3" s="2234" t="s">
        <v>1964</v>
      </c>
      <c r="B3" s="2235"/>
      <c r="C3" s="2235"/>
      <c r="D3" s="2235"/>
      <c r="E3" s="2236"/>
      <c r="F3" s="763"/>
      <c r="G3" s="764"/>
      <c r="H3" s="764"/>
      <c r="I3" s="764"/>
      <c r="J3" s="765"/>
      <c r="K3" s="765"/>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v>35980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5" t="s">
        <v>1813</v>
      </c>
      <c r="B10" s="2216"/>
      <c r="C10" s="2216"/>
      <c r="D10" s="2216"/>
      <c r="E10" s="2218"/>
      <c r="F10" s="783" t="s">
        <v>862</v>
      </c>
      <c r="G10" s="782"/>
      <c r="H10" s="784"/>
      <c r="I10" s="764"/>
      <c r="J10" s="765"/>
      <c r="K10" s="765"/>
    </row>
    <row r="11" spans="1:11" x14ac:dyDescent="0.2">
      <c r="A11" s="2215" t="s">
        <v>160</v>
      </c>
      <c r="B11" s="2216"/>
      <c r="C11" s="2216"/>
      <c r="D11" s="2216"/>
      <c r="E11" s="2217"/>
      <c r="F11" s="770" t="s">
        <v>852</v>
      </c>
      <c r="G11" s="771"/>
      <c r="H11" s="764"/>
      <c r="I11" s="764"/>
      <c r="J11" s="765"/>
      <c r="K11" s="773"/>
    </row>
    <row r="12" spans="1:11" ht="13.5" thickBot="1" x14ac:dyDescent="0.25">
      <c r="A12" s="2242" t="s">
        <v>905</v>
      </c>
      <c r="B12" s="2243"/>
      <c r="C12" s="2243"/>
      <c r="D12" s="2243"/>
      <c r="E12" s="2244"/>
      <c r="F12" s="1757"/>
      <c r="G12" s="1758">
        <f>SUM(G5:G11)</f>
        <v>0</v>
      </c>
      <c r="H12" s="1758">
        <f>SUM(H5:H11)</f>
        <v>35980</v>
      </c>
      <c r="I12" s="1758">
        <f>SUM(I5:I11)</f>
        <v>0</v>
      </c>
      <c r="J12" s="1758">
        <f>SUM(J5:J11)</f>
        <v>0</v>
      </c>
      <c r="K12" s="1758">
        <f>SUM(K5:K11)</f>
        <v>0</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v>35980</v>
      </c>
      <c r="I14" s="771"/>
      <c r="J14" s="773"/>
      <c r="K14" s="765"/>
    </row>
    <row r="15" spans="1:11" x14ac:dyDescent="0.2">
      <c r="A15" s="2216" t="s">
        <v>4</v>
      </c>
      <c r="B15" s="2216"/>
      <c r="C15" s="2216"/>
      <c r="D15" s="2216"/>
      <c r="E15" s="2217"/>
      <c r="F15" s="789" t="s">
        <v>855</v>
      </c>
      <c r="G15" s="771"/>
      <c r="H15" s="764"/>
      <c r="I15" s="764"/>
      <c r="J15" s="765"/>
      <c r="K15" s="765"/>
    </row>
    <row r="16" spans="1:11" x14ac:dyDescent="0.2">
      <c r="A16" s="2216" t="s">
        <v>298</v>
      </c>
      <c r="B16" s="2216"/>
      <c r="C16" s="2216"/>
      <c r="D16" s="2216"/>
      <c r="E16" s="2217"/>
      <c r="F16" s="789" t="s">
        <v>923</v>
      </c>
      <c r="G16" s="772"/>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24" t="s">
        <v>1809</v>
      </c>
      <c r="B19" s="2224"/>
      <c r="C19" s="2224"/>
      <c r="D19" s="2224"/>
      <c r="E19" s="2225"/>
      <c r="F19" s="789" t="s">
        <v>933</v>
      </c>
      <c r="G19" s="782"/>
      <c r="H19" s="782"/>
      <c r="I19" s="782"/>
      <c r="J19" s="765"/>
      <c r="K19" s="795"/>
    </row>
    <row r="20" spans="1:11" x14ac:dyDescent="0.2">
      <c r="A20" s="2226" t="s">
        <v>1814</v>
      </c>
      <c r="B20" s="2227"/>
      <c r="C20" s="2227"/>
      <c r="D20" s="2227"/>
      <c r="E20" s="2228"/>
      <c r="F20" s="789" t="s">
        <v>934</v>
      </c>
      <c r="G20" s="782"/>
      <c r="H20" s="782"/>
      <c r="I20" s="782"/>
      <c r="J20" s="765"/>
      <c r="K20" s="795"/>
    </row>
    <row r="21" spans="1:11" ht="13.5" thickBot="1" x14ac:dyDescent="0.25">
      <c r="A21" s="2245" t="s">
        <v>638</v>
      </c>
      <c r="B21" s="2245"/>
      <c r="C21" s="2245"/>
      <c r="D21" s="2245"/>
      <c r="E21" s="2245"/>
      <c r="F21" s="1759"/>
      <c r="G21" s="792"/>
      <c r="H21" s="796"/>
      <c r="I21" s="796"/>
      <c r="J21" s="1760">
        <f>SUM(J18:J20)</f>
        <v>0</v>
      </c>
      <c r="K21" s="793"/>
    </row>
    <row r="22" spans="1:11" ht="13.5" thickTop="1" x14ac:dyDescent="0.2">
      <c r="A22" s="2216" t="s">
        <v>1815</v>
      </c>
      <c r="B22" s="2216"/>
      <c r="C22" s="2216"/>
      <c r="D22" s="2216"/>
      <c r="E22" s="2217"/>
      <c r="F22" s="789" t="s">
        <v>862</v>
      </c>
      <c r="G22" s="782"/>
      <c r="H22" s="764"/>
      <c r="I22" s="764"/>
      <c r="J22" s="797"/>
      <c r="K22" s="765"/>
    </row>
    <row r="23" spans="1:11" ht="13.5" thickBot="1" x14ac:dyDescent="0.25">
      <c r="A23" s="2246" t="s">
        <v>906</v>
      </c>
      <c r="B23" s="2245"/>
      <c r="C23" s="2245"/>
      <c r="D23" s="2245"/>
      <c r="E23" s="2245"/>
      <c r="F23" s="1761"/>
      <c r="G23" s="1758">
        <f>SUM(G14:G16,G21,G22)</f>
        <v>0</v>
      </c>
      <c r="H23" s="1758">
        <f>SUM(H14:H16,H21,H22)</f>
        <v>35980</v>
      </c>
      <c r="I23" s="1758">
        <f>SUM(I14:I16,I21,I22)</f>
        <v>0</v>
      </c>
      <c r="J23" s="1758">
        <f>SUM(J14:J16,J21,J22)</f>
        <v>0</v>
      </c>
      <c r="K23" s="1758">
        <f>SUM(K14:K16,K21,K22)</f>
        <v>0</v>
      </c>
    </row>
    <row r="24" spans="1:11" ht="14.25" thickTop="1" thickBot="1" x14ac:dyDescent="0.25">
      <c r="A24" s="2246" t="s">
        <v>1965</v>
      </c>
      <c r="B24" s="2245"/>
      <c r="C24" s="2245"/>
      <c r="D24" s="2245"/>
      <c r="E24" s="2245"/>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9"/>
      <c r="I31" s="2220"/>
      <c r="J31" s="2220"/>
      <c r="K31" s="2220"/>
    </row>
    <row r="32" spans="1:11" x14ac:dyDescent="0.2">
      <c r="A32" s="809"/>
      <c r="B32" s="237"/>
      <c r="C32" s="237"/>
      <c r="D32" s="237"/>
      <c r="E32" s="805"/>
      <c r="F32" s="811" t="s">
        <v>540</v>
      </c>
      <c r="G32" s="764"/>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13" sqref="A13:H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1909</v>
      </c>
      <c r="B1" s="2252"/>
      <c r="C1" s="2253"/>
      <c r="D1" s="826"/>
      <c r="E1" s="827"/>
      <c r="F1" s="827"/>
      <c r="G1" s="828"/>
      <c r="H1" s="829"/>
      <c r="I1" s="830"/>
      <c r="J1" s="2249"/>
      <c r="K1" s="2250"/>
      <c r="L1" s="2250"/>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393889</v>
      </c>
      <c r="D5" s="841"/>
      <c r="E5" s="841"/>
      <c r="F5" s="1760">
        <f>(C5+D5)-E5</f>
        <v>393889</v>
      </c>
      <c r="G5" s="837"/>
      <c r="H5" s="842"/>
      <c r="I5" s="842"/>
      <c r="J5" s="842"/>
      <c r="K5" s="793"/>
      <c r="L5" s="1769">
        <f>F5-K5</f>
        <v>393889</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27568827</v>
      </c>
      <c r="D8" s="844"/>
      <c r="E8" s="844"/>
      <c r="F8" s="1760">
        <f>(C8+D8)-E8</f>
        <v>27568827</v>
      </c>
      <c r="G8" s="843">
        <v>50</v>
      </c>
      <c r="H8" s="765">
        <v>9980095</v>
      </c>
      <c r="I8" s="765">
        <v>315768</v>
      </c>
      <c r="J8" s="765"/>
      <c r="K8" s="1769">
        <f>(H8+I8)-J8</f>
        <v>10295863</v>
      </c>
      <c r="L8" s="1769">
        <f>F8-K8</f>
        <v>17272964</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1702080</v>
      </c>
      <c r="D10" s="846"/>
      <c r="E10" s="846"/>
      <c r="F10" s="1764">
        <f>(C10+D10)-E10</f>
        <v>1702080</v>
      </c>
      <c r="G10" s="843">
        <v>20</v>
      </c>
      <c r="H10" s="847">
        <v>1126070</v>
      </c>
      <c r="I10" s="847">
        <v>20189</v>
      </c>
      <c r="J10" s="847"/>
      <c r="K10" s="1769">
        <f>(H10+I10)-J10</f>
        <v>1146259</v>
      </c>
      <c r="L10" s="1769">
        <f>F10-K10</f>
        <v>555821</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1038643</v>
      </c>
      <c r="D12" s="844">
        <v>27102</v>
      </c>
      <c r="E12" s="844">
        <v>44601</v>
      </c>
      <c r="F12" s="1760">
        <f>(C12+D12)-E12</f>
        <v>1021144</v>
      </c>
      <c r="G12" s="843">
        <v>10</v>
      </c>
      <c r="H12" s="765">
        <v>831937</v>
      </c>
      <c r="I12" s="765">
        <v>78567</v>
      </c>
      <c r="J12" s="765">
        <v>44601</v>
      </c>
      <c r="K12" s="1769">
        <f>(H12+I12)-J12</f>
        <v>865903</v>
      </c>
      <c r="L12" s="1769">
        <f>F12-K12</f>
        <v>155241</v>
      </c>
    </row>
    <row r="13" spans="1:14" ht="14.25" thickTop="1" thickBot="1" x14ac:dyDescent="0.25">
      <c r="A13" s="848" t="s">
        <v>1122</v>
      </c>
      <c r="B13" s="840">
        <v>252</v>
      </c>
      <c r="C13" s="844">
        <v>124089</v>
      </c>
      <c r="D13" s="844"/>
      <c r="E13" s="844"/>
      <c r="F13" s="1760">
        <f>(C13+D13)-E13</f>
        <v>124089</v>
      </c>
      <c r="G13" s="843">
        <v>5</v>
      </c>
      <c r="H13" s="765">
        <v>113299</v>
      </c>
      <c r="I13" s="765">
        <v>6481</v>
      </c>
      <c r="J13" s="765"/>
      <c r="K13" s="1769">
        <f>(H13+I13)-J13</f>
        <v>119780</v>
      </c>
      <c r="L13" s="1769">
        <f>F13-K13</f>
        <v>4309</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30827528</v>
      </c>
      <c r="D16" s="1760">
        <f>SUM(D3,D5:D6,D8:D10,D12:D15)</f>
        <v>27102</v>
      </c>
      <c r="E16" s="1760">
        <f>SUM(E3,E5:E6,E8:E10,E12:E15)</f>
        <v>44601</v>
      </c>
      <c r="F16" s="1760">
        <f>SUM(F3,F5:F6,F8:F10,F12:F15)</f>
        <v>30810029</v>
      </c>
      <c r="G16" s="843"/>
      <c r="H16" s="1760">
        <f>SUM(H3,H6,H8:H10,H12:H14,)</f>
        <v>12051401</v>
      </c>
      <c r="I16" s="1760">
        <f>SUM(I3,I6,I8:I10,I12:I14,)</f>
        <v>421005</v>
      </c>
      <c r="J16" s="1760">
        <f>SUM(J3,J6,J8:J10,J12:J14,)</f>
        <v>44601</v>
      </c>
      <c r="K16" s="1760">
        <f>(H16+I16)-J16</f>
        <v>12427805</v>
      </c>
      <c r="L16" s="1760">
        <f>F16-K16</f>
        <v>18382224</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60372</v>
      </c>
      <c r="G17" s="837">
        <v>10</v>
      </c>
      <c r="H17" s="769"/>
      <c r="I17" s="1769">
        <f>F17/G17</f>
        <v>6037.2</v>
      </c>
      <c r="J17" s="769"/>
      <c r="K17" s="795"/>
      <c r="L17" s="795"/>
    </row>
    <row r="18" spans="1:12" ht="14.25" thickTop="1" thickBot="1" x14ac:dyDescent="0.25">
      <c r="A18" s="1767" t="s">
        <v>685</v>
      </c>
      <c r="B18" s="1768"/>
      <c r="C18" s="771"/>
      <c r="D18" s="771"/>
      <c r="E18" s="771"/>
      <c r="F18" s="850"/>
      <c r="G18" s="851"/>
      <c r="H18" s="773"/>
      <c r="I18" s="1760">
        <f>SUM(I16,I17)</f>
        <v>427042.2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78" activePane="bottomLeft" state="frozen"/>
      <selection activeCell="A13" sqref="A13:H13"/>
      <selection pane="bottomLeft" activeCell="A13" sqref="A13:H1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1975</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5693776</v>
      </c>
      <c r="G8" s="865"/>
    </row>
    <row r="9" spans="1:7" x14ac:dyDescent="0.2">
      <c r="A9" s="869" t="s">
        <v>460</v>
      </c>
      <c r="B9" s="870" t="s">
        <v>1877</v>
      </c>
      <c r="C9" s="871"/>
      <c r="D9" s="869" t="s">
        <v>501</v>
      </c>
      <c r="E9" s="868"/>
      <c r="F9" s="1909">
        <f>'Expenditures 15-22'!K151</f>
        <v>1527547</v>
      </c>
      <c r="G9" s="872"/>
    </row>
    <row r="10" spans="1:7" x14ac:dyDescent="0.2">
      <c r="A10" s="869" t="s">
        <v>499</v>
      </c>
      <c r="B10" s="870" t="s">
        <v>1878</v>
      </c>
      <c r="C10" s="871"/>
      <c r="D10" s="869" t="s">
        <v>501</v>
      </c>
      <c r="E10" s="868"/>
      <c r="F10" s="1909">
        <f>'Expenditures 15-22'!K174</f>
        <v>1837673</v>
      </c>
      <c r="G10" s="872"/>
    </row>
    <row r="11" spans="1:7" x14ac:dyDescent="0.2">
      <c r="A11" s="869" t="s">
        <v>461</v>
      </c>
      <c r="B11" s="870" t="s">
        <v>1879</v>
      </c>
      <c r="C11" s="871"/>
      <c r="D11" s="869" t="s">
        <v>501</v>
      </c>
      <c r="E11" s="868"/>
      <c r="F11" s="1909">
        <f>'Expenditures 15-22'!K210</f>
        <v>377094</v>
      </c>
      <c r="G11" s="872"/>
    </row>
    <row r="12" spans="1:7" x14ac:dyDescent="0.2">
      <c r="A12" s="869" t="s">
        <v>462</v>
      </c>
      <c r="B12" s="870" t="s">
        <v>1880</v>
      </c>
      <c r="C12" s="871"/>
      <c r="D12" s="869" t="s">
        <v>501</v>
      </c>
      <c r="E12" s="868"/>
      <c r="F12" s="1909">
        <f>'Expenditures 15-22'!K295</f>
        <v>216528</v>
      </c>
      <c r="G12" s="872"/>
    </row>
    <row r="13" spans="1:7" x14ac:dyDescent="0.2">
      <c r="A13" s="869" t="s">
        <v>106</v>
      </c>
      <c r="B13" s="870" t="s">
        <v>1881</v>
      </c>
      <c r="C13" s="871"/>
      <c r="D13" s="869" t="s">
        <v>501</v>
      </c>
      <c r="E13" s="868"/>
      <c r="F13" s="1909">
        <f>'Expenditures 15-22'!K342</f>
        <v>289908</v>
      </c>
      <c r="G13" s="873"/>
    </row>
    <row r="14" spans="1:7" ht="12" customHeight="1" thickBot="1" x14ac:dyDescent="0.25">
      <c r="A14" s="1770"/>
      <c r="B14" s="1771"/>
      <c r="C14" s="1772"/>
      <c r="D14" s="1773" t="s">
        <v>501</v>
      </c>
      <c r="E14" s="1774" t="s">
        <v>958</v>
      </c>
      <c r="F14" s="1775">
        <f>SUM(F8:F13)</f>
        <v>9942526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68479</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2963</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76936</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110363</v>
      </c>
      <c r="G52" s="865"/>
    </row>
    <row r="53" spans="1:7" x14ac:dyDescent="0.2">
      <c r="A53" s="869" t="s">
        <v>459</v>
      </c>
      <c r="B53" s="869" t="s">
        <v>1475</v>
      </c>
      <c r="C53" s="889">
        <f>'Expenditures 15-22'!B102</f>
        <v>4000</v>
      </c>
      <c r="D53" s="888" t="str">
        <f>'Expenditures 15-22'!A102</f>
        <v>Total Payments to Other Govt Units</v>
      </c>
      <c r="E53" s="868"/>
      <c r="F53" s="1913">
        <f>'Expenditures 15-22'!K102</f>
        <v>221686</v>
      </c>
      <c r="G53" s="865"/>
    </row>
    <row r="54" spans="1:7" x14ac:dyDescent="0.2">
      <c r="A54" s="869" t="s">
        <v>459</v>
      </c>
      <c r="B54" s="869" t="s">
        <v>1476</v>
      </c>
      <c r="C54" s="889" t="s">
        <v>982</v>
      </c>
      <c r="D54" s="885" t="s">
        <v>1095</v>
      </c>
      <c r="E54" s="868"/>
      <c r="F54" s="1913">
        <f>'Expenditures 15-22'!G114</f>
        <v>0</v>
      </c>
      <c r="G54" s="865"/>
    </row>
    <row r="55" spans="1:7" x14ac:dyDescent="0.2">
      <c r="A55" s="869" t="s">
        <v>459</v>
      </c>
      <c r="B55" s="869" t="s">
        <v>1477</v>
      </c>
      <c r="C55" s="889" t="s">
        <v>982</v>
      </c>
      <c r="D55" s="885" t="s">
        <v>291</v>
      </c>
      <c r="E55" s="868"/>
      <c r="F55" s="1913">
        <f>'Expenditures 15-22'!I114</f>
        <v>56192</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27102</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1800000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8290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38</v>
      </c>
      <c r="G71" s="865"/>
    </row>
    <row r="72" spans="1:8" x14ac:dyDescent="0.2">
      <c r="A72" s="869" t="s">
        <v>462</v>
      </c>
      <c r="B72" s="869" t="s">
        <v>1896</v>
      </c>
      <c r="C72" s="886">
        <f>'Expenditures 15-22'!B280</f>
        <v>3000</v>
      </c>
      <c r="D72" s="876" t="s">
        <v>449</v>
      </c>
      <c r="E72" s="868"/>
      <c r="F72" s="1913">
        <f>'Expenditures 15-22'!K280</f>
        <v>11092</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553</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2383694</v>
      </c>
      <c r="G76" s="865"/>
    </row>
    <row r="77" spans="1:8" s="893" customFormat="1" ht="12" customHeight="1" thickTop="1" thickBot="1" x14ac:dyDescent="0.25">
      <c r="A77" s="1779"/>
      <c r="B77" s="1776"/>
      <c r="C77" s="1772"/>
      <c r="D77" s="1777" t="s">
        <v>1900</v>
      </c>
      <c r="E77" s="1774"/>
      <c r="F77" s="1780">
        <f>(F14-F76)</f>
        <v>7558832</v>
      </c>
      <c r="G77" s="869"/>
    </row>
    <row r="78" spans="1:8" s="893" customFormat="1" ht="12" customHeight="1" thickTop="1" x14ac:dyDescent="0.2">
      <c r="A78" s="1781"/>
      <c r="B78" s="1776"/>
      <c r="C78" s="1772"/>
      <c r="D78" s="1777" t="s">
        <v>2062</v>
      </c>
      <c r="E78" s="1774"/>
      <c r="F78" s="898">
        <v>720.2</v>
      </c>
      <c r="G78" s="899"/>
      <c r="H78" s="869"/>
    </row>
    <row r="79" spans="1:8" s="893" customFormat="1" ht="12" customHeight="1" thickBot="1" x14ac:dyDescent="0.25">
      <c r="A79" s="1782"/>
      <c r="B79" s="1776"/>
      <c r="C79" s="1772"/>
      <c r="D79" s="1777" t="s">
        <v>1901</v>
      </c>
      <c r="E79" s="1774" t="s">
        <v>958</v>
      </c>
      <c r="F79" s="1783">
        <f>IF(F78&gt;0,F77/F78," Complete Line 78")</f>
        <v>10495.462371563453</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136933</v>
      </c>
      <c r="G94" s="912"/>
    </row>
    <row r="95" spans="1:7" x14ac:dyDescent="0.2">
      <c r="A95" s="908" t="s">
        <v>140</v>
      </c>
      <c r="B95" s="908" t="s">
        <v>175</v>
      </c>
      <c r="C95" s="910">
        <v>1700</v>
      </c>
      <c r="D95" s="918" t="str">
        <f>'Revenues 9-14'!A82</f>
        <v>Total District/School Activity Income</v>
      </c>
      <c r="E95" s="906"/>
      <c r="F95" s="1789">
        <f>SUM('Revenues 9-14'!C82,'Revenues 9-14'!D82)</f>
        <v>156620</v>
      </c>
      <c r="G95" s="912"/>
    </row>
    <row r="96" spans="1:7" x14ac:dyDescent="0.2">
      <c r="A96" s="908" t="s">
        <v>459</v>
      </c>
      <c r="B96" s="908" t="s">
        <v>176</v>
      </c>
      <c r="C96" s="910">
        <f>'Revenues 9-14'!B84</f>
        <v>1811</v>
      </c>
      <c r="D96" s="911" t="str">
        <f>'Revenues 9-14'!A84</f>
        <v>Rentals - Regular Textbooks</v>
      </c>
      <c r="E96" s="906"/>
      <c r="F96" s="1789">
        <f>'Revenues 9-14'!C84</f>
        <v>87455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700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12139</v>
      </c>
      <c r="G103" s="912"/>
    </row>
    <row r="104" spans="1:7" x14ac:dyDescent="0.2">
      <c r="A104" s="908" t="s">
        <v>459</v>
      </c>
      <c r="B104" s="908" t="s">
        <v>808</v>
      </c>
      <c r="C104" s="910">
        <f>'Revenues 9-14'!B106</f>
        <v>1993</v>
      </c>
      <c r="D104" s="911" t="str">
        <f>'Revenues 9-14'!A106</f>
        <v>Other Local Fees (Describe &amp; Itemize)</v>
      </c>
      <c r="E104" s="906"/>
      <c r="F104" s="1789">
        <f>('Revenues 9-14'!C106)</f>
        <v>115885</v>
      </c>
      <c r="G104" s="912"/>
    </row>
    <row r="105" spans="1:7" x14ac:dyDescent="0.2">
      <c r="A105" s="908" t="s">
        <v>503</v>
      </c>
      <c r="B105" s="908" t="s">
        <v>2003</v>
      </c>
      <c r="C105" s="913">
        <v>3100</v>
      </c>
      <c r="D105" s="919" t="str">
        <f>'Revenues 9-14'!A132</f>
        <v>Total Special Education</v>
      </c>
      <c r="E105" s="906"/>
      <c r="F105" s="1789">
        <f>SUM('Revenues 9-14'!C132:D132,'Revenues 9-14'!F132)</f>
        <v>28312</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1472</v>
      </c>
      <c r="G107" s="912"/>
    </row>
    <row r="108" spans="1:7" x14ac:dyDescent="0.2">
      <c r="A108" s="908" t="s">
        <v>459</v>
      </c>
      <c r="B108" s="908" t="s">
        <v>2006</v>
      </c>
      <c r="C108" s="920">
        <f>'Revenues 9-14'!B146</f>
        <v>3360</v>
      </c>
      <c r="D108" s="911" t="str">
        <f>'Revenues 9-14'!A146</f>
        <v>State Free Lunch &amp; Breakfast</v>
      </c>
      <c r="E108" s="906"/>
      <c r="F108" s="1789">
        <f>'Revenues 9-14'!C146</f>
        <v>892</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142623</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542841</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66765</v>
      </c>
      <c r="G125" s="930"/>
    </row>
    <row r="126" spans="1:7" x14ac:dyDescent="0.2">
      <c r="A126" s="927" t="s">
        <v>668</v>
      </c>
      <c r="B126" s="927" t="s">
        <v>2024</v>
      </c>
      <c r="C126" s="932">
        <v>4300</v>
      </c>
      <c r="D126" s="933" t="str">
        <f>'Revenues 9-14'!A204</f>
        <v>Total Title I</v>
      </c>
      <c r="E126" s="906"/>
      <c r="F126" s="1789">
        <f>SUM('Revenues 9-14'!C204,'Revenues 9-14'!D204,'Revenues 9-14'!F204,'Revenues 9-14'!G204)</f>
        <v>93004</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14153</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148737</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1034</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6979</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24449</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211987</v>
      </c>
      <c r="G171" s="927"/>
    </row>
    <row r="172" spans="1:7" x14ac:dyDescent="0.2">
      <c r="A172" s="1918" t="s">
        <v>664</v>
      </c>
      <c r="B172" s="1919" t="s">
        <v>1920</v>
      </c>
      <c r="C172" s="1920">
        <v>3300</v>
      </c>
      <c r="D172" s="1921" t="s">
        <v>1923</v>
      </c>
      <c r="E172" s="906"/>
      <c r="F172" s="1906">
        <v>103</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1793083</v>
      </c>
    </row>
    <row r="175" spans="1:7" ht="12" customHeight="1" x14ac:dyDescent="0.2">
      <c r="A175" s="1770"/>
      <c r="B175" s="1784"/>
      <c r="C175" s="1785"/>
      <c r="D175" s="1786" t="s">
        <v>2057</v>
      </c>
      <c r="E175" s="1787"/>
      <c r="F175" s="1789">
        <f>'PCTC-OEPP 27-28'!F77-F174</f>
        <v>5765749</v>
      </c>
    </row>
    <row r="176" spans="1:7" ht="12" customHeight="1" x14ac:dyDescent="0.2">
      <c r="A176" s="1770"/>
      <c r="B176" s="1784"/>
      <c r="C176" s="1785"/>
      <c r="D176" s="1786" t="s">
        <v>1817</v>
      </c>
      <c r="E176" s="1787"/>
      <c r="F176" s="1789">
        <f>'Cap Outlay Deprec 26'!I18</f>
        <v>427042.2</v>
      </c>
    </row>
    <row r="177" spans="1:7" ht="12" customHeight="1" x14ac:dyDescent="0.2">
      <c r="A177" s="1770"/>
      <c r="B177" s="1784"/>
      <c r="C177" s="1785"/>
      <c r="D177" s="1786" t="s">
        <v>2058</v>
      </c>
      <c r="E177" s="1787"/>
      <c r="F177" s="1789">
        <f>F175+F176</f>
        <v>6192791.2000000002</v>
      </c>
    </row>
    <row r="178" spans="1:7" ht="12" customHeight="1" x14ac:dyDescent="0.2">
      <c r="A178" s="1770"/>
      <c r="B178" s="1790"/>
      <c r="C178" s="1785"/>
      <c r="D178" s="1786" t="str">
        <f>D78</f>
        <v>9 Month ADA from District Average Daily Attendance/Prior General State Aid Inquiry 2018-2019</v>
      </c>
      <c r="E178" s="1787"/>
      <c r="F178" s="1791">
        <f>'PCTC-OEPP 27-28'!F78</f>
        <v>720.2</v>
      </c>
      <c r="G178" s="930"/>
    </row>
    <row r="179" spans="1:7" ht="12" customHeight="1" thickBot="1" x14ac:dyDescent="0.25">
      <c r="A179" s="1770"/>
      <c r="B179" s="1790"/>
      <c r="C179" s="1785"/>
      <c r="D179" s="1786" t="s">
        <v>2059</v>
      </c>
      <c r="E179" s="1787" t="s">
        <v>1545</v>
      </c>
      <c r="F179" s="1792">
        <f>F177/F178</f>
        <v>8598.7103582338241</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3" sqref="A13:H13"/>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534" t="s">
        <v>1819</v>
      </c>
      <c r="B6" s="1535"/>
      <c r="C6" s="1535"/>
      <c r="D6" s="1535"/>
      <c r="E6" s="1535"/>
      <c r="F6" s="1535"/>
      <c r="G6" s="1536"/>
    </row>
    <row r="7" spans="1:7" ht="30.75" customHeight="1" x14ac:dyDescent="0.25">
      <c r="A7" s="2274" t="s">
        <v>1932</v>
      </c>
      <c r="B7" s="2275"/>
      <c r="C7" s="2275"/>
      <c r="D7" s="2275"/>
      <c r="E7" s="2275"/>
      <c r="F7" s="2275"/>
      <c r="G7" s="2276"/>
    </row>
    <row r="8" spans="1:7" ht="15.75" customHeight="1" x14ac:dyDescent="0.25">
      <c r="A8" s="2277" t="s">
        <v>1907</v>
      </c>
      <c r="B8" s="2278"/>
      <c r="C8" s="2278"/>
      <c r="D8" s="2278"/>
      <c r="E8" s="2278"/>
      <c r="F8" s="2278"/>
      <c r="G8" s="2279"/>
    </row>
    <row r="9" spans="1:7" ht="35.25" customHeight="1" x14ac:dyDescent="0.25">
      <c r="A9" s="2274" t="s">
        <v>1935</v>
      </c>
      <c r="B9" s="2275"/>
      <c r="C9" s="2275"/>
      <c r="D9" s="2275"/>
      <c r="E9" s="2275"/>
      <c r="F9" s="2275"/>
      <c r="G9" s="2276"/>
    </row>
    <row r="10" spans="1:7" ht="15" customHeight="1" x14ac:dyDescent="0.25">
      <c r="A10" s="1537" t="s">
        <v>1820</v>
      </c>
      <c r="B10" s="1538"/>
      <c r="C10" s="1538"/>
      <c r="D10" s="1538"/>
      <c r="E10" s="1538"/>
      <c r="F10" s="1538"/>
      <c r="G10" s="1539"/>
    </row>
    <row r="11" spans="1:7" ht="17.25" customHeight="1" x14ac:dyDescent="0.25">
      <c r="A11" s="2274" t="s">
        <v>1934</v>
      </c>
      <c r="B11" s="2275"/>
      <c r="C11" s="2275"/>
      <c r="D11" s="2275"/>
      <c r="E11" s="2275"/>
      <c r="F11" s="2275"/>
      <c r="G11" s="2276"/>
    </row>
    <row r="12" spans="1:7" ht="15" customHeight="1" x14ac:dyDescent="0.25">
      <c r="A12" s="1537" t="s">
        <v>1825</v>
      </c>
      <c r="B12" s="1538"/>
      <c r="C12" s="1538"/>
      <c r="D12" s="1538"/>
      <c r="E12" s="1538"/>
      <c r="F12" s="1538"/>
      <c r="G12" s="1539"/>
    </row>
    <row r="13" spans="1:7" ht="32.25" customHeight="1" x14ac:dyDescent="0.25">
      <c r="A13" s="2265" t="s">
        <v>1976</v>
      </c>
      <c r="B13" s="2266"/>
      <c r="C13" s="2266"/>
      <c r="D13" s="2266"/>
      <c r="E13" s="2266"/>
      <c r="F13" s="2266"/>
      <c r="G13" s="2267"/>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2083</v>
      </c>
      <c r="B17" s="1934" t="s">
        <v>2084</v>
      </c>
      <c r="C17" s="1938" t="s">
        <v>2085</v>
      </c>
      <c r="D17" s="1844">
        <v>171690</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146690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171690</v>
      </c>
      <c r="E141" s="1541">
        <f t="shared" si="0"/>
        <v>25000</v>
      </c>
      <c r="F141" s="1933">
        <f>SUM(F17:F140)</f>
        <v>25000</v>
      </c>
      <c r="G141" s="1795">
        <f>SUM(G17:G140)</f>
        <v>146690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A13" sqref="A13:H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82215</v>
      </c>
      <c r="F10" s="974"/>
      <c r="G10" s="975"/>
      <c r="H10" s="162"/>
      <c r="I10" s="162"/>
    </row>
    <row r="11" spans="1:9" s="668" customFormat="1" ht="22.5" customHeight="1" x14ac:dyDescent="0.2">
      <c r="A11" s="2285" t="s">
        <v>1977</v>
      </c>
      <c r="B11" s="2286"/>
      <c r="C11" s="2286"/>
      <c r="D11" s="2287"/>
      <c r="E11" s="977">
        <v>15450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4175698</v>
      </c>
      <c r="F19" s="1799"/>
      <c r="G19" s="1801">
        <f>'Expenditures 15-22'!K33-SUM('Expenditures 15-22'!G33,'Expenditures 15-22'!I33)+'Expenditures 15-22'!D229</f>
        <v>4175698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300119</v>
      </c>
      <c r="F21" s="1802"/>
      <c r="G21" s="1805">
        <f>'Expenditures 15-22'!K42-SUM('Expenditures 15-22'!G42,'Expenditures 15-22'!I42)+'Expenditures 15-22'!K120-SUM('Expenditures 15-22'!G120,'Expenditures 15-22'!I120)+'Expenditures 15-22'!K180-SUM('Expenditures 15-22'!G180,'Expenditures 15-22'!I180)+'Expenditures 15-22'!D238</f>
        <v>300119</v>
      </c>
      <c r="H21" s="987"/>
      <c r="I21" s="162"/>
    </row>
    <row r="22" spans="1:9" s="668" customFormat="1" ht="12" customHeight="1" x14ac:dyDescent="0.2">
      <c r="A22" s="994" t="s">
        <v>564</v>
      </c>
      <c r="B22" s="995"/>
      <c r="C22" s="993">
        <v>2200</v>
      </c>
      <c r="D22" s="1802"/>
      <c r="E22" s="1804">
        <f>'Expenditures 15-22'!K47-SUM('Expenditures 15-22'!G47,'Expenditures 15-22'!I47)+'Expenditures 15-22'!D243</f>
        <v>49696</v>
      </c>
      <c r="F22" s="1802"/>
      <c r="G22" s="1805">
        <f>'Expenditures 15-22'!K47-SUM('Expenditures 15-22'!G47,'Expenditures 15-22'!I47)+'Expenditures 15-22'!D243</f>
        <v>49696</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536608</v>
      </c>
      <c r="F23" s="1802"/>
      <c r="G23" s="1804">
        <f>'Expenditures 15-22'!K53-SUM('Expenditures 15-22'!G53,'Expenditures 15-22'!I53)+'Expenditures 15-22'!D257+'Expenditures 15-22'!K330-SUM('Expenditures 15-22'!G330,'Expenditures 15-22'!I330)</f>
        <v>536608</v>
      </c>
      <c r="H23" s="987"/>
      <c r="I23" s="162"/>
    </row>
    <row r="24" spans="1:9" s="668" customFormat="1" ht="12" customHeight="1" x14ac:dyDescent="0.2">
      <c r="A24" s="994" t="s">
        <v>566</v>
      </c>
      <c r="B24" s="995"/>
      <c r="C24" s="993">
        <v>2400</v>
      </c>
      <c r="D24" s="1802"/>
      <c r="E24" s="1804">
        <f>'Expenditures 15-22'!K57-SUM('Expenditures 15-22'!G57,'Expenditures 15-22'!I57)+'Expenditures 15-22'!D261</f>
        <v>466278</v>
      </c>
      <c r="F24" s="1802"/>
      <c r="G24" s="1805">
        <f>'Expenditures 15-22'!K57-SUM('Expenditures 15-22'!G57,'Expenditures 15-22'!I57)+'Expenditures 15-22'!D261</f>
        <v>466278</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39139</v>
      </c>
      <c r="E27" s="1804">
        <f>E8</f>
        <v>0</v>
      </c>
      <c r="F27" s="1804">
        <f>'Expenditures 15-22'!K60-SUM('Expenditures 15-22'!G60,'Expenditures 15-22'!I60)+'Expenditures 15-22'!D264-E8</f>
        <v>39139</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1555634</v>
      </c>
      <c r="F28" s="1806">
        <f>'Expenditures 15-22'!K61-SUM('Expenditures 15-22'!G61,'Expenditures 15-22'!I61)+'Expenditures 15-22'!K124-SUM('Expenditures 15-22'!G124,'Expenditures 15-22'!I124)+'Expenditures 15-22'!D266-E9</f>
        <v>1555634</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377094</v>
      </c>
      <c r="F29" s="1802"/>
      <c r="G29" s="1805">
        <f>'Expenditures 15-22'!K62-SUM('Expenditures 15-22'!G62,'Expenditures 15-22'!I62)+'Expenditures 15-22'!K125-SUM('Expenditures 15-22'!G125,'Expenditures 15-22'!I125)+'Expenditures 15-22'!K182-SUM('Expenditures 15-22'!G182,'Expenditures 15-22'!I182)+'Expenditures 15-22'!D267</f>
        <v>377094</v>
      </c>
      <c r="H29" s="985"/>
    </row>
    <row r="30" spans="1:9" ht="12" customHeight="1" x14ac:dyDescent="0.2">
      <c r="A30" s="994" t="s">
        <v>100</v>
      </c>
      <c r="B30" s="997"/>
      <c r="C30" s="993">
        <v>2560</v>
      </c>
      <c r="D30" s="1802"/>
      <c r="E30" s="1804">
        <f>'Expenditures 15-22'!K63-SUM('Expenditures 15-22'!G63,'Expenditures 15-22'!I63)+'Expenditures 15-22'!D268-E10</f>
        <v>91204</v>
      </c>
      <c r="F30" s="1802"/>
      <c r="G30" s="1804">
        <f>'Expenditures 15-22'!K63-SUM('Expenditures 15-22'!G63,'Expenditures 15-22'!I63)+'Expenditures 15-22'!D268-E10</f>
        <v>91204</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121455</v>
      </c>
      <c r="F39" s="1802"/>
      <c r="G39" s="1804">
        <f>'Expenditures 15-22'!K75-SUM('Expenditures 15-22'!G75,'Expenditures 15-22'!I75)+'Expenditures 15-22'!K130-SUM('Expenditures 15-22'!G130,'Expenditures 15-22'!I130)+'Expenditures 15-22'!K185-SUM('Expenditures 15-22'!G185,'Expenditures 15-22'!I185)+'Expenditures 15-22'!D280</f>
        <v>121455</v>
      </c>
    </row>
    <row r="40" spans="1:7" ht="12" customHeight="1" x14ac:dyDescent="0.2">
      <c r="A40" s="990" t="s">
        <v>1823</v>
      </c>
      <c r="B40" s="991"/>
      <c r="C40" s="993"/>
      <c r="D40" s="1802"/>
      <c r="E40" s="1806">
        <f>-'Contracts Paid in CY 29'!G141</f>
        <v>-146690</v>
      </c>
      <c r="F40" s="1802"/>
      <c r="G40" s="1806">
        <f>-'Contracts Paid in CY 29'!G141</f>
        <v>-146690</v>
      </c>
    </row>
    <row r="41" spans="1:7" ht="12" customHeight="1" x14ac:dyDescent="0.2">
      <c r="A41" s="998" t="s">
        <v>156</v>
      </c>
      <c r="B41" s="999"/>
      <c r="C41" s="1000"/>
      <c r="D41" s="1806">
        <f>SUM(D19:D39)</f>
        <v>39139</v>
      </c>
      <c r="E41" s="1806">
        <f>SUM(E19:E40)</f>
        <v>7527096</v>
      </c>
      <c r="F41" s="1806">
        <f>SUM(F19:F39)</f>
        <v>1594773</v>
      </c>
      <c r="G41" s="1806">
        <f>SUM(G19:G40)</f>
        <v>5971462</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39139</v>
      </c>
      <c r="F43" s="1807" t="s">
        <v>473</v>
      </c>
      <c r="G43" s="1808">
        <f>F41</f>
        <v>1594773</v>
      </c>
    </row>
    <row r="44" spans="1:7" ht="12" customHeight="1" x14ac:dyDescent="0.2">
      <c r="A44" s="987"/>
      <c r="B44" s="162"/>
      <c r="C44" s="1001"/>
      <c r="D44" s="1807" t="s">
        <v>474</v>
      </c>
      <c r="E44" s="1808">
        <f>E41</f>
        <v>7527096</v>
      </c>
      <c r="F44" s="1807" t="s">
        <v>474</v>
      </c>
      <c r="G44" s="1808">
        <f>G41</f>
        <v>5971462</v>
      </c>
    </row>
    <row r="45" spans="1:7" ht="12" customHeight="1" x14ac:dyDescent="0.2">
      <c r="A45" s="987"/>
      <c r="B45" s="162"/>
      <c r="C45" s="162"/>
      <c r="D45" s="1809" t="s">
        <v>1006</v>
      </c>
      <c r="E45" s="1810">
        <f>(E43/E44)</f>
        <v>5.1997476848973361E-3</v>
      </c>
      <c r="F45" s="1809" t="s">
        <v>1006</v>
      </c>
      <c r="G45" s="1810">
        <f>(G43/G44)</f>
        <v>0.26706575374673741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13" sqref="A13:H13"/>
      <selection pane="bottomLeft" activeCell="A13" sqref="A13:H13"/>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2" t="s">
        <v>1379</v>
      </c>
      <c r="B1" s="2302"/>
      <c r="C1" s="2302"/>
      <c r="D1" s="2302"/>
      <c r="E1" s="2302"/>
      <c r="F1" s="2302"/>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3" t="s">
        <v>1546</v>
      </c>
      <c r="B5" s="2304"/>
      <c r="C5" s="2305"/>
      <c r="D5" s="2305"/>
      <c r="E5" s="2305"/>
      <c r="F5" s="2305"/>
    </row>
    <row r="6" spans="1:10" ht="12" customHeight="1" x14ac:dyDescent="0.25">
      <c r="A6" s="1850"/>
      <c r="B6" s="1851"/>
      <c r="C6" s="2306" t="str">
        <f>COVER!A17</f>
        <v>Wolf Branch SD 113</v>
      </c>
      <c r="D6" s="2306"/>
      <c r="E6" s="2306"/>
      <c r="F6" s="1852"/>
    </row>
    <row r="7" spans="1:10" ht="11.25" customHeight="1" thickBot="1" x14ac:dyDescent="0.3">
      <c r="A7" s="1850"/>
      <c r="B7" s="1851"/>
      <c r="C7" s="2307">
        <f>COVER!A13</f>
        <v>50082113002</v>
      </c>
      <c r="D7" s="2307"/>
      <c r="E7" s="2307"/>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c r="F26" s="1867" t="s">
        <v>2086</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2073</v>
      </c>
      <c r="D30" s="1865" t="s">
        <v>2073</v>
      </c>
      <c r="E30" s="1868"/>
      <c r="F30" s="1867" t="s">
        <v>2087</v>
      </c>
      <c r="H30" s="1878">
        <f t="shared" si="0"/>
        <v>5</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0</v>
      </c>
      <c r="K34" s="1878">
        <f>SUM(H34:J34)</f>
        <v>20</v>
      </c>
    </row>
    <row r="35" spans="1:11" ht="12" customHeight="1" x14ac:dyDescent="0.2">
      <c r="A35" s="1871" t="s">
        <v>1392</v>
      </c>
      <c r="B35" s="1872"/>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3"/>
      <c r="B39" s="1873"/>
      <c r="C39" s="1873"/>
      <c r="D39" s="1873"/>
      <c r="E39" s="1873"/>
      <c r="F39" s="1873"/>
    </row>
    <row r="40" spans="1:11" s="1870" customFormat="1" ht="12" customHeight="1" x14ac:dyDescent="0.25">
      <c r="A40" s="1874" t="s">
        <v>1391</v>
      </c>
      <c r="B40" s="1875"/>
      <c r="C40" s="2297"/>
      <c r="D40" s="2297"/>
      <c r="E40" s="2297"/>
      <c r="F40" s="2298"/>
      <c r="H40" s="1879"/>
      <c r="I40" s="1879"/>
      <c r="J40" s="1879"/>
      <c r="K40" s="1879"/>
    </row>
    <row r="41" spans="1:11" s="1870" customFormat="1" ht="12" customHeight="1" x14ac:dyDescent="0.25">
      <c r="A41" s="2299"/>
      <c r="B41" s="2300"/>
      <c r="C41" s="2300"/>
      <c r="D41" s="2300"/>
      <c r="E41" s="2300"/>
      <c r="F41" s="2301"/>
      <c r="H41" s="1879"/>
      <c r="I41" s="1879"/>
      <c r="J41" s="1879"/>
      <c r="K41" s="1879"/>
    </row>
    <row r="42" spans="1:11" s="1870" customFormat="1" ht="12" customHeight="1" x14ac:dyDescent="0.25">
      <c r="A42" s="2299"/>
      <c r="B42" s="2300"/>
      <c r="C42" s="2300"/>
      <c r="D42" s="2300"/>
      <c r="E42" s="2300"/>
      <c r="F42" s="2301"/>
      <c r="H42" s="1879"/>
      <c r="I42" s="1879"/>
      <c r="J42" s="1879"/>
      <c r="K42" s="1879"/>
    </row>
    <row r="43" spans="1:11" s="1870" customFormat="1" ht="15" x14ac:dyDescent="0.25">
      <c r="A43" s="2288"/>
      <c r="B43" s="2289"/>
      <c r="C43" s="2289"/>
      <c r="D43" s="2289"/>
      <c r="E43" s="2289"/>
      <c r="F43" s="2290"/>
      <c r="H43" s="1879"/>
      <c r="I43" s="1879"/>
      <c r="J43" s="1879"/>
      <c r="K43" s="1879"/>
    </row>
    <row r="44" spans="1:11" s="1870" customFormat="1" ht="12" hidden="1" customHeight="1" x14ac:dyDescent="0.25">
      <c r="A44" s="2288"/>
      <c r="B44" s="2289"/>
      <c r="C44" s="2289"/>
      <c r="D44" s="2289"/>
      <c r="E44" s="2289"/>
      <c r="F44" s="229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8"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13" sqref="A13: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Wolf Branch SD 113</v>
      </c>
      <c r="J6" s="2316"/>
      <c r="Q6" s="1664"/>
    </row>
    <row r="7" spans="1:17" x14ac:dyDescent="0.2">
      <c r="A7" s="2317" t="s">
        <v>869</v>
      </c>
      <c r="B7" s="2318"/>
      <c r="C7" s="2318"/>
      <c r="D7" s="2318"/>
      <c r="E7" s="2319"/>
      <c r="F7" s="1017"/>
      <c r="G7" s="1009"/>
      <c r="H7" s="1016" t="s">
        <v>372</v>
      </c>
      <c r="I7" s="2320">
        <f>COVER!A13</f>
        <v>50082113002</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206066</v>
      </c>
      <c r="F12" s="1039"/>
      <c r="G12" s="1811">
        <f t="shared" ref="G12:G18" si="0">SUM(E12:F12)</f>
        <v>206066</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4" t="s">
        <v>7</v>
      </c>
      <c r="C18" s="2325"/>
      <c r="D18" s="2326"/>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206066</v>
      </c>
      <c r="F19" s="1813">
        <f t="shared" si="2"/>
        <v>0</v>
      </c>
      <c r="G19" s="1813">
        <f t="shared" si="2"/>
        <v>206066</v>
      </c>
      <c r="H19" s="1813">
        <f t="shared" si="2"/>
        <v>0</v>
      </c>
      <c r="I19" s="1813">
        <f t="shared" si="2"/>
        <v>0</v>
      </c>
      <c r="J19" s="1813">
        <f t="shared" si="2"/>
        <v>0</v>
      </c>
    </row>
    <row r="20" spans="1:10" ht="13.5" thickTop="1" x14ac:dyDescent="0.2">
      <c r="A20" s="1035">
        <v>9</v>
      </c>
      <c r="B20" s="2327" t="s">
        <v>1981</v>
      </c>
      <c r="C20" s="2327"/>
      <c r="D20" s="2328"/>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1983</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3" sqref="A13:H1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2088</v>
      </c>
    </row>
    <row r="6" spans="1:2" x14ac:dyDescent="0.2">
      <c r="A6" s="1068">
        <v>2</v>
      </c>
      <c r="B6" s="329" t="s">
        <v>2089</v>
      </c>
    </row>
    <row r="7" spans="1:2" x14ac:dyDescent="0.2">
      <c r="A7" s="1068">
        <v>3</v>
      </c>
      <c r="B7" s="329" t="s">
        <v>2090</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Wolf Branch SD 113</v>
      </c>
    </row>
    <row r="65" spans="2:2" x14ac:dyDescent="0.2">
      <c r="B65" s="1070">
        <f>COVER!A13</f>
        <v>50082113002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13" sqref="A13:H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Normal="100" workbookViewId="0">
      <selection activeCell="A13" sqref="A13:H1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50177"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Document" dvAspect="DVASPECT_ICON" shapeId="50177" r:id="rId4"/>
      </mc:Fallback>
    </mc:AlternateContent>
    <mc:AlternateContent xmlns:mc="http://schemas.openxmlformats.org/markup-compatibility/2006">
      <mc:Choice Requires="x14">
        <oleObject progId="Worksheet" dvAspect="DVASPECT_ICON" shapeId="50178" r:id="rId6">
          <objectPr defaultSize="0" r:id="rId7">
            <anchor moveWithCells="1">
              <from>
                <xdr:col>1</xdr:col>
                <xdr:colOff>1438275</xdr:colOff>
                <xdr:row>3</xdr:row>
                <xdr:rowOff>142875</xdr:rowOff>
              </from>
              <to>
                <xdr:col>1</xdr:col>
                <xdr:colOff>2352675</xdr:colOff>
                <xdr:row>8</xdr:row>
                <xdr:rowOff>19050</xdr:rowOff>
              </to>
            </anchor>
          </objectPr>
        </oleObject>
      </mc:Choice>
      <mc:Fallback>
        <oleObject progId="Workshee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13" sqref="A13:H1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1987</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1988</v>
      </c>
      <c r="B4" s="2355"/>
      <c r="C4" s="2355"/>
      <c r="D4" s="2355"/>
      <c r="E4" s="2355"/>
      <c r="F4" s="2356"/>
      <c r="G4" s="1074"/>
      <c r="H4" s="1074"/>
    </row>
    <row r="5" spans="1:8" ht="14.25" customHeight="1" x14ac:dyDescent="0.2">
      <c r="A5" s="2357" t="s">
        <v>1984</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5411101</v>
      </c>
      <c r="C8" s="1815">
        <f>'Acct Summary 7-8'!D8</f>
        <v>1590555</v>
      </c>
      <c r="D8" s="1815">
        <f>'Acct Summary 7-8'!F8</f>
        <v>363034</v>
      </c>
      <c r="E8" s="1815">
        <f>'Acct Summary 7-8'!I8</f>
        <v>97523</v>
      </c>
      <c r="F8" s="1815">
        <f>SUM(B8:E8)</f>
        <v>7462213</v>
      </c>
    </row>
    <row r="9" spans="1:8" s="1079" customFormat="1" ht="14.25" customHeight="1" thickBot="1" x14ac:dyDescent="0.25">
      <c r="A9" s="1078" t="s">
        <v>1369</v>
      </c>
      <c r="B9" s="1816">
        <f>'Acct Summary 7-8'!C17</f>
        <v>5693776</v>
      </c>
      <c r="C9" s="1816">
        <f>'Acct Summary 7-8'!D17</f>
        <v>1527547</v>
      </c>
      <c r="D9" s="1816">
        <f>'Acct Summary 7-8'!F17</f>
        <v>377094</v>
      </c>
      <c r="E9" s="1815"/>
      <c r="F9" s="1815">
        <f>SUM(B9:E9)</f>
        <v>7598417</v>
      </c>
    </row>
    <row r="10" spans="1:8" s="1079" customFormat="1" ht="14.25" thickTop="1" thickBot="1" x14ac:dyDescent="0.25">
      <c r="A10" s="1080" t="s">
        <v>1370</v>
      </c>
      <c r="B10" s="1817">
        <f>(B8-B9)</f>
        <v>-282675</v>
      </c>
      <c r="C10" s="1817">
        <f>(C8-C9)</f>
        <v>63008</v>
      </c>
      <c r="D10" s="1817">
        <f>(D8-D9)</f>
        <v>-14060</v>
      </c>
      <c r="E10" s="1816">
        <f>(E8-E9)</f>
        <v>97523</v>
      </c>
      <c r="F10" s="1818">
        <f>SUM(F8-F9)</f>
        <v>-136204</v>
      </c>
    </row>
    <row r="11" spans="1:8" s="1079" customFormat="1" ht="14.25" thickTop="1" thickBot="1" x14ac:dyDescent="0.25">
      <c r="A11" s="1081" t="s">
        <v>1985</v>
      </c>
      <c r="B11" s="1819">
        <f>'Acct Summary 7-8'!C81</f>
        <v>73405</v>
      </c>
      <c r="C11" s="1819">
        <f>'Acct Summary 7-8'!D81</f>
        <v>1666439</v>
      </c>
      <c r="D11" s="1819">
        <f>'Acct Summary 7-8'!F81</f>
        <v>499590</v>
      </c>
      <c r="E11" s="1819">
        <f>'Acct Summary 7-8'!I81</f>
        <v>2740011</v>
      </c>
      <c r="F11" s="1820">
        <f>SUM(B11:E11)</f>
        <v>4979445</v>
      </c>
    </row>
    <row r="12" spans="1:8" ht="16.5" customHeight="1" thickTop="1" x14ac:dyDescent="0.2">
      <c r="A12" s="1082"/>
      <c r="B12" s="1083"/>
      <c r="C12" s="2339" t="str">
        <f>IF(AND(F10&lt;0,F11&gt;=0,ABS(F10*3)&gt;ABS(F11)),A16,IF(AND(F10&lt;0,F11&gt;0,ABS(F10*3)&lt;=ABS(F11)),A17,IF(AND(F10&lt;0,F11&lt;0),A16,IF(F11=0,A19,A18))))</f>
        <v>Unbalanced -  however, a deficit reduction plan is not required at this time.</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1" colorId="8" zoomScale="110" zoomScaleNormal="110" workbookViewId="0">
      <selection activeCell="A13" sqref="A13:H1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ENTER BUDGET DATA!</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50082113002</v>
      </c>
    </row>
    <row r="3" spans="1:2" x14ac:dyDescent="0.2">
      <c r="A3" t="s">
        <v>956</v>
      </c>
      <c r="B3" s="138" t="str">
        <f>COVER!A15</f>
        <v>St. Clair</v>
      </c>
    </row>
    <row r="4" spans="1:2" x14ac:dyDescent="0.2">
      <c r="A4" t="s">
        <v>1007</v>
      </c>
      <c r="B4" s="138" t="str">
        <f>COVER!A17</f>
        <v>Wolf Branch SD 113</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No</v>
      </c>
    </row>
    <row r="15" spans="1:2" x14ac:dyDescent="0.2">
      <c r="A15" t="s">
        <v>577</v>
      </c>
      <c r="B15" s="138" t="str">
        <f>COVER!T23</f>
        <v>066-005248</v>
      </c>
    </row>
    <row r="16" spans="1:2" x14ac:dyDescent="0.2">
      <c r="A16" t="s">
        <v>422</v>
      </c>
      <c r="B16" s="138" t="str">
        <f>COVER!T13</f>
        <v>Moore &amp; Simonin, PC</v>
      </c>
    </row>
    <row r="17" spans="1:2" x14ac:dyDescent="0.2">
      <c r="A17" t="s">
        <v>884</v>
      </c>
      <c r="B17" s="138" t="str">
        <f>COVER!T15</f>
        <v>Robert E. Moore, CPA</v>
      </c>
    </row>
    <row r="18" spans="1:2" x14ac:dyDescent="0.2">
      <c r="A18" t="s">
        <v>1150</v>
      </c>
      <c r="B18" s="138" t="str">
        <f>COVER!T17</f>
        <v>3636 North Belt West</v>
      </c>
    </row>
    <row r="19" spans="1:2" x14ac:dyDescent="0.2">
      <c r="A19" t="s">
        <v>886</v>
      </c>
      <c r="B19" s="138" t="str">
        <f>COVER!T25</f>
        <v>mooresimonin@mrsaccountants.com</v>
      </c>
    </row>
    <row r="20" spans="1:2" x14ac:dyDescent="0.2">
      <c r="A20" t="s">
        <v>887</v>
      </c>
      <c r="B20" s="138" t="str">
        <f>COVER!T19</f>
        <v>Belleville</v>
      </c>
    </row>
    <row r="21" spans="1:2" x14ac:dyDescent="0.2">
      <c r="A21" t="s">
        <v>479</v>
      </c>
      <c r="B21" s="138" t="str">
        <f>COVER!X19</f>
        <v>IL</v>
      </c>
    </row>
    <row r="22" spans="1:2" x14ac:dyDescent="0.2">
      <c r="A22" t="s">
        <v>888</v>
      </c>
      <c r="B22" s="138">
        <f>COVER!Z19</f>
        <v>62226</v>
      </c>
    </row>
    <row r="23" spans="1:2" x14ac:dyDescent="0.2">
      <c r="A23" t="s">
        <v>1152</v>
      </c>
      <c r="B23" s="138" t="str">
        <f>COVER!T21</f>
        <v>618-233-5049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t="str">
        <f>IF('FP Info 3'!B51="X","Yes",0)</f>
        <v>Yes</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73405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-187227</v>
      </c>
      <c r="D92" s="2" t="str">
        <f t="shared" si="0"/>
        <v>Error?</v>
      </c>
    </row>
    <row r="93" spans="1:4" x14ac:dyDescent="0.2">
      <c r="A93" s="5">
        <v>32</v>
      </c>
      <c r="B93" s="138">
        <f>'Assets-Liab 5-6'!C41</f>
        <v>73405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1666439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1666439</v>
      </c>
      <c r="D123" s="2" t="str">
        <f t="shared" si="0"/>
        <v>Error?</v>
      </c>
    </row>
    <row r="124" spans="1:4" x14ac:dyDescent="0.2">
      <c r="A124" s="5">
        <v>63</v>
      </c>
      <c r="B124" s="138">
        <f>'Assets-Liab 5-6'!D41</f>
        <v>1666439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125215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125215</v>
      </c>
      <c r="D140" s="2" t="str">
        <f t="shared" si="1"/>
        <v>Error?</v>
      </c>
    </row>
    <row r="141" spans="1:4" x14ac:dyDescent="0.2">
      <c r="A141" s="5">
        <v>80</v>
      </c>
      <c r="B141" s="138">
        <f>'Assets-Liab 5-6'!E41</f>
        <v>125215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499590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499590</v>
      </c>
      <c r="D170" s="2" t="str">
        <f t="shared" si="1"/>
        <v>Error?</v>
      </c>
    </row>
    <row r="171" spans="1:4" x14ac:dyDescent="0.2">
      <c r="A171" s="5">
        <v>110</v>
      </c>
      <c r="B171" s="138">
        <f>'Assets-Liab 5-6'!F41</f>
        <v>499590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219849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219849</v>
      </c>
      <c r="D189" s="2" t="str">
        <f t="shared" si="1"/>
        <v>Error?</v>
      </c>
    </row>
    <row r="190" spans="1:4" x14ac:dyDescent="0.2">
      <c r="A190" s="5">
        <v>129</v>
      </c>
      <c r="B190" s="138">
        <f>'Assets-Liab 5-6'!G41</f>
        <v>219849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393889</v>
      </c>
      <c r="D273" s="2" t="str">
        <f t="shared" si="3"/>
        <v>Error?</v>
      </c>
    </row>
    <row r="274" spans="1:4" x14ac:dyDescent="0.2">
      <c r="A274" s="5">
        <v>213</v>
      </c>
      <c r="B274" s="138">
        <f>'Assets-Liab 5-6'!M17</f>
        <v>27568827</v>
      </c>
      <c r="D274" s="2" t="str">
        <f t="shared" si="3"/>
        <v>Error?</v>
      </c>
    </row>
    <row r="275" spans="1:4" x14ac:dyDescent="0.2">
      <c r="A275" s="5">
        <v>214</v>
      </c>
      <c r="B275" s="138">
        <f>'Assets-Liab 5-6'!M18</f>
        <v>1702080</v>
      </c>
      <c r="D275" s="2" t="str">
        <f t="shared" si="3"/>
        <v>Error?</v>
      </c>
    </row>
    <row r="276" spans="1:4" x14ac:dyDescent="0.2">
      <c r="A276" s="5">
        <v>215</v>
      </c>
      <c r="B276" s="138">
        <f>'Assets-Liab 5-6'!M19</f>
        <v>1145233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30810029</v>
      </c>
      <c r="C279" s="2" t="s">
        <v>573</v>
      </c>
      <c r="D279" s="2" t="str">
        <f t="shared" si="3"/>
        <v>Error?</v>
      </c>
    </row>
    <row r="280" spans="1:4" x14ac:dyDescent="0.2">
      <c r="A280" s="5">
        <v>219</v>
      </c>
      <c r="B280" s="138">
        <f>'Assets-Liab 5-6'!M40</f>
        <v>30810029</v>
      </c>
      <c r="D280" s="2" t="str">
        <f t="shared" si="3"/>
        <v>Error?</v>
      </c>
    </row>
    <row r="281" spans="1:4" x14ac:dyDescent="0.2">
      <c r="A281" s="5">
        <v>220</v>
      </c>
      <c r="B281" s="138">
        <f>'Assets-Liab 5-6'!M41</f>
        <v>30810029</v>
      </c>
      <c r="C281" s="2" t="s">
        <v>573</v>
      </c>
      <c r="D281" s="2" t="str">
        <f t="shared" si="3"/>
        <v>Error?</v>
      </c>
    </row>
    <row r="282" spans="1:4" x14ac:dyDescent="0.2">
      <c r="A282" s="5">
        <v>221</v>
      </c>
      <c r="B282" s="138">
        <f>'Assets-Liab 5-6'!N21</f>
        <v>125215</v>
      </c>
      <c r="D282" s="2" t="str">
        <f t="shared" si="3"/>
        <v>Error?</v>
      </c>
    </row>
    <row r="283" spans="1:4" x14ac:dyDescent="0.2">
      <c r="A283" s="5">
        <v>222</v>
      </c>
      <c r="B283" s="138">
        <f>'Assets-Liab 5-6'!N22</f>
        <v>1666785</v>
      </c>
      <c r="D283" s="2" t="str">
        <f t="shared" si="3"/>
        <v>Error?</v>
      </c>
    </row>
    <row r="284" spans="1:4" x14ac:dyDescent="0.2">
      <c r="A284" s="5">
        <v>223</v>
      </c>
      <c r="B284" s="138">
        <f>'Assets-Liab 5-6'!N23</f>
        <v>1792000</v>
      </c>
      <c r="C284" s="2" t="s">
        <v>573</v>
      </c>
      <c r="D284" s="2" t="str">
        <f t="shared" si="3"/>
        <v>Error?</v>
      </c>
    </row>
    <row r="285" spans="1:4" x14ac:dyDescent="0.2">
      <c r="A285" s="5">
        <v>224</v>
      </c>
      <c r="B285" s="138">
        <f>'Assets-Liab 5-6'!N36</f>
        <v>1792000</v>
      </c>
      <c r="D285" s="2" t="str">
        <f t="shared" si="3"/>
        <v>Error?</v>
      </c>
    </row>
    <row r="286" spans="1:4" x14ac:dyDescent="0.2">
      <c r="A286" s="10">
        <v>225</v>
      </c>
      <c r="D286" s="2" t="str">
        <f t="shared" si="3"/>
        <v>OK</v>
      </c>
    </row>
    <row r="287" spans="1:4" x14ac:dyDescent="0.2">
      <c r="A287" s="5">
        <v>226</v>
      </c>
      <c r="B287" s="138">
        <f>'Assets-Liab 5-6'!N37</f>
        <v>1792000</v>
      </c>
      <c r="C287" s="2" t="s">
        <v>573</v>
      </c>
      <c r="D287" s="2" t="str">
        <f t="shared" si="3"/>
        <v>Error?</v>
      </c>
    </row>
    <row r="288" spans="1:4" x14ac:dyDescent="0.2">
      <c r="A288" s="5">
        <v>227</v>
      </c>
      <c r="B288" s="138">
        <f>'Assets-Liab 5-6'!N41</f>
        <v>1792000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1547000</v>
      </c>
      <c r="D651" s="2" t="str">
        <f t="shared" si="9"/>
        <v>Error?</v>
      </c>
    </row>
    <row r="652" spans="1:4" x14ac:dyDescent="0.2">
      <c r="A652" s="5">
        <v>591</v>
      </c>
      <c r="B652" s="138">
        <f>'Acct Summary 7-8'!I34</f>
        <v>23391</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2572946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61379</v>
      </c>
      <c r="D718" s="2" t="str">
        <f t="shared" si="10"/>
        <v>Error?</v>
      </c>
    </row>
    <row r="719" spans="1:4" x14ac:dyDescent="0.2">
      <c r="A719" s="5">
        <v>658</v>
      </c>
      <c r="B719" s="138">
        <f>'Expenditures 15-22'!C15</f>
        <v>2625</v>
      </c>
      <c r="D719" s="2" t="str">
        <f t="shared" si="10"/>
        <v>Error?</v>
      </c>
    </row>
    <row r="720" spans="1:4" x14ac:dyDescent="0.2">
      <c r="A720" s="5">
        <v>659</v>
      </c>
      <c r="B720" s="138">
        <f>'Expenditures 15-22'!C33</f>
        <v>3185507</v>
      </c>
      <c r="C720" s="2" t="s">
        <v>573</v>
      </c>
      <c r="D720" s="2" t="str">
        <f t="shared" si="10"/>
        <v>Error?</v>
      </c>
    </row>
    <row r="721" spans="1:4" x14ac:dyDescent="0.2">
      <c r="A721" s="5">
        <v>660</v>
      </c>
      <c r="B721" s="138">
        <f>'Expenditures 15-22'!C36</f>
        <v>82698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35081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77378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195157</v>
      </c>
      <c r="C727" s="2" t="s">
        <v>573</v>
      </c>
      <c r="D727" s="2" t="str">
        <f t="shared" si="10"/>
        <v>Error?</v>
      </c>
    </row>
    <row r="728" spans="1:4" x14ac:dyDescent="0.2">
      <c r="A728" s="5">
        <v>667</v>
      </c>
      <c r="B728" s="138">
        <f>'Expenditures 15-22'!C44</f>
        <v>16955</v>
      </c>
      <c r="D728" s="2" t="str">
        <f t="shared" si="10"/>
        <v>Error?</v>
      </c>
    </row>
    <row r="729" spans="1:4" x14ac:dyDescent="0.2">
      <c r="A729" s="5">
        <v>668</v>
      </c>
      <c r="B729" s="138">
        <f>'Expenditures 15-22'!C45</f>
        <v>14536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31491</v>
      </c>
      <c r="C731" s="2" t="s">
        <v>573</v>
      </c>
      <c r="D731" s="2" t="str">
        <f t="shared" si="10"/>
        <v>Error?</v>
      </c>
    </row>
    <row r="732" spans="1:4" x14ac:dyDescent="0.2">
      <c r="A732" s="5">
        <v>671</v>
      </c>
      <c r="B732" s="138">
        <f>'Expenditures 15-22'!C49</f>
        <v>1500</v>
      </c>
      <c r="D732" s="2" t="str">
        <f t="shared" si="10"/>
        <v>Error?</v>
      </c>
    </row>
    <row r="733" spans="1:4" x14ac:dyDescent="0.2">
      <c r="A733" s="5">
        <v>672</v>
      </c>
      <c r="B733" s="138">
        <f>'Expenditures 15-22'!C50</f>
        <v>162142</v>
      </c>
      <c r="D733" s="2" t="str">
        <f t="shared" si="10"/>
        <v>Error?</v>
      </c>
    </row>
    <row r="734" spans="1:4" x14ac:dyDescent="0.2">
      <c r="A734" s="5">
        <v>673</v>
      </c>
      <c r="B734" s="138">
        <f>'Expenditures 15-22'!C53</f>
        <v>163642</v>
      </c>
      <c r="C734" s="2" t="s">
        <v>573</v>
      </c>
      <c r="D734" s="2" t="str">
        <f t="shared" si="10"/>
        <v>Error?</v>
      </c>
    </row>
    <row r="735" spans="1:4" x14ac:dyDescent="0.2">
      <c r="A735" s="5">
        <v>674</v>
      </c>
      <c r="B735" s="138">
        <f>'Expenditures 15-22'!C55</f>
        <v>330638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330638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29414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397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29811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750739</v>
      </c>
      <c r="C755" s="2" t="s">
        <v>573</v>
      </c>
      <c r="D755" s="2" t="str">
        <f t="shared" si="10"/>
        <v>Error?</v>
      </c>
    </row>
    <row r="756" spans="1:4" x14ac:dyDescent="0.2">
      <c r="A756" s="5">
        <v>695</v>
      </c>
      <c r="B756" s="138">
        <f>'Expenditures 15-22'!C75</f>
        <v>94746</v>
      </c>
      <c r="D756" s="2" t="str">
        <f t="shared" si="10"/>
        <v>Error?</v>
      </c>
    </row>
    <row r="757" spans="1:4" x14ac:dyDescent="0.2">
      <c r="A757" s="5">
        <v>696</v>
      </c>
      <c r="B757" s="138">
        <f>'Expenditures 15-22'!C114</f>
        <v>4030992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603662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5112</v>
      </c>
      <c r="D776" s="2" t="str">
        <f t="shared" si="11"/>
        <v>Error?</v>
      </c>
    </row>
    <row r="777" spans="1:4" x14ac:dyDescent="0.2">
      <c r="A777" s="5">
        <v>716</v>
      </c>
      <c r="B777" s="138">
        <f>'Expenditures 15-22'!D15</f>
        <v>338</v>
      </c>
      <c r="D777" s="2" t="str">
        <f t="shared" si="11"/>
        <v>Error?</v>
      </c>
    </row>
    <row r="778" spans="1:4" x14ac:dyDescent="0.2">
      <c r="A778" s="5">
        <v>717</v>
      </c>
      <c r="B778" s="138">
        <f>'Expenditures 15-22'!D33</f>
        <v>697107</v>
      </c>
      <c r="C778" s="2" t="s">
        <v>573</v>
      </c>
      <c r="D778" s="2" t="str">
        <f t="shared" si="11"/>
        <v>Error?</v>
      </c>
    </row>
    <row r="779" spans="1:4" x14ac:dyDescent="0.2">
      <c r="A779" s="5">
        <v>718</v>
      </c>
      <c r="B779" s="138">
        <f>'Expenditures 15-22'!D36</f>
        <v>27348</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19242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46590</v>
      </c>
      <c r="C785" s="2" t="s">
        <v>573</v>
      </c>
      <c r="D785" s="2" t="str">
        <f t="shared" si="11"/>
        <v>Error?</v>
      </c>
    </row>
    <row r="786" spans="1:4" x14ac:dyDescent="0.2">
      <c r="A786" s="5">
        <v>725</v>
      </c>
      <c r="B786" s="138">
        <f>'Expenditures 15-22'!D44</f>
        <v>6743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6743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40625</v>
      </c>
      <c r="D791" s="2" t="str">
        <f t="shared" si="11"/>
        <v>Error?</v>
      </c>
    </row>
    <row r="792" spans="1:4" x14ac:dyDescent="0.2">
      <c r="A792" s="5">
        <v>731</v>
      </c>
      <c r="B792" s="138">
        <f>'Expenditures 15-22'!D53</f>
        <v>40625</v>
      </c>
      <c r="C792" s="2" t="s">
        <v>573</v>
      </c>
      <c r="D792" s="2" t="str">
        <f t="shared" si="11"/>
        <v>Error?</v>
      </c>
    </row>
    <row r="793" spans="1:4" x14ac:dyDescent="0.2">
      <c r="A793" s="5">
        <v>732</v>
      </c>
      <c r="B793" s="138">
        <f>'Expenditures 15-22'!D55</f>
        <v>86753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86753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2239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2239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182950</v>
      </c>
      <c r="C813" s="2" t="s">
        <v>573</v>
      </c>
      <c r="D813" s="2" t="str">
        <f t="shared" si="11"/>
        <v>Error?</v>
      </c>
    </row>
    <row r="814" spans="1:4" x14ac:dyDescent="0.2">
      <c r="A814" s="5">
        <v>753</v>
      </c>
      <c r="B814" s="138">
        <f>'Expenditures 15-22'!D75</f>
        <v>3801</v>
      </c>
      <c r="D814" s="2" t="str">
        <f t="shared" si="11"/>
        <v>Error?</v>
      </c>
    </row>
    <row r="815" spans="1:4" x14ac:dyDescent="0.2">
      <c r="A815" s="5">
        <v>754</v>
      </c>
      <c r="B815" s="138">
        <f>'Expenditures 15-22'!D114</f>
        <v>883858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337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2090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48568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48568</v>
      </c>
      <c r="C843" s="2" t="s">
        <v>573</v>
      </c>
      <c r="D843" s="2" t="str">
        <f t="shared" si="12"/>
        <v>Error?</v>
      </c>
    </row>
    <row r="844" spans="1:4" x14ac:dyDescent="0.2">
      <c r="A844" s="5">
        <v>783</v>
      </c>
      <c r="B844" s="138">
        <f>'Expenditures 15-22'!E44</f>
        <v>5784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5784</v>
      </c>
      <c r="C847" s="2" t="s">
        <v>573</v>
      </c>
      <c r="D847" s="2" t="str">
        <f t="shared" si="12"/>
        <v>Error?</v>
      </c>
    </row>
    <row r="848" spans="1:4" x14ac:dyDescent="0.2">
      <c r="A848" s="5">
        <v>787</v>
      </c>
      <c r="B848" s="138">
        <f>'Expenditures 15-22'!E49</f>
        <v>7568</v>
      </c>
      <c r="D848" s="2" t="str">
        <f t="shared" si="12"/>
        <v>Error?</v>
      </c>
    </row>
    <row r="849" spans="1:4" x14ac:dyDescent="0.2">
      <c r="A849" s="5">
        <v>788</v>
      </c>
      <c r="B849" s="138">
        <f>'Expenditures 15-22'!E50</f>
        <v>770</v>
      </c>
      <c r="D849" s="2" t="str">
        <f t="shared" si="12"/>
        <v>Error?</v>
      </c>
    </row>
    <row r="850" spans="1:4" x14ac:dyDescent="0.2">
      <c r="A850" s="5">
        <v>789</v>
      </c>
      <c r="B850" s="138">
        <f>'Expenditures 15-22'!E53</f>
        <v>8338</v>
      </c>
      <c r="C850" s="2" t="s">
        <v>573</v>
      </c>
      <c r="D850" s="2" t="str">
        <f t="shared" si="12"/>
        <v>Error?</v>
      </c>
    </row>
    <row r="851" spans="1:4" x14ac:dyDescent="0.2">
      <c r="A851" s="5">
        <v>790</v>
      </c>
      <c r="B851" s="138">
        <f>'Expenditures 15-22'!E55</f>
        <v>22143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22143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1300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171690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172990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257823</v>
      </c>
      <c r="C871" s="2" t="s">
        <v>573</v>
      </c>
      <c r="D871" s="2" t="str">
        <f t="shared" si="12"/>
        <v>Error?</v>
      </c>
    </row>
    <row r="872" spans="1:4" x14ac:dyDescent="0.2">
      <c r="A872" s="5">
        <v>811</v>
      </c>
      <c r="B872" s="138">
        <f>'Expenditures 15-22'!E75</f>
        <v>1711</v>
      </c>
      <c r="D872" s="2" t="str">
        <f t="shared" si="12"/>
        <v>Error?</v>
      </c>
    </row>
    <row r="873" spans="1:4" x14ac:dyDescent="0.2">
      <c r="A873" s="5">
        <v>812</v>
      </c>
      <c r="B873" s="138">
        <f>'Expenditures 15-22'!E114</f>
        <v>275400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109804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114956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1893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1918</v>
      </c>
      <c r="C901" s="2" t="s">
        <v>573</v>
      </c>
      <c r="D901" s="2" t="str">
        <f t="shared" si="13"/>
        <v>Error?</v>
      </c>
    </row>
    <row r="902" spans="1:4" x14ac:dyDescent="0.2">
      <c r="A902" s="5">
        <v>841</v>
      </c>
      <c r="B902" s="138">
        <f>'Expenditures 15-22'!F44</f>
        <v>1100</v>
      </c>
      <c r="D902" s="2" t="str">
        <f t="shared" si="13"/>
        <v>Error?</v>
      </c>
    </row>
    <row r="903" spans="1:4" x14ac:dyDescent="0.2">
      <c r="A903" s="5">
        <v>842</v>
      </c>
      <c r="B903" s="138">
        <f>'Expenditures 15-22'!F45</f>
        <v>140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1240</v>
      </c>
      <c r="C905" s="2" t="s">
        <v>573</v>
      </c>
      <c r="D905" s="2" t="str">
        <f t="shared" si="13"/>
        <v>Error?</v>
      </c>
    </row>
    <row r="906" spans="1:4" x14ac:dyDescent="0.2">
      <c r="A906" s="5">
        <v>845</v>
      </c>
      <c r="B906" s="138">
        <f>'Expenditures 15-22'!F49</f>
        <v>10205</v>
      </c>
      <c r="D906" s="2" t="str">
        <f t="shared" si="13"/>
        <v>Error?</v>
      </c>
    </row>
    <row r="907" spans="1:4" x14ac:dyDescent="0.2">
      <c r="A907" s="5">
        <v>846</v>
      </c>
      <c r="B907" s="138">
        <f>'Expenditures 15-22'!F50</f>
        <v>1116</v>
      </c>
      <c r="D907" s="2" t="str">
        <f t="shared" si="13"/>
        <v>Error?</v>
      </c>
    </row>
    <row r="908" spans="1:4" x14ac:dyDescent="0.2">
      <c r="A908" s="5">
        <v>847</v>
      </c>
      <c r="B908" s="138">
        <f>'Expenditures 15-22'!F53</f>
        <v>11321</v>
      </c>
      <c r="C908" s="2" t="s">
        <v>573</v>
      </c>
      <c r="D908" s="2" t="str">
        <f t="shared" si="13"/>
        <v>Error?</v>
      </c>
    </row>
    <row r="909" spans="1:4" x14ac:dyDescent="0.2">
      <c r="A909" s="5">
        <v>848</v>
      </c>
      <c r="B909" s="138">
        <f>'Expenditures 15-22'!F55</f>
        <v>8178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8178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987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1332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2319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24976</v>
      </c>
      <c r="C929" s="2" t="s">
        <v>573</v>
      </c>
      <c r="D929" s="2" t="str">
        <f t="shared" si="13"/>
        <v>Error?</v>
      </c>
    </row>
    <row r="930" spans="1:4" x14ac:dyDescent="0.2">
      <c r="A930" s="5">
        <v>869</v>
      </c>
      <c r="B930" s="138">
        <f>'Expenditures 15-22'!F75</f>
        <v>10105</v>
      </c>
      <c r="D930" s="2" t="str">
        <f t="shared" si="13"/>
        <v>Error?</v>
      </c>
    </row>
    <row r="931" spans="1:4" x14ac:dyDescent="0.2">
      <c r="A931" s="5">
        <v>870</v>
      </c>
      <c r="B931" s="138">
        <f>'Expenditures 15-22'!F114</f>
        <v>150037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77016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10100</v>
      </c>
      <c r="D1022" s="2" t="str">
        <f t="shared" si="14"/>
        <v>Error?</v>
      </c>
    </row>
    <row r="1023" spans="1:4" x14ac:dyDescent="0.2">
      <c r="A1023" s="5">
        <v>962</v>
      </c>
      <c r="B1023" s="138">
        <f>'Expenditures 15-22'!H50</f>
        <v>1413</v>
      </c>
      <c r="D1023" s="2" t="str">
        <f t="shared" ref="D1023:D1086" si="15">IF(ISBLANK(B1023),"OK",IF(A1023-B1023=0,"OK","Error?"))</f>
        <v>Error?</v>
      </c>
    </row>
    <row r="1024" spans="1:4" x14ac:dyDescent="0.2">
      <c r="A1024" s="5">
        <v>963</v>
      </c>
      <c r="B1024" s="138">
        <f>'Expenditures 15-22'!H53</f>
        <v>11513</v>
      </c>
      <c r="C1024" s="2" t="s">
        <v>573</v>
      </c>
      <c r="D1024" s="2" t="str">
        <f t="shared" si="15"/>
        <v>Error?</v>
      </c>
    </row>
    <row r="1025" spans="1:4" x14ac:dyDescent="0.2">
      <c r="A1025" s="5">
        <v>964</v>
      </c>
      <c r="B1025" s="138">
        <f>'Expenditures 15-22'!H55</f>
        <v>858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858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12371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207910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297297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3343021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66491</v>
      </c>
      <c r="C1106" s="2" t="s">
        <v>573</v>
      </c>
      <c r="D1106" s="2" t="str">
        <f t="shared" si="16"/>
        <v>Error?</v>
      </c>
    </row>
    <row r="1107" spans="1:4" x14ac:dyDescent="0.2">
      <c r="A1107" s="5">
        <v>1046</v>
      </c>
      <c r="B1107" s="138">
        <f>'Expenditures 15-22'!K15</f>
        <v>2963</v>
      </c>
      <c r="C1107" s="2" t="s">
        <v>573</v>
      </c>
      <c r="D1107" s="2" t="str">
        <f t="shared" si="16"/>
        <v>Error?</v>
      </c>
    </row>
    <row r="1108" spans="1:4" x14ac:dyDescent="0.2">
      <c r="A1108" s="5">
        <v>1047</v>
      </c>
      <c r="B1108" s="138">
        <f>'Expenditures 15-22'!K33</f>
        <v>4132868</v>
      </c>
      <c r="C1108" s="2" t="s">
        <v>573</v>
      </c>
      <c r="D1108" s="2" t="str">
        <f t="shared" si="16"/>
        <v>Error?</v>
      </c>
    </row>
    <row r="1109" spans="1:4" x14ac:dyDescent="0.2">
      <c r="A1109" s="5">
        <v>1048</v>
      </c>
      <c r="B1109" s="138">
        <f>'Expenditures 15-22'!K36</f>
        <v>110046</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85542</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96645</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292233</v>
      </c>
      <c r="C1115" s="2" t="s">
        <v>573</v>
      </c>
      <c r="D1115" s="2" t="str">
        <f t="shared" si="16"/>
        <v>Error?</v>
      </c>
    </row>
    <row r="1116" spans="1:4" x14ac:dyDescent="0.2">
      <c r="A1116" s="5">
        <v>1055</v>
      </c>
      <c r="B1116" s="138">
        <f>'Expenditures 15-22'!K44</f>
        <v>30582</v>
      </c>
      <c r="C1116" s="2" t="s">
        <v>573</v>
      </c>
      <c r="D1116" s="2" t="str">
        <f t="shared" si="16"/>
        <v>Error?</v>
      </c>
    </row>
    <row r="1117" spans="1:4" x14ac:dyDescent="0.2">
      <c r="A1117" s="5">
        <v>1056</v>
      </c>
      <c r="B1117" s="138">
        <f>'Expenditures 15-22'!K45</f>
        <v>14676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45258</v>
      </c>
      <c r="C1119" s="2" t="s">
        <v>573</v>
      </c>
      <c r="D1119" s="2" t="str">
        <f t="shared" si="16"/>
        <v>Error?</v>
      </c>
    </row>
    <row r="1120" spans="1:4" x14ac:dyDescent="0.2">
      <c r="A1120" s="5">
        <v>1059</v>
      </c>
      <c r="B1120" s="138">
        <f>'Expenditures 15-22'!K49</f>
        <v>29373</v>
      </c>
      <c r="C1120" s="2" t="s">
        <v>573</v>
      </c>
      <c r="D1120" s="2" t="str">
        <f t="shared" si="16"/>
        <v>Error?</v>
      </c>
    </row>
    <row r="1121" spans="1:4" x14ac:dyDescent="0.2">
      <c r="A1121" s="5">
        <v>1060</v>
      </c>
      <c r="B1121" s="138">
        <f>'Expenditures 15-22'!K50</f>
        <v>206066</v>
      </c>
      <c r="C1121" s="2" t="s">
        <v>573</v>
      </c>
      <c r="D1121" s="2" t="str">
        <f t="shared" si="16"/>
        <v>Error?</v>
      </c>
    </row>
    <row r="1122" spans="1:4" x14ac:dyDescent="0.2">
      <c r="A1122" s="5">
        <v>1061</v>
      </c>
      <c r="B1122" s="138">
        <f>'Expenditures 15-22'!K53</f>
        <v>235439</v>
      </c>
      <c r="C1122" s="2" t="s">
        <v>573</v>
      </c>
      <c r="D1122" s="2" t="str">
        <f t="shared" si="16"/>
        <v>Error?</v>
      </c>
    </row>
    <row r="1123" spans="1:4" x14ac:dyDescent="0.2">
      <c r="A1123" s="5">
        <v>1062</v>
      </c>
      <c r="B1123" s="138">
        <f>'Expenditures 15-22'!K55</f>
        <v>448570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448570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33940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173419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207359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1228859</v>
      </c>
      <c r="C1143" s="2" t="s">
        <v>573</v>
      </c>
      <c r="D1143" s="2" t="str">
        <f t="shared" si="16"/>
        <v>Error?</v>
      </c>
    </row>
    <row r="1144" spans="1:4" x14ac:dyDescent="0.2">
      <c r="A1144" s="5">
        <v>1083</v>
      </c>
      <c r="B1144" s="138">
        <f>'Expenditures 15-22'!K75</f>
        <v>110363</v>
      </c>
      <c r="C1144" s="2" t="s">
        <v>573</v>
      </c>
      <c r="D1144" s="2" t="str">
        <f t="shared" si="16"/>
        <v>Error?</v>
      </c>
    </row>
    <row r="1145" spans="1:4" x14ac:dyDescent="0.2">
      <c r="A1145" s="5">
        <v>1084</v>
      </c>
      <c r="B1145" s="138">
        <f>'Expenditures 15-22'!K102</f>
        <v>221686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5693776</v>
      </c>
      <c r="C1152" s="2" t="s">
        <v>573</v>
      </c>
      <c r="D1152" s="2" t="str">
        <f t="shared" si="17"/>
        <v>Error?</v>
      </c>
    </row>
    <row r="1153" spans="1:4" x14ac:dyDescent="0.2">
      <c r="A1153" s="5">
        <v>1092</v>
      </c>
      <c r="B1153" s="138">
        <f>'Expenditures 15-22'!K115</f>
        <v>-282675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334959</v>
      </c>
      <c r="D1221" s="2" t="str">
        <f t="shared" si="18"/>
        <v>Error?</v>
      </c>
    </row>
    <row r="1222" spans="1:4" x14ac:dyDescent="0.2">
      <c r="A1222" s="10">
        <v>1161</v>
      </c>
      <c r="D1222" s="2" t="str">
        <f t="shared" si="18"/>
        <v>OK</v>
      </c>
    </row>
    <row r="1223" spans="1:4" x14ac:dyDescent="0.2">
      <c r="A1223" s="5">
        <v>1162</v>
      </c>
      <c r="B1223" s="138">
        <f>'Expenditures 15-22'!C127</f>
        <v>334959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334959</v>
      </c>
      <c r="C1225" s="2" t="s">
        <v>573</v>
      </c>
      <c r="D1225" s="2" t="str">
        <f t="shared" si="18"/>
        <v>Error?</v>
      </c>
    </row>
    <row r="1226" spans="1:4" x14ac:dyDescent="0.2">
      <c r="A1226" s="5">
        <v>1165</v>
      </c>
      <c r="B1226" s="138">
        <f>'Expenditures 15-22'!C151</f>
        <v>334959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57979</v>
      </c>
      <c r="D1229" s="2" t="str">
        <f t="shared" si="18"/>
        <v>Error?</v>
      </c>
    </row>
    <row r="1230" spans="1:4" x14ac:dyDescent="0.2">
      <c r="A1230" s="10">
        <v>1169</v>
      </c>
      <c r="D1230" s="2" t="str">
        <f t="shared" si="18"/>
        <v>OK</v>
      </c>
    </row>
    <row r="1231" spans="1:4" x14ac:dyDescent="0.2">
      <c r="A1231" s="5">
        <v>1170</v>
      </c>
      <c r="B1231" s="138">
        <f>'Expenditures 15-22'!D127</f>
        <v>57979</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57979</v>
      </c>
      <c r="C1233" s="2" t="s">
        <v>573</v>
      </c>
      <c r="D1233" s="2" t="str">
        <f t="shared" si="18"/>
        <v>Error?</v>
      </c>
    </row>
    <row r="1234" spans="1:4" x14ac:dyDescent="0.2">
      <c r="A1234" s="5">
        <v>1173</v>
      </c>
      <c r="B1234" s="138">
        <f>'Expenditures 15-22'!D151</f>
        <v>57979</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842065</v>
      </c>
      <c r="D1237" s="2" t="str">
        <f t="shared" si="18"/>
        <v>Error?</v>
      </c>
    </row>
    <row r="1238" spans="1:4" x14ac:dyDescent="0.2">
      <c r="A1238" s="10">
        <v>1177</v>
      </c>
      <c r="D1238" s="2" t="str">
        <f t="shared" si="18"/>
        <v>OK</v>
      </c>
    </row>
    <row r="1239" spans="1:4" x14ac:dyDescent="0.2">
      <c r="A1239" s="5">
        <v>1178</v>
      </c>
      <c r="B1239" s="138">
        <f>'Expenditures 15-22'!E127</f>
        <v>842065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842065</v>
      </c>
      <c r="C1241" s="2" t="s">
        <v>573</v>
      </c>
      <c r="D1241" s="2" t="str">
        <f t="shared" si="18"/>
        <v>Error?</v>
      </c>
    </row>
    <row r="1242" spans="1:4" x14ac:dyDescent="0.2">
      <c r="A1242" s="5">
        <v>1181</v>
      </c>
      <c r="B1242" s="138">
        <f>'Expenditures 15-22'!E151</f>
        <v>842065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265442</v>
      </c>
      <c r="D1245" s="2" t="str">
        <f t="shared" si="18"/>
        <v>Error?</v>
      </c>
    </row>
    <row r="1246" spans="1:4" x14ac:dyDescent="0.2">
      <c r="A1246" s="10">
        <v>1185</v>
      </c>
      <c r="D1246" s="2" t="str">
        <f t="shared" si="18"/>
        <v>OK</v>
      </c>
    </row>
    <row r="1247" spans="1:4" x14ac:dyDescent="0.2">
      <c r="A1247" s="5">
        <v>1186</v>
      </c>
      <c r="B1247" s="138">
        <f>'Expenditures 15-22'!F127</f>
        <v>265442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265442</v>
      </c>
      <c r="C1249" s="2" t="s">
        <v>573</v>
      </c>
      <c r="D1249" s="2" t="str">
        <f t="shared" si="18"/>
        <v>Error?</v>
      </c>
    </row>
    <row r="1250" spans="1:4" x14ac:dyDescent="0.2">
      <c r="A1250" s="5">
        <v>1189</v>
      </c>
      <c r="B1250" s="138">
        <f>'Expenditures 15-22'!F151</f>
        <v>265442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27102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27102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27102</v>
      </c>
      <c r="C1258" s="2" t="s">
        <v>573</v>
      </c>
      <c r="D1258" s="2" t="str">
        <f t="shared" si="18"/>
        <v>Error?</v>
      </c>
    </row>
    <row r="1259" spans="1:4" x14ac:dyDescent="0.2">
      <c r="A1259" s="5">
        <v>1198</v>
      </c>
      <c r="B1259" s="138">
        <f>'Expenditures 15-22'!G151</f>
        <v>27102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1527547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1527547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1527547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1527547</v>
      </c>
      <c r="C1288" s="2" t="s">
        <v>573</v>
      </c>
      <c r="D1288" s="2" t="str">
        <f t="shared" si="19"/>
        <v>Error?</v>
      </c>
    </row>
    <row r="1289" spans="1:4" x14ac:dyDescent="0.2">
      <c r="A1289" s="5">
        <v>1228</v>
      </c>
      <c r="B1289" s="138">
        <f>'Expenditures 15-22'!K152</f>
        <v>63008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36878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1800000</v>
      </c>
      <c r="D1315" s="2" t="str">
        <f t="shared" si="19"/>
        <v>Error?</v>
      </c>
    </row>
    <row r="1316" spans="1:4" x14ac:dyDescent="0.2">
      <c r="A1316" s="5">
        <v>1255</v>
      </c>
      <c r="B1316" s="138">
        <f>'Expenditures 15-22'!H171</f>
        <v>795</v>
      </c>
      <c r="D1316" s="2" t="str">
        <f t="shared" si="19"/>
        <v>Error?</v>
      </c>
    </row>
    <row r="1317" spans="1:4" x14ac:dyDescent="0.2">
      <c r="A1317" s="5">
        <v>1256</v>
      </c>
      <c r="B1317" s="138">
        <f>'Expenditures 15-22'!H172</f>
        <v>1837673</v>
      </c>
      <c r="C1317" s="2" t="s">
        <v>573</v>
      </c>
      <c r="D1317" s="2" t="str">
        <f t="shared" si="19"/>
        <v>Error?</v>
      </c>
    </row>
    <row r="1318" spans="1:4" x14ac:dyDescent="0.2">
      <c r="A1318" s="5">
        <v>1257</v>
      </c>
      <c r="B1318" s="138">
        <f>'Expenditures 15-22'!H174</f>
        <v>1837673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36878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1800000</v>
      </c>
      <c r="C1329" s="2" t="s">
        <v>573</v>
      </c>
      <c r="D1329" s="2" t="str">
        <f t="shared" si="19"/>
        <v>Error?</v>
      </c>
    </row>
    <row r="1330" spans="1:4" x14ac:dyDescent="0.2">
      <c r="A1330" s="5">
        <v>1269</v>
      </c>
      <c r="B1330" s="138">
        <f>'Expenditures 15-22'!K171</f>
        <v>795</v>
      </c>
      <c r="C1330" s="2" t="s">
        <v>573</v>
      </c>
      <c r="D1330" s="2" t="str">
        <f t="shared" si="19"/>
        <v>Error?</v>
      </c>
    </row>
    <row r="1331" spans="1:4" x14ac:dyDescent="0.2">
      <c r="A1331" s="5">
        <v>1270</v>
      </c>
      <c r="B1331" s="138">
        <f>'Expenditures 15-22'!K172</f>
        <v>1837673</v>
      </c>
      <c r="C1331" s="2" t="s">
        <v>573</v>
      </c>
      <c r="D1331" s="2" t="str">
        <f t="shared" si="19"/>
        <v>Error?</v>
      </c>
    </row>
    <row r="1332" spans="1:4" x14ac:dyDescent="0.2">
      <c r="A1332" s="5">
        <v>1271</v>
      </c>
      <c r="B1332" s="138">
        <f>'Expenditures 15-22'!K174</f>
        <v>1837673</v>
      </c>
      <c r="C1332" s="2" t="s">
        <v>573</v>
      </c>
      <c r="D1332" s="2" t="str">
        <f t="shared" si="19"/>
        <v>Error?</v>
      </c>
    </row>
    <row r="1333" spans="1:4" x14ac:dyDescent="0.2">
      <c r="A1333" s="5">
        <v>1272</v>
      </c>
      <c r="B1333" s="138">
        <f>'Expenditures 15-22'!K175</f>
        <v>-4108</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377094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377094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377094</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377094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377094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377094</v>
      </c>
      <c r="C1388" s="2" t="s">
        <v>573</v>
      </c>
      <c r="D1388" s="2" t="str">
        <f t="shared" si="20"/>
        <v>Error?</v>
      </c>
    </row>
    <row r="1389" spans="1:4" x14ac:dyDescent="0.2">
      <c r="A1389" s="5">
        <v>1328</v>
      </c>
      <c r="B1389" s="138">
        <f>'Expenditures 15-22'!K211</f>
        <v>-14060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2413</v>
      </c>
      <c r="D1408" s="2" t="str">
        <f t="shared" si="21"/>
        <v>Error?</v>
      </c>
    </row>
    <row r="1409" spans="1:4" x14ac:dyDescent="0.2">
      <c r="A1409" s="5">
        <v>1348</v>
      </c>
      <c r="B1409" s="138">
        <f>'Expenditures 15-22'!D224</f>
        <v>38</v>
      </c>
      <c r="D1409" s="2" t="str">
        <f t="shared" si="21"/>
        <v>Error?</v>
      </c>
    </row>
    <row r="1410" spans="1:4" x14ac:dyDescent="0.2">
      <c r="A1410" s="5">
        <v>1349</v>
      </c>
      <c r="B1410" s="138">
        <f>'Expenditures 15-22'!D229</f>
        <v>99022</v>
      </c>
      <c r="C1410" s="2" t="s">
        <v>573</v>
      </c>
      <c r="D1410" s="2" t="str">
        <f t="shared" si="21"/>
        <v>Error?</v>
      </c>
    </row>
    <row r="1411" spans="1:4" x14ac:dyDescent="0.2">
      <c r="A1411" s="5">
        <v>1350</v>
      </c>
      <c r="B1411" s="138">
        <f>'Expenditures 15-22'!D232</f>
        <v>1064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5827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995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7886</v>
      </c>
      <c r="C1417" s="2" t="s">
        <v>573</v>
      </c>
      <c r="D1417" s="2" t="str">
        <f t="shared" si="21"/>
        <v>Error?</v>
      </c>
    </row>
    <row r="1418" spans="1:4" x14ac:dyDescent="0.2">
      <c r="A1418" s="5">
        <v>1357</v>
      </c>
      <c r="B1418" s="138">
        <f>'Expenditures 15-22'!D240</f>
        <v>1967</v>
      </c>
      <c r="D1418" s="2" t="str">
        <f t="shared" si="21"/>
        <v>Error?</v>
      </c>
    </row>
    <row r="1419" spans="1:4" x14ac:dyDescent="0.2">
      <c r="A1419" s="5">
        <v>1358</v>
      </c>
      <c r="B1419" s="138">
        <f>'Expenditures 15-22'!D241</f>
        <v>2471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4438</v>
      </c>
      <c r="C1421" s="2" t="s">
        <v>573</v>
      </c>
      <c r="D1421" s="2" t="str">
        <f t="shared" si="21"/>
        <v>Error?</v>
      </c>
    </row>
    <row r="1422" spans="1:4" x14ac:dyDescent="0.2">
      <c r="A1422" s="5">
        <v>1361</v>
      </c>
      <c r="B1422" s="138">
        <f>'Expenditures 15-22'!D245</f>
        <v>115</v>
      </c>
      <c r="D1422" s="2" t="str">
        <f t="shared" si="21"/>
        <v>Error?</v>
      </c>
    </row>
    <row r="1423" spans="1:4" x14ac:dyDescent="0.2">
      <c r="A1423" s="5">
        <v>1362</v>
      </c>
      <c r="B1423" s="138">
        <f>'Expenditures 15-22'!D246</f>
        <v>9102</v>
      </c>
      <c r="D1423" s="2" t="str">
        <f t="shared" si="21"/>
        <v>Error?</v>
      </c>
    </row>
    <row r="1424" spans="1:4" x14ac:dyDescent="0.2">
      <c r="A1424" s="5">
        <v>1363</v>
      </c>
      <c r="B1424" s="138">
        <f>'Expenditures 15-22'!D257</f>
        <v>15441</v>
      </c>
      <c r="C1424" s="2" t="s">
        <v>573</v>
      </c>
      <c r="D1424" s="2" t="str">
        <f t="shared" si="21"/>
        <v>Error?</v>
      </c>
    </row>
    <row r="1425" spans="1:4" x14ac:dyDescent="0.2">
      <c r="A1425" s="5">
        <v>1364</v>
      </c>
      <c r="B1425" s="138">
        <f>'Expenditures 15-22'!D259</f>
        <v>17708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17708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5199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55189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60388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105861</v>
      </c>
      <c r="C1446" s="2" t="s">
        <v>573</v>
      </c>
      <c r="D1446" s="2" t="str">
        <f t="shared" si="21"/>
        <v>Error?</v>
      </c>
    </row>
    <row r="1447" spans="1:4" x14ac:dyDescent="0.2">
      <c r="A1447" s="5">
        <v>1386</v>
      </c>
      <c r="B1447" s="138">
        <f>'Expenditures 15-22'!D280</f>
        <v>11092</v>
      </c>
      <c r="D1447" s="2" t="str">
        <f t="shared" si="21"/>
        <v>Error?</v>
      </c>
    </row>
    <row r="1448" spans="1:4" x14ac:dyDescent="0.2">
      <c r="A1448" s="5">
        <v>1387</v>
      </c>
      <c r="B1448" s="138">
        <f>'Expenditures 15-22'!D295</f>
        <v>216528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2413</v>
      </c>
      <c r="C1472" s="2" t="s">
        <v>573</v>
      </c>
      <c r="D1472" s="2" t="str">
        <f t="shared" si="22"/>
        <v>Error?</v>
      </c>
    </row>
    <row r="1473" spans="1:4" x14ac:dyDescent="0.2">
      <c r="A1473" s="5">
        <v>1412</v>
      </c>
      <c r="B1473" s="138">
        <f>'Expenditures 15-22'!K224</f>
        <v>38</v>
      </c>
      <c r="C1473" s="2" t="s">
        <v>573</v>
      </c>
      <c r="D1473" s="2" t="str">
        <f t="shared" si="22"/>
        <v>Error?</v>
      </c>
    </row>
    <row r="1474" spans="1:4" x14ac:dyDescent="0.2">
      <c r="A1474" s="5">
        <v>1413</v>
      </c>
      <c r="B1474" s="138">
        <f>'Expenditures 15-22'!K229</f>
        <v>99022</v>
      </c>
      <c r="C1474" s="2" t="s">
        <v>573</v>
      </c>
      <c r="D1474" s="2" t="str">
        <f t="shared" si="22"/>
        <v>Error?</v>
      </c>
    </row>
    <row r="1475" spans="1:4" x14ac:dyDescent="0.2">
      <c r="A1475" s="5">
        <v>1414</v>
      </c>
      <c r="B1475" s="138">
        <f>'Expenditures 15-22'!K232</f>
        <v>1064</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5827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995</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7886</v>
      </c>
      <c r="C1481" s="2" t="s">
        <v>573</v>
      </c>
      <c r="D1481" s="2" t="str">
        <f t="shared" si="22"/>
        <v>Error?</v>
      </c>
    </row>
    <row r="1482" spans="1:4" x14ac:dyDescent="0.2">
      <c r="A1482" s="5">
        <v>1421</v>
      </c>
      <c r="B1482" s="138">
        <f>'Expenditures 15-22'!K240</f>
        <v>1967</v>
      </c>
      <c r="C1482" s="2" t="s">
        <v>573</v>
      </c>
      <c r="D1482" s="2" t="str">
        <f t="shared" si="22"/>
        <v>Error?</v>
      </c>
    </row>
    <row r="1483" spans="1:4" x14ac:dyDescent="0.2">
      <c r="A1483" s="5">
        <v>1422</v>
      </c>
      <c r="B1483" s="138">
        <f>'Expenditures 15-22'!K241</f>
        <v>2471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4438</v>
      </c>
      <c r="C1485" s="2" t="s">
        <v>573</v>
      </c>
      <c r="D1485" s="2" t="str">
        <f t="shared" si="22"/>
        <v>Error?</v>
      </c>
    </row>
    <row r="1486" spans="1:4" x14ac:dyDescent="0.2">
      <c r="A1486" s="5">
        <v>1425</v>
      </c>
      <c r="B1486" s="138">
        <f>'Expenditures 15-22'!K245</f>
        <v>115</v>
      </c>
      <c r="C1486" s="2" t="s">
        <v>573</v>
      </c>
      <c r="D1486" s="2" t="str">
        <f t="shared" si="22"/>
        <v>Error?</v>
      </c>
    </row>
    <row r="1487" spans="1:4" x14ac:dyDescent="0.2">
      <c r="A1487" s="5">
        <v>1426</v>
      </c>
      <c r="B1487" s="138">
        <f>'Expenditures 15-22'!K246</f>
        <v>9102</v>
      </c>
      <c r="C1487" s="2" t="s">
        <v>573</v>
      </c>
      <c r="D1487" s="2" t="str">
        <f t="shared" si="22"/>
        <v>Error?</v>
      </c>
    </row>
    <row r="1488" spans="1:4" x14ac:dyDescent="0.2">
      <c r="A1488" s="5">
        <v>1427</v>
      </c>
      <c r="B1488" s="138">
        <f>'Expenditures 15-22'!K257</f>
        <v>15441</v>
      </c>
      <c r="C1488" s="2" t="s">
        <v>573</v>
      </c>
      <c r="D1488" s="2" t="str">
        <f t="shared" si="22"/>
        <v>Error?</v>
      </c>
    </row>
    <row r="1489" spans="1:4" x14ac:dyDescent="0.2">
      <c r="A1489" s="5">
        <v>1428</v>
      </c>
      <c r="B1489" s="138">
        <f>'Expenditures 15-22'!K259</f>
        <v>17708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17708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5199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55189</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60388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105861</v>
      </c>
      <c r="C1510" s="2" t="s">
        <v>573</v>
      </c>
      <c r="D1510" s="2" t="str">
        <f t="shared" si="22"/>
        <v>Error?</v>
      </c>
    </row>
    <row r="1511" spans="1:4" x14ac:dyDescent="0.2">
      <c r="A1511" s="5">
        <v>1450</v>
      </c>
      <c r="B1511" s="138">
        <f>'Expenditures 15-22'!K280</f>
        <v>11092</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216528</v>
      </c>
      <c r="C1517" s="2" t="s">
        <v>573</v>
      </c>
      <c r="D1517" s="2" t="str">
        <f t="shared" si="22"/>
        <v>Error?</v>
      </c>
    </row>
    <row r="1518" spans="1:4" x14ac:dyDescent="0.2">
      <c r="A1518" s="5">
        <v>1457</v>
      </c>
      <c r="B1518" s="138">
        <f>'Expenditures 15-22'!K296</f>
        <v>-50960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56080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73405</v>
      </c>
      <c r="C1630" s="2" t="s">
        <v>573</v>
      </c>
      <c r="D1630" s="2" t="str">
        <f t="shared" si="24"/>
        <v>Error?</v>
      </c>
    </row>
    <row r="1631" spans="1:4" x14ac:dyDescent="0.2">
      <c r="A1631" s="5">
        <v>1570</v>
      </c>
      <c r="B1631" s="138">
        <f>'Acct Summary 7-8'!D79</f>
        <v>1603431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1666439</v>
      </c>
      <c r="C1644" s="2" t="s">
        <v>573</v>
      </c>
      <c r="D1644" s="2" t="str">
        <f t="shared" si="24"/>
        <v>Error?</v>
      </c>
    </row>
    <row r="1645" spans="1:4" x14ac:dyDescent="0.2">
      <c r="A1645" s="5">
        <v>1584</v>
      </c>
      <c r="B1645" s="138">
        <f>'Acct Summary 7-8'!E79</f>
        <v>129323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125215</v>
      </c>
      <c r="C1658" s="2" t="s">
        <v>573</v>
      </c>
      <c r="D1658" s="2" t="str">
        <f t="shared" si="24"/>
        <v>Error?</v>
      </c>
    </row>
    <row r="1659" spans="1:4" x14ac:dyDescent="0.2">
      <c r="A1659" s="5">
        <v>1598</v>
      </c>
      <c r="B1659" s="138">
        <f>'Acct Summary 7-8'!F79</f>
        <v>513650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499590</v>
      </c>
      <c r="C1672" s="2" t="s">
        <v>573</v>
      </c>
      <c r="D1672" s="2" t="str">
        <f t="shared" si="25"/>
        <v>Error?</v>
      </c>
    </row>
    <row r="1673" spans="1:4" x14ac:dyDescent="0.2">
      <c r="A1673" s="5">
        <v>1612</v>
      </c>
      <c r="B1673" s="138">
        <f>'Acct Summary 7-8'!G79</f>
        <v>270809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219849</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3147687</v>
      </c>
      <c r="C1744" s="2" t="s">
        <v>573</v>
      </c>
      <c r="D1744" s="2" t="str">
        <f t="shared" si="26"/>
        <v>Error?</v>
      </c>
    </row>
    <row r="1745" spans="1:5" x14ac:dyDescent="0.2">
      <c r="A1745" s="5">
        <v>1684</v>
      </c>
      <c r="B1745" s="138">
        <f>'Tax Sched 23'!B5</f>
        <v>989277</v>
      </c>
      <c r="C1745" s="2" t="s">
        <v>573</v>
      </c>
      <c r="D1745" s="2" t="str">
        <f t="shared" si="26"/>
        <v>Error?</v>
      </c>
    </row>
    <row r="1746" spans="1:5" x14ac:dyDescent="0.2">
      <c r="A1746" s="5">
        <v>1685</v>
      </c>
      <c r="B1746" s="138">
        <f>'Tax Sched 23'!B6</f>
        <v>1830342</v>
      </c>
      <c r="C1746" s="2" t="s">
        <v>573</v>
      </c>
      <c r="D1746" s="2" t="str">
        <f t="shared" si="26"/>
        <v>Error?</v>
      </c>
    </row>
    <row r="1747" spans="1:5" x14ac:dyDescent="0.2">
      <c r="A1747" s="5">
        <v>1686</v>
      </c>
      <c r="B1747" s="138">
        <f>'Tax Sched 23'!B7</f>
        <v>215840</v>
      </c>
      <c r="C1747" s="2" t="s">
        <v>573</v>
      </c>
      <c r="D1747" s="2" t="str">
        <f t="shared" si="26"/>
        <v>Error?</v>
      </c>
    </row>
    <row r="1748" spans="1:5" x14ac:dyDescent="0.2">
      <c r="A1748" s="5">
        <v>1687</v>
      </c>
      <c r="B1748" s="138">
        <f>'Tax Sched 23'!B8</f>
        <v>67453</v>
      </c>
      <c r="C1748" s="2" t="s">
        <v>573</v>
      </c>
      <c r="D1748" s="2" t="str">
        <f t="shared" si="26"/>
        <v>Error?</v>
      </c>
    </row>
    <row r="1749" spans="1:5" x14ac:dyDescent="0.2">
      <c r="A1749" s="5">
        <v>1688</v>
      </c>
      <c r="B1749" s="138">
        <f>'Tax Sched 23'!B10</f>
        <v>89934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363697</v>
      </c>
      <c r="C1752" s="2" t="s">
        <v>573</v>
      </c>
      <c r="D1752" s="2" t="str">
        <f t="shared" si="26"/>
        <v>Error?</v>
      </c>
    </row>
    <row r="1753" spans="1:5" x14ac:dyDescent="0.2">
      <c r="A1753" s="5">
        <v>1692</v>
      </c>
      <c r="B1753" s="138">
        <f>'Tax Sched 23'!B12</f>
        <v>89935</v>
      </c>
      <c r="C1753" s="2" t="s">
        <v>573</v>
      </c>
      <c r="D1753" s="2" t="str">
        <f t="shared" si="26"/>
        <v>Error?</v>
      </c>
    </row>
    <row r="1754" spans="1:5" x14ac:dyDescent="0.2">
      <c r="A1754" s="5">
        <v>1693</v>
      </c>
      <c r="B1754" s="138">
        <f>'Tax Sched 23'!B14</f>
        <v>35980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6966856</v>
      </c>
      <c r="C1759" s="2" t="s">
        <v>573</v>
      </c>
      <c r="D1759" s="2" t="str">
        <f t="shared" si="26"/>
        <v>Error?</v>
      </c>
    </row>
    <row r="1760" spans="1:5" x14ac:dyDescent="0.2">
      <c r="A1760" s="5">
        <v>1699</v>
      </c>
      <c r="B1760" s="138">
        <f>'Tax Sched 23'!D4</f>
        <v>3147687</v>
      </c>
      <c r="C1760" s="2" t="s">
        <v>573</v>
      </c>
      <c r="D1760" s="2" t="str">
        <f t="shared" si="26"/>
        <v>Error?</v>
      </c>
    </row>
    <row r="1761" spans="1:5" x14ac:dyDescent="0.2">
      <c r="A1761" s="5">
        <v>1700</v>
      </c>
      <c r="B1761" s="138">
        <f>'Tax Sched 23'!D5</f>
        <v>989277</v>
      </c>
      <c r="C1761" s="2" t="s">
        <v>573</v>
      </c>
      <c r="D1761" s="2" t="str">
        <f t="shared" si="26"/>
        <v>Error?</v>
      </c>
    </row>
    <row r="1762" spans="1:5" s="8" customFormat="1" x14ac:dyDescent="0.2">
      <c r="A1762" s="5">
        <v>1701</v>
      </c>
      <c r="B1762" s="138">
        <f>'Tax Sched 23'!D6</f>
        <v>1830342</v>
      </c>
      <c r="C1762" s="2" t="s">
        <v>573</v>
      </c>
      <c r="D1762" s="2" t="str">
        <f t="shared" si="26"/>
        <v>Error?</v>
      </c>
      <c r="E1762" s="9"/>
    </row>
    <row r="1763" spans="1:5" x14ac:dyDescent="0.2">
      <c r="A1763" s="5">
        <v>1702</v>
      </c>
      <c r="B1763" s="138">
        <f>'Tax Sched 23'!D7</f>
        <v>215840</v>
      </c>
      <c r="C1763" s="2" t="s">
        <v>573</v>
      </c>
      <c r="D1763" s="2" t="str">
        <f t="shared" si="26"/>
        <v>Error?</v>
      </c>
    </row>
    <row r="1764" spans="1:5" x14ac:dyDescent="0.2">
      <c r="A1764" s="5">
        <v>1703</v>
      </c>
      <c r="B1764" s="138">
        <f>'Tax Sched 23'!D8</f>
        <v>67453</v>
      </c>
      <c r="C1764" s="2" t="s">
        <v>573</v>
      </c>
      <c r="D1764" s="2" t="str">
        <f t="shared" si="26"/>
        <v>Error?</v>
      </c>
    </row>
    <row r="1765" spans="1:5" x14ac:dyDescent="0.2">
      <c r="A1765" s="5">
        <v>1704</v>
      </c>
      <c r="B1765" s="138">
        <f>'Tax Sched 23'!D10</f>
        <v>89934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363697</v>
      </c>
      <c r="C1768" s="2" t="s">
        <v>573</v>
      </c>
      <c r="D1768" s="2" t="str">
        <f t="shared" si="26"/>
        <v>Error?</v>
      </c>
    </row>
    <row r="1769" spans="1:5" x14ac:dyDescent="0.2">
      <c r="A1769" s="5">
        <v>1708</v>
      </c>
      <c r="B1769" s="138">
        <f>'Tax Sched 23'!D12</f>
        <v>89935</v>
      </c>
      <c r="C1769" s="2" t="s">
        <v>573</v>
      </c>
      <c r="D1769" s="2" t="str">
        <f t="shared" si="26"/>
        <v>Error?</v>
      </c>
    </row>
    <row r="1770" spans="1:5" x14ac:dyDescent="0.2">
      <c r="A1770" s="5">
        <v>1709</v>
      </c>
      <c r="B1770" s="138">
        <f>'Tax Sched 23'!D14</f>
        <v>35980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6966856</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3207063</v>
      </c>
      <c r="C1792" s="2" t="s">
        <v>573</v>
      </c>
      <c r="D1792" s="2" t="str">
        <f t="shared" si="27"/>
        <v>Error?</v>
      </c>
    </row>
    <row r="1793" spans="1:4" x14ac:dyDescent="0.2">
      <c r="A1793" s="5">
        <v>1732</v>
      </c>
      <c r="B1793" s="138">
        <f>'Tax Sched 23'!F5</f>
        <v>1019218</v>
      </c>
      <c r="C1793" s="2" t="s">
        <v>573</v>
      </c>
      <c r="D1793" s="2" t="str">
        <f t="shared" si="27"/>
        <v>Error?</v>
      </c>
    </row>
    <row r="1794" spans="1:4" x14ac:dyDescent="0.2">
      <c r="A1794" s="5">
        <v>1733</v>
      </c>
      <c r="B1794" s="138">
        <f>'Tax Sched 23'!F6</f>
        <v>1855332</v>
      </c>
      <c r="C1794" s="2" t="s">
        <v>573</v>
      </c>
      <c r="D1794" s="2" t="str">
        <f t="shared" si="27"/>
        <v>Error?</v>
      </c>
    </row>
    <row r="1795" spans="1:4" x14ac:dyDescent="0.2">
      <c r="A1795" s="5">
        <v>1734</v>
      </c>
      <c r="B1795" s="138">
        <f>'Tax Sched 23'!F7</f>
        <v>210885</v>
      </c>
      <c r="C1795" s="2" t="s">
        <v>573</v>
      </c>
      <c r="D1795" s="2" t="str">
        <f t="shared" si="27"/>
        <v>Error?</v>
      </c>
    </row>
    <row r="1796" spans="1:4" x14ac:dyDescent="0.2">
      <c r="A1796" s="5">
        <v>1735</v>
      </c>
      <c r="B1796" s="138">
        <f>'Tax Sched 23'!F8</f>
        <v>70789</v>
      </c>
      <c r="C1796" s="2" t="s">
        <v>573</v>
      </c>
      <c r="D1796" s="2" t="str">
        <f t="shared" si="27"/>
        <v>Error?</v>
      </c>
    </row>
    <row r="1797" spans="1:4" x14ac:dyDescent="0.2">
      <c r="A1797" s="5">
        <v>1736</v>
      </c>
      <c r="B1797" s="138">
        <f>'Tax Sched 23'!F10</f>
        <v>92656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380261</v>
      </c>
      <c r="C1800" s="2" t="s">
        <v>573</v>
      </c>
      <c r="D1800" s="2" t="str">
        <f t="shared" si="27"/>
        <v>Error?</v>
      </c>
    </row>
    <row r="1801" spans="1:4" x14ac:dyDescent="0.2">
      <c r="A1801" s="5">
        <v>1740</v>
      </c>
      <c r="B1801" s="138">
        <f>'Tax Sched 23'!F12</f>
        <v>92656</v>
      </c>
      <c r="C1801" s="2" t="s">
        <v>573</v>
      </c>
      <c r="D1801" s="2" t="str">
        <f t="shared" si="27"/>
        <v>Error?</v>
      </c>
    </row>
    <row r="1802" spans="1:4" x14ac:dyDescent="0.2">
      <c r="A1802" s="5">
        <v>1741</v>
      </c>
      <c r="B1802" s="138">
        <f>'Tax Sched 23'!F14</f>
        <v>37062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7118619</v>
      </c>
      <c r="C1807" s="2" t="s">
        <v>573</v>
      </c>
      <c r="D1807" s="2" t="str">
        <f t="shared" si="27"/>
        <v>Error?</v>
      </c>
    </row>
    <row r="1808" spans="1:4" x14ac:dyDescent="0.2">
      <c r="A1808" s="5">
        <v>1747</v>
      </c>
      <c r="B1808" s="138">
        <f>'Tax Sched 23'!E4</f>
        <v>3207063</v>
      </c>
      <c r="D1808" s="2" t="str">
        <f t="shared" si="27"/>
        <v>Error?</v>
      </c>
    </row>
    <row r="1809" spans="1:4" x14ac:dyDescent="0.2">
      <c r="A1809" s="5">
        <v>1748</v>
      </c>
      <c r="B1809" s="138">
        <f>'Tax Sched 23'!E5</f>
        <v>1019218</v>
      </c>
      <c r="D1809" s="2" t="str">
        <f t="shared" si="27"/>
        <v>Error?</v>
      </c>
    </row>
    <row r="1810" spans="1:4" x14ac:dyDescent="0.2">
      <c r="A1810" s="5">
        <v>1749</v>
      </c>
      <c r="B1810" s="138">
        <f>'Tax Sched 23'!E6</f>
        <v>1855332</v>
      </c>
      <c r="D1810" s="2" t="str">
        <f t="shared" si="27"/>
        <v>Error?</v>
      </c>
    </row>
    <row r="1811" spans="1:4" x14ac:dyDescent="0.2">
      <c r="A1811" s="5">
        <v>1750</v>
      </c>
      <c r="B1811" s="138">
        <f>'Tax Sched 23'!E7</f>
        <v>210885</v>
      </c>
      <c r="D1811" s="2" t="str">
        <f t="shared" si="27"/>
        <v>Error?</v>
      </c>
    </row>
    <row r="1812" spans="1:4" x14ac:dyDescent="0.2">
      <c r="A1812" s="5">
        <v>1751</v>
      </c>
      <c r="B1812" s="138">
        <f>'Tax Sched 23'!E8</f>
        <v>70789</v>
      </c>
      <c r="D1812" s="2" t="str">
        <f t="shared" si="27"/>
        <v>Error?</v>
      </c>
    </row>
    <row r="1813" spans="1:4" x14ac:dyDescent="0.2">
      <c r="A1813" s="5">
        <v>1752</v>
      </c>
      <c r="B1813" s="138">
        <f>'Tax Sched 23'!E10</f>
        <v>92656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380261</v>
      </c>
      <c r="D1816" s="2" t="str">
        <f t="shared" si="27"/>
        <v>Error?</v>
      </c>
    </row>
    <row r="1817" spans="1:4" x14ac:dyDescent="0.2">
      <c r="A1817" s="5">
        <v>1756</v>
      </c>
      <c r="B1817" s="138">
        <f>'Tax Sched 23'!E12</f>
        <v>92656</v>
      </c>
      <c r="D1817" s="2" t="str">
        <f t="shared" si="27"/>
        <v>Error?</v>
      </c>
    </row>
    <row r="1818" spans="1:4" x14ac:dyDescent="0.2">
      <c r="A1818" s="5">
        <v>1757</v>
      </c>
      <c r="B1818" s="138">
        <f>'Tax Sched 23'!E14</f>
        <v>37062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7118619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2045000</v>
      </c>
      <c r="C1939" s="2" t="s">
        <v>573</v>
      </c>
      <c r="D1939" s="2" t="str">
        <f t="shared" si="29"/>
        <v>Error?</v>
      </c>
    </row>
    <row r="1940" spans="1:5" x14ac:dyDescent="0.2">
      <c r="A1940" s="5">
        <v>1879</v>
      </c>
      <c r="B1940" s="138">
        <f>'Short-Term Long-Term Debt 24'!F49</f>
        <v>1547000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35980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35980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35980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393889</v>
      </c>
      <c r="D2008" s="2" t="str">
        <f t="shared" si="30"/>
        <v>Error?</v>
      </c>
    </row>
    <row r="2009" spans="1:4" x14ac:dyDescent="0.2">
      <c r="A2009" s="5">
        <v>1948</v>
      </c>
      <c r="B2009" s="138">
        <f>'Cap Outlay Deprec 26'!C8</f>
        <v>27568827</v>
      </c>
      <c r="D2009" s="2" t="str">
        <f t="shared" si="30"/>
        <v>Error?</v>
      </c>
    </row>
    <row r="2010" spans="1:4" x14ac:dyDescent="0.2">
      <c r="A2010" s="5">
        <v>1949</v>
      </c>
      <c r="B2010" s="138">
        <f>'Cap Outlay Deprec 26'!C10</f>
        <v>1702080</v>
      </c>
      <c r="D2010" s="2" t="str">
        <f t="shared" si="30"/>
        <v>Error?</v>
      </c>
    </row>
    <row r="2011" spans="1:4" x14ac:dyDescent="0.2">
      <c r="A2011" s="5">
        <v>1950</v>
      </c>
      <c r="B2011" s="138">
        <f>'Cap Outlay Deprec 26'!C12</f>
        <v>1038643</v>
      </c>
      <c r="D2011" s="2" t="str">
        <f t="shared" si="30"/>
        <v>Error?</v>
      </c>
    </row>
    <row r="2012" spans="1:4" x14ac:dyDescent="0.2">
      <c r="A2012" s="5">
        <v>1951</v>
      </c>
      <c r="B2012" s="138">
        <f>'Cap Outlay Deprec 26'!C13</f>
        <v>124089</v>
      </c>
      <c r="D2012" s="2" t="str">
        <f t="shared" si="30"/>
        <v>Error?</v>
      </c>
    </row>
    <row r="2013" spans="1:4" x14ac:dyDescent="0.2">
      <c r="A2013" s="5">
        <v>1952</v>
      </c>
      <c r="B2013" s="138">
        <f>'Cap Outlay Deprec 26'!C16</f>
        <v>30827528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27102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27102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44601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44601</v>
      </c>
      <c r="C2025" s="2" t="s">
        <v>573</v>
      </c>
      <c r="D2025" s="2" t="str">
        <f t="shared" si="30"/>
        <v>Error?</v>
      </c>
    </row>
    <row r="2026" spans="1:4" x14ac:dyDescent="0.2">
      <c r="A2026" s="5">
        <v>1965</v>
      </c>
      <c r="B2026" s="138">
        <f>'Cap Outlay Deprec 26'!F5</f>
        <v>393889</v>
      </c>
      <c r="C2026" s="2" t="s">
        <v>573</v>
      </c>
      <c r="D2026" s="2" t="str">
        <f t="shared" si="30"/>
        <v>Error?</v>
      </c>
    </row>
    <row r="2027" spans="1:4" x14ac:dyDescent="0.2">
      <c r="A2027" s="5">
        <v>1966</v>
      </c>
      <c r="B2027" s="138">
        <f>'Cap Outlay Deprec 26'!F8</f>
        <v>27568827</v>
      </c>
      <c r="C2027" s="2" t="s">
        <v>573</v>
      </c>
      <c r="D2027" s="2" t="str">
        <f t="shared" si="30"/>
        <v>Error?</v>
      </c>
    </row>
    <row r="2028" spans="1:4" x14ac:dyDescent="0.2">
      <c r="A2028" s="5">
        <v>1967</v>
      </c>
      <c r="B2028" s="138">
        <f>'Cap Outlay Deprec 26'!F10</f>
        <v>1702080</v>
      </c>
      <c r="C2028" s="2" t="s">
        <v>573</v>
      </c>
      <c r="D2028" s="2" t="str">
        <f t="shared" si="30"/>
        <v>Error?</v>
      </c>
    </row>
    <row r="2029" spans="1:4" x14ac:dyDescent="0.2">
      <c r="A2029" s="5">
        <v>1968</v>
      </c>
      <c r="B2029" s="138">
        <f>'Cap Outlay Deprec 26'!F12</f>
        <v>1021144</v>
      </c>
      <c r="C2029" s="2" t="s">
        <v>573</v>
      </c>
      <c r="D2029" s="2" t="str">
        <f t="shared" si="30"/>
        <v>Error?</v>
      </c>
    </row>
    <row r="2030" spans="1:4" x14ac:dyDescent="0.2">
      <c r="A2030" s="5">
        <v>1969</v>
      </c>
      <c r="B2030" s="138">
        <f>'Cap Outlay Deprec 26'!F13</f>
        <v>124089</v>
      </c>
      <c r="C2030" s="2" t="s">
        <v>573</v>
      </c>
      <c r="D2030" s="2" t="str">
        <f t="shared" si="30"/>
        <v>Error?</v>
      </c>
    </row>
    <row r="2031" spans="1:4" x14ac:dyDescent="0.2">
      <c r="A2031" s="5">
        <v>1970</v>
      </c>
      <c r="B2031" s="138">
        <f>'Cap Outlay Deprec 26'!F16</f>
        <v>30810029</v>
      </c>
      <c r="C2031" s="2" t="s">
        <v>573</v>
      </c>
      <c r="D2031" s="2" t="str">
        <f t="shared" si="30"/>
        <v>Error?</v>
      </c>
    </row>
    <row r="2032" spans="1:4" x14ac:dyDescent="0.2">
      <c r="A2032" s="10">
        <v>1971</v>
      </c>
      <c r="D2032" s="2" t="str">
        <f t="shared" si="30"/>
        <v>OK</v>
      </c>
    </row>
    <row r="2033" spans="1:4" x14ac:dyDescent="0.2">
      <c r="A2033" s="5">
        <v>1972</v>
      </c>
      <c r="B2033" s="138">
        <f>'Cap Outlay Deprec 26'!H8</f>
        <v>9980095</v>
      </c>
      <c r="D2033" s="2" t="str">
        <f t="shared" si="30"/>
        <v>Error?</v>
      </c>
    </row>
    <row r="2034" spans="1:4" x14ac:dyDescent="0.2">
      <c r="A2034" s="5">
        <v>1973</v>
      </c>
      <c r="B2034" s="138">
        <f>'Cap Outlay Deprec 26'!H10</f>
        <v>1126070</v>
      </c>
      <c r="D2034" s="2" t="str">
        <f t="shared" si="30"/>
        <v>Error?</v>
      </c>
    </row>
    <row r="2035" spans="1:4" x14ac:dyDescent="0.2">
      <c r="A2035" s="5">
        <v>1974</v>
      </c>
      <c r="B2035" s="138">
        <f>'Cap Outlay Deprec 26'!H12</f>
        <v>831937</v>
      </c>
      <c r="D2035" s="2" t="str">
        <f t="shared" si="30"/>
        <v>Error?</v>
      </c>
    </row>
    <row r="2036" spans="1:4" x14ac:dyDescent="0.2">
      <c r="A2036" s="5">
        <v>1975</v>
      </c>
      <c r="B2036" s="138">
        <f>'Cap Outlay Deprec 26'!H13</f>
        <v>113299</v>
      </c>
      <c r="D2036" s="2" t="str">
        <f t="shared" si="30"/>
        <v>Error?</v>
      </c>
    </row>
    <row r="2037" spans="1:4" x14ac:dyDescent="0.2">
      <c r="A2037" s="5">
        <v>1976</v>
      </c>
      <c r="B2037" s="138">
        <f>'Cap Outlay Deprec 26'!H16</f>
        <v>12051401</v>
      </c>
      <c r="C2037" s="2" t="s">
        <v>573</v>
      </c>
      <c r="D2037" s="2" t="str">
        <f t="shared" si="30"/>
        <v>Error?</v>
      </c>
    </row>
    <row r="2038" spans="1:4" x14ac:dyDescent="0.2">
      <c r="A2038" s="10">
        <v>1977</v>
      </c>
      <c r="D2038" s="2" t="str">
        <f t="shared" si="30"/>
        <v>OK</v>
      </c>
    </row>
    <row r="2039" spans="1:4" x14ac:dyDescent="0.2">
      <c r="A2039" s="5">
        <v>1978</v>
      </c>
      <c r="B2039" s="138">
        <f>'Cap Outlay Deprec 26'!I8</f>
        <v>315768</v>
      </c>
      <c r="D2039" s="2" t="str">
        <f t="shared" si="30"/>
        <v>Error?</v>
      </c>
    </row>
    <row r="2040" spans="1:4" x14ac:dyDescent="0.2">
      <c r="A2040" s="5">
        <v>1979</v>
      </c>
      <c r="B2040" s="138">
        <f>'Cap Outlay Deprec 26'!I10</f>
        <v>20189</v>
      </c>
      <c r="D2040" s="2" t="str">
        <f t="shared" si="30"/>
        <v>Error?</v>
      </c>
    </row>
    <row r="2041" spans="1:4" x14ac:dyDescent="0.2">
      <c r="A2041" s="5">
        <v>1980</v>
      </c>
      <c r="B2041" s="138">
        <f>'Cap Outlay Deprec 26'!I12</f>
        <v>78567</v>
      </c>
      <c r="D2041" s="2" t="str">
        <f t="shared" si="30"/>
        <v>Error?</v>
      </c>
    </row>
    <row r="2042" spans="1:4" x14ac:dyDescent="0.2">
      <c r="A2042" s="5">
        <v>1981</v>
      </c>
      <c r="B2042" s="138">
        <f>'Cap Outlay Deprec 26'!I13</f>
        <v>6481</v>
      </c>
      <c r="D2042" s="2" t="str">
        <f t="shared" si="30"/>
        <v>Error?</v>
      </c>
    </row>
    <row r="2043" spans="1:4" x14ac:dyDescent="0.2">
      <c r="A2043" s="5">
        <v>1982</v>
      </c>
      <c r="B2043" s="138">
        <f>'Cap Outlay Deprec 26'!I16</f>
        <v>421005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44601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44601</v>
      </c>
      <c r="C2049" s="2" t="s">
        <v>573</v>
      </c>
      <c r="D2049" s="2" t="str">
        <f t="shared" si="31"/>
        <v>Error?</v>
      </c>
    </row>
    <row r="2050" spans="1:4" x14ac:dyDescent="0.2">
      <c r="A2050" s="10">
        <v>1989</v>
      </c>
      <c r="D2050" s="2" t="str">
        <f t="shared" si="31"/>
        <v>OK</v>
      </c>
    </row>
    <row r="2051" spans="1:4" x14ac:dyDescent="0.2">
      <c r="A2051" s="5">
        <v>1990</v>
      </c>
      <c r="B2051" s="138">
        <f>'Cap Outlay Deprec 26'!K8</f>
        <v>10295863</v>
      </c>
      <c r="C2051" s="2" t="s">
        <v>573</v>
      </c>
      <c r="D2051" s="2" t="str">
        <f t="shared" si="31"/>
        <v>Error?</v>
      </c>
    </row>
    <row r="2052" spans="1:4" x14ac:dyDescent="0.2">
      <c r="A2052" s="5">
        <v>1991</v>
      </c>
      <c r="B2052" s="138">
        <f>'Cap Outlay Deprec 26'!K10</f>
        <v>1146259</v>
      </c>
      <c r="C2052" s="2" t="s">
        <v>573</v>
      </c>
      <c r="D2052" s="2" t="str">
        <f t="shared" si="31"/>
        <v>Error?</v>
      </c>
    </row>
    <row r="2053" spans="1:4" x14ac:dyDescent="0.2">
      <c r="A2053" s="5">
        <v>1992</v>
      </c>
      <c r="B2053" s="138">
        <f>'Cap Outlay Deprec 26'!K12</f>
        <v>865903</v>
      </c>
      <c r="C2053" s="2" t="s">
        <v>573</v>
      </c>
      <c r="D2053" s="2" t="str">
        <f t="shared" si="31"/>
        <v>Error?</v>
      </c>
    </row>
    <row r="2054" spans="1:4" x14ac:dyDescent="0.2">
      <c r="A2054" s="5">
        <v>1993</v>
      </c>
      <c r="B2054" s="138">
        <f>'Cap Outlay Deprec 26'!K13</f>
        <v>119780</v>
      </c>
      <c r="C2054" s="2" t="s">
        <v>573</v>
      </c>
      <c r="D2054" s="2" t="str">
        <f t="shared" si="31"/>
        <v>Error?</v>
      </c>
    </row>
    <row r="2055" spans="1:4" x14ac:dyDescent="0.2">
      <c r="A2055" s="5">
        <v>1994</v>
      </c>
      <c r="B2055" s="138">
        <f>'Cap Outlay Deprec 26'!K16</f>
        <v>12427805</v>
      </c>
      <c r="C2055" s="2" t="s">
        <v>573</v>
      </c>
      <c r="D2055" s="2" t="str">
        <f t="shared" si="31"/>
        <v>Error?</v>
      </c>
    </row>
    <row r="2056" spans="1:4" x14ac:dyDescent="0.2">
      <c r="A2056" s="5">
        <v>1995</v>
      </c>
      <c r="B2056" s="138">
        <f>'Cap Outlay Deprec 26'!L5</f>
        <v>393889</v>
      </c>
      <c r="C2056" s="2" t="s">
        <v>573</v>
      </c>
      <c r="D2056" s="2" t="str">
        <f t="shared" si="31"/>
        <v>Error?</v>
      </c>
    </row>
    <row r="2057" spans="1:4" x14ac:dyDescent="0.2">
      <c r="A2057" s="5">
        <v>1996</v>
      </c>
      <c r="B2057" s="138">
        <f>'Cap Outlay Deprec 26'!L8</f>
        <v>17272964</v>
      </c>
      <c r="C2057" s="2" t="s">
        <v>573</v>
      </c>
      <c r="D2057" s="2" t="str">
        <f t="shared" si="31"/>
        <v>Error?</v>
      </c>
    </row>
    <row r="2058" spans="1:4" x14ac:dyDescent="0.2">
      <c r="A2058" s="5">
        <v>1997</v>
      </c>
      <c r="B2058" s="138">
        <f>'Cap Outlay Deprec 26'!L10</f>
        <v>555821</v>
      </c>
      <c r="C2058" s="2" t="s">
        <v>573</v>
      </c>
      <c r="D2058" s="2" t="str">
        <f t="shared" si="31"/>
        <v>Error?</v>
      </c>
    </row>
    <row r="2059" spans="1:4" x14ac:dyDescent="0.2">
      <c r="A2059" s="5">
        <v>1998</v>
      </c>
      <c r="B2059" s="138">
        <f>'Cap Outlay Deprec 26'!L12</f>
        <v>155241</v>
      </c>
      <c r="C2059" s="2" t="s">
        <v>573</v>
      </c>
      <c r="D2059" s="2" t="str">
        <f t="shared" si="31"/>
        <v>Error?</v>
      </c>
    </row>
    <row r="2060" spans="1:4" x14ac:dyDescent="0.2">
      <c r="A2060" s="5">
        <v>1999</v>
      </c>
      <c r="B2060" s="138">
        <f>'Cap Outlay Deprec 26'!L13</f>
        <v>4309</v>
      </c>
      <c r="C2060" s="2" t="s">
        <v>573</v>
      </c>
      <c r="D2060" s="2" t="str">
        <f t="shared" si="31"/>
        <v>Error?</v>
      </c>
    </row>
    <row r="2061" spans="1:4" x14ac:dyDescent="0.2">
      <c r="A2061" s="5">
        <v>2000</v>
      </c>
      <c r="B2061" s="138">
        <f>'Cap Outlay Deprec 26'!L16</f>
        <v>18382224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1996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15772</v>
      </c>
      <c r="C2088" s="2" t="s">
        <v>573</v>
      </c>
      <c r="D2088" s="2" t="str">
        <f t="shared" si="31"/>
        <v>Error?</v>
      </c>
    </row>
    <row r="2089" spans="1:4" x14ac:dyDescent="0.2">
      <c r="A2089" s="5">
        <v>2028</v>
      </c>
      <c r="B2089" s="138">
        <f>'Expenditures 15-22'!K92</f>
        <v>205914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260632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3793008</v>
      </c>
      <c r="C2551" s="2" t="s">
        <v>573</v>
      </c>
      <c r="D2551" s="2" t="str">
        <f t="shared" si="38"/>
        <v>Error?</v>
      </c>
    </row>
    <row r="2552" spans="1:4" x14ac:dyDescent="0.2">
      <c r="A2552" s="10">
        <v>2491</v>
      </c>
      <c r="D2552" s="2" t="str">
        <f t="shared" si="38"/>
        <v>OK</v>
      </c>
    </row>
    <row r="2553" spans="1:4" x14ac:dyDescent="0.2">
      <c r="A2553" s="5">
        <v>2492</v>
      </c>
      <c r="B2553" s="138">
        <f>'Acct Summary 7-8'!C6</f>
        <v>1233526</v>
      </c>
      <c r="C2553" s="2" t="s">
        <v>573</v>
      </c>
      <c r="D2553" s="2" t="str">
        <f t="shared" si="38"/>
        <v>Error?</v>
      </c>
    </row>
    <row r="2554" spans="1:4" x14ac:dyDescent="0.2">
      <c r="A2554" s="5">
        <v>2493</v>
      </c>
      <c r="B2554" s="138">
        <f>'Acct Summary 7-8'!C7</f>
        <v>384567</v>
      </c>
      <c r="C2554" s="2" t="s">
        <v>573</v>
      </c>
      <c r="D2554" s="2" t="str">
        <f t="shared" si="38"/>
        <v>Error?</v>
      </c>
    </row>
    <row r="2555" spans="1:4" x14ac:dyDescent="0.2">
      <c r="A2555" s="5">
        <v>2494</v>
      </c>
      <c r="B2555" s="138">
        <f>'Acct Summary 7-8'!C8</f>
        <v>5411101</v>
      </c>
      <c r="C2555" s="2" t="s">
        <v>573</v>
      </c>
      <c r="D2555" s="2" t="str">
        <f t="shared" si="38"/>
        <v>Error?</v>
      </c>
    </row>
    <row r="2556" spans="1:4" x14ac:dyDescent="0.2">
      <c r="A2556" s="5">
        <v>2495</v>
      </c>
      <c r="B2556" s="138">
        <f>'Acct Summary 7-8'!C12</f>
        <v>4132868</v>
      </c>
      <c r="C2556" s="2" t="s">
        <v>573</v>
      </c>
      <c r="D2556" s="2" t="str">
        <f t="shared" si="38"/>
        <v>Error?</v>
      </c>
    </row>
    <row r="2557" spans="1:4" x14ac:dyDescent="0.2">
      <c r="A2557" s="5">
        <v>2496</v>
      </c>
      <c r="B2557" s="138">
        <f>'Acct Summary 7-8'!C13</f>
        <v>1228859</v>
      </c>
      <c r="C2557" s="2" t="s">
        <v>573</v>
      </c>
      <c r="D2557" s="2" t="str">
        <f t="shared" si="38"/>
        <v>Error?</v>
      </c>
    </row>
    <row r="2558" spans="1:4" x14ac:dyDescent="0.2">
      <c r="A2558" s="5">
        <v>2497</v>
      </c>
      <c r="B2558" s="138">
        <f>'Acct Summary 7-8'!C14</f>
        <v>110363</v>
      </c>
      <c r="C2558" s="2" t="s">
        <v>573</v>
      </c>
      <c r="D2558" s="2" t="str">
        <f t="shared" si="38"/>
        <v>Error?</v>
      </c>
    </row>
    <row r="2559" spans="1:4" x14ac:dyDescent="0.2">
      <c r="A2559" s="5">
        <v>2498</v>
      </c>
      <c r="B2559" s="138">
        <f>'Acct Summary 7-8'!C15</f>
        <v>221686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5693776</v>
      </c>
      <c r="C2561" s="2" t="s">
        <v>573</v>
      </c>
      <c r="D2561" s="2" t="str">
        <f t="shared" si="39"/>
        <v>Error?</v>
      </c>
    </row>
    <row r="2562" spans="1:4" x14ac:dyDescent="0.2">
      <c r="A2562" s="5">
        <v>2501</v>
      </c>
      <c r="B2562" s="138">
        <f>'Acct Summary 7-8'!C20</f>
        <v>-282675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1048464</v>
      </c>
      <c r="C2564" s="2" t="s">
        <v>573</v>
      </c>
      <c r="D2564" s="2" t="str">
        <f t="shared" si="39"/>
        <v>Error?</v>
      </c>
    </row>
    <row r="2565" spans="1:4" x14ac:dyDescent="0.2">
      <c r="A2565" s="10">
        <v>2504</v>
      </c>
      <c r="D2565" s="2" t="str">
        <f t="shared" si="39"/>
        <v>OK</v>
      </c>
    </row>
    <row r="2566" spans="1:4" x14ac:dyDescent="0.2">
      <c r="A2566" s="5">
        <v>2505</v>
      </c>
      <c r="B2566" s="138">
        <f>'Acct Summary 7-8'!D6</f>
        <v>542091</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1590555</v>
      </c>
      <c r="C2568" s="2" t="s">
        <v>573</v>
      </c>
      <c r="D2568" s="2" t="str">
        <f t="shared" si="39"/>
        <v>Error?</v>
      </c>
    </row>
    <row r="2569" spans="1:4" x14ac:dyDescent="0.2">
      <c r="A2569" s="5">
        <v>2508</v>
      </c>
      <c r="B2569" s="138">
        <f>'Acct Summary 7-8'!D13</f>
        <v>1527547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1527547</v>
      </c>
      <c r="C2573" s="2" t="s">
        <v>573</v>
      </c>
      <c r="D2573" s="2" t="str">
        <f t="shared" si="39"/>
        <v>Error?</v>
      </c>
    </row>
    <row r="2574" spans="1:4" x14ac:dyDescent="0.2">
      <c r="A2574" s="5">
        <v>2513</v>
      </c>
      <c r="B2574" s="138">
        <f>'Acct Summary 7-8'!D20</f>
        <v>63008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220411</v>
      </c>
      <c r="C2591" s="2" t="s">
        <v>573</v>
      </c>
      <c r="D2591" s="2" t="str">
        <f t="shared" si="39"/>
        <v>Error?</v>
      </c>
    </row>
    <row r="2592" spans="1:4" x14ac:dyDescent="0.2">
      <c r="A2592" s="10">
        <v>2531</v>
      </c>
      <c r="D2592" s="2" t="str">
        <f t="shared" si="39"/>
        <v>OK</v>
      </c>
    </row>
    <row r="2593" spans="1:4" x14ac:dyDescent="0.2">
      <c r="A2593" s="5">
        <v>2532</v>
      </c>
      <c r="B2593" s="138">
        <f>'Acct Summary 7-8'!F6</f>
        <v>142623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363034</v>
      </c>
      <c r="C2595" s="2" t="s">
        <v>573</v>
      </c>
      <c r="D2595" s="2" t="str">
        <f t="shared" si="39"/>
        <v>Error?</v>
      </c>
    </row>
    <row r="2596" spans="1:4" x14ac:dyDescent="0.2">
      <c r="A2596" s="5">
        <v>2535</v>
      </c>
      <c r="B2596" s="138">
        <f>'Acct Summary 7-8'!F13</f>
        <v>377094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377094</v>
      </c>
      <c r="C2600" s="2" t="s">
        <v>573</v>
      </c>
      <c r="D2600" s="2" t="str">
        <f t="shared" si="39"/>
        <v>Error?</v>
      </c>
    </row>
    <row r="2601" spans="1:4" x14ac:dyDescent="0.2">
      <c r="A2601" s="5">
        <v>2540</v>
      </c>
      <c r="B2601" s="138">
        <f>'Acct Summary 7-8'!F20</f>
        <v>-14060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165568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165568</v>
      </c>
      <c r="C2606" s="2" t="s">
        <v>573</v>
      </c>
      <c r="D2606" s="2" t="str">
        <f t="shared" si="39"/>
        <v>Error?</v>
      </c>
    </row>
    <row r="2607" spans="1:4" x14ac:dyDescent="0.2">
      <c r="A2607" s="5">
        <v>2546</v>
      </c>
      <c r="B2607" s="138">
        <f>'Acct Summary 7-8'!G12</f>
        <v>99022</v>
      </c>
      <c r="C2607" s="2" t="s">
        <v>573</v>
      </c>
      <c r="D2607" s="2" t="str">
        <f t="shared" si="39"/>
        <v>Error?</v>
      </c>
    </row>
    <row r="2608" spans="1:4" x14ac:dyDescent="0.2">
      <c r="A2608" s="5">
        <v>2547</v>
      </c>
      <c r="B2608" s="138">
        <f>'Acct Summary 7-8'!G13</f>
        <v>105861</v>
      </c>
      <c r="C2608" s="2" t="s">
        <v>573</v>
      </c>
      <c r="D2608" s="2" t="str">
        <f t="shared" si="39"/>
        <v>Error?</v>
      </c>
    </row>
    <row r="2609" spans="1:4" x14ac:dyDescent="0.2">
      <c r="A2609" s="5">
        <v>2548</v>
      </c>
      <c r="B2609" s="138">
        <f>'Acct Summary 7-8'!G14</f>
        <v>11092</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216528</v>
      </c>
      <c r="C2612" s="2" t="s">
        <v>573</v>
      </c>
      <c r="D2612" s="2" t="str">
        <f t="shared" si="39"/>
        <v>Error?</v>
      </c>
    </row>
    <row r="2613" spans="1:4" x14ac:dyDescent="0.2">
      <c r="A2613" s="5">
        <v>2552</v>
      </c>
      <c r="B2613" s="138">
        <f>'Acct Summary 7-8'!G20</f>
        <v>-50960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1833565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1833565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1837673</v>
      </c>
      <c r="C2634" s="2" t="s">
        <v>573</v>
      </c>
      <c r="D2634" s="2" t="str">
        <f t="shared" si="40"/>
        <v>Error?</v>
      </c>
    </row>
    <row r="2635" spans="1:4" x14ac:dyDescent="0.2">
      <c r="A2635" s="5">
        <v>2574</v>
      </c>
      <c r="B2635" s="138">
        <f>'Acct Summary 7-8'!E17</f>
        <v>1837673</v>
      </c>
      <c r="C2635" s="2" t="s">
        <v>573</v>
      </c>
      <c r="D2635" s="2" t="str">
        <f t="shared" si="40"/>
        <v>Error?</v>
      </c>
    </row>
    <row r="2636" spans="1:4" x14ac:dyDescent="0.2">
      <c r="A2636" s="5">
        <v>2575</v>
      </c>
      <c r="B2636" s="138">
        <f>'Acct Summary 7-8'!E20</f>
        <v>-4108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13776</v>
      </c>
      <c r="C2789" s="2" t="s">
        <v>573</v>
      </c>
      <c r="D2789" s="2" t="str">
        <f t="shared" si="42"/>
        <v>Error?</v>
      </c>
    </row>
    <row r="2790" spans="1:4" x14ac:dyDescent="0.2">
      <c r="A2790" s="5">
        <v>2729</v>
      </c>
      <c r="B2790" s="138">
        <f>'Expenditures 15-22'!E102</f>
        <v>13776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2740011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99607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2740011</v>
      </c>
      <c r="D2912" s="2" t="str">
        <f t="shared" si="44"/>
        <v>Error?</v>
      </c>
    </row>
    <row r="2913" spans="1:4" x14ac:dyDescent="0.2">
      <c r="A2913" s="5">
        <v>2852</v>
      </c>
      <c r="B2913" s="138">
        <f>'Assets-Liab 5-6'!I41</f>
        <v>2740011</v>
      </c>
      <c r="C2913" s="2" t="s">
        <v>573</v>
      </c>
      <c r="D2913" s="2" t="str">
        <f t="shared" si="44"/>
        <v>Error?</v>
      </c>
    </row>
    <row r="2914" spans="1:4" x14ac:dyDescent="0.2">
      <c r="A2914" s="5">
        <v>2853</v>
      </c>
      <c r="B2914" s="138">
        <f>'Assets-Liab 5-6'!L33</f>
        <v>99607</v>
      </c>
      <c r="D2914" s="2" t="str">
        <f t="shared" si="44"/>
        <v>Error?</v>
      </c>
    </row>
    <row r="2915" spans="1:4" x14ac:dyDescent="0.2">
      <c r="A2915" s="10">
        <v>2854</v>
      </c>
      <c r="D2915" s="2" t="str">
        <f t="shared" si="44"/>
        <v>OK</v>
      </c>
    </row>
    <row r="2916" spans="1:4" x14ac:dyDescent="0.2">
      <c r="A2916" s="5">
        <v>2855</v>
      </c>
      <c r="B2916" s="138">
        <f>'Assets-Liab 5-6'!L34</f>
        <v>99607</v>
      </c>
      <c r="C2916" s="2" t="s">
        <v>573</v>
      </c>
      <c r="D2916" s="2" t="str">
        <f t="shared" si="44"/>
        <v>Error?</v>
      </c>
    </row>
    <row r="2917" spans="1:4" x14ac:dyDescent="0.2">
      <c r="A2917" s="5">
        <v>2856</v>
      </c>
      <c r="B2917" s="138">
        <f>'Assets-Liab 5-6'!L41</f>
        <v>99607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13776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1996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15772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80496</v>
      </c>
      <c r="D3055" s="2" t="str">
        <f t="shared" si="46"/>
        <v>Error?</v>
      </c>
    </row>
    <row r="3056" spans="1:4" x14ac:dyDescent="0.2">
      <c r="A3056" s="5">
        <v>2995</v>
      </c>
      <c r="B3056" s="138">
        <f>'Expenditures 15-22'!D10</f>
        <v>4591</v>
      </c>
      <c r="D3056" s="2" t="str">
        <f t="shared" si="46"/>
        <v>Error?</v>
      </c>
    </row>
    <row r="3057" spans="1:4" x14ac:dyDescent="0.2">
      <c r="A3057" s="5">
        <v>2996</v>
      </c>
      <c r="B3057" s="138">
        <f>'Expenditures 15-22'!E10</f>
        <v>1204</v>
      </c>
      <c r="D3057" s="2" t="str">
        <f t="shared" si="46"/>
        <v>Error?</v>
      </c>
    </row>
    <row r="3058" spans="1:4" x14ac:dyDescent="0.2">
      <c r="A3058" s="5">
        <v>2997</v>
      </c>
      <c r="B3058" s="138">
        <f>'Expenditures 15-22'!F10</f>
        <v>610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86901</v>
      </c>
      <c r="C3062" s="2" t="s">
        <v>573</v>
      </c>
      <c r="D3062" s="2" t="str">
        <f t="shared" si="46"/>
        <v>Error?</v>
      </c>
    </row>
    <row r="3063" spans="1:4" x14ac:dyDescent="0.2">
      <c r="A3063" s="10">
        <v>3002</v>
      </c>
      <c r="D3063" s="2" t="str">
        <f t="shared" si="46"/>
        <v>OK</v>
      </c>
    </row>
    <row r="3064" spans="1:4" x14ac:dyDescent="0.2">
      <c r="A3064" s="5">
        <v>3003</v>
      </c>
      <c r="B3064" s="138">
        <f>'Expenditures 15-22'!D219</f>
        <v>13602</v>
      </c>
      <c r="D3064" s="2" t="str">
        <f t="shared" si="46"/>
        <v>Error?</v>
      </c>
    </row>
    <row r="3065" spans="1:4" x14ac:dyDescent="0.2">
      <c r="A3065" s="5">
        <v>3004</v>
      </c>
      <c r="B3065" s="138">
        <f>'Expenditures 15-22'!K219</f>
        <v>13602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97523</v>
      </c>
      <c r="C3225" s="2" t="s">
        <v>573</v>
      </c>
      <c r="D3225" s="2" t="str">
        <f t="shared" si="49"/>
        <v>Error?</v>
      </c>
    </row>
    <row r="3226" spans="1:4" x14ac:dyDescent="0.2">
      <c r="A3226" s="5">
        <v>3165</v>
      </c>
      <c r="B3226" s="138">
        <f>'Acct Summary 7-8'!I8</f>
        <v>97523</v>
      </c>
      <c r="C3226" s="2" t="s">
        <v>573</v>
      </c>
      <c r="D3226" s="2" t="str">
        <f t="shared" si="49"/>
        <v>Error?</v>
      </c>
    </row>
    <row r="3227" spans="1:4" x14ac:dyDescent="0.2">
      <c r="A3227" s="5">
        <v>3166</v>
      </c>
      <c r="B3227" s="138">
        <f>'Acct Summary 7-8'!I20</f>
        <v>97523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300000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300000</v>
      </c>
      <c r="C3232" s="2" t="s">
        <v>573</v>
      </c>
      <c r="D3232" s="2" t="str">
        <f t="shared" si="49"/>
        <v>Error?</v>
      </c>
    </row>
    <row r="3233" spans="1:4" x14ac:dyDescent="0.2">
      <c r="A3233" s="5">
        <v>3172</v>
      </c>
      <c r="B3233" s="138">
        <f>'Acct Summary 7-8'!C78</f>
        <v>17325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63008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-14060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-50960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-4108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1570391</v>
      </c>
      <c r="C3317" s="2" t="s">
        <v>573</v>
      </c>
      <c r="D3317" s="2" t="str">
        <f t="shared" si="50"/>
        <v>Error?</v>
      </c>
    </row>
    <row r="3318" spans="1:4" x14ac:dyDescent="0.2">
      <c r="A3318" s="5">
        <v>3257</v>
      </c>
      <c r="B3318" s="138">
        <f>'Acct Summary 7-8'!I76</f>
        <v>324064</v>
      </c>
      <c r="C3318" s="2" t="s">
        <v>573</v>
      </c>
      <c r="D3318" s="2" t="str">
        <f t="shared" si="50"/>
        <v>Error?</v>
      </c>
    </row>
    <row r="3319" spans="1:4" x14ac:dyDescent="0.2">
      <c r="A3319" s="5">
        <v>3258</v>
      </c>
      <c r="B3319" s="138">
        <f>'Acct Summary 7-8'!I77</f>
        <v>1246327</v>
      </c>
      <c r="C3319" s="2" t="s">
        <v>573</v>
      </c>
      <c r="D3319" s="2" t="str">
        <f t="shared" si="50"/>
        <v>Error?</v>
      </c>
    </row>
    <row r="3320" spans="1:4" x14ac:dyDescent="0.2">
      <c r="A3320" s="5">
        <v>3259</v>
      </c>
      <c r="B3320" s="138">
        <f>'Acct Summary 7-8'!I78</f>
        <v>1343850</v>
      </c>
      <c r="C3320" s="2" t="s">
        <v>573</v>
      </c>
      <c r="D3320" s="2" t="str">
        <f t="shared" si="50"/>
        <v>Error?</v>
      </c>
    </row>
    <row r="3321" spans="1:4" x14ac:dyDescent="0.2">
      <c r="A3321" s="5">
        <v>3260</v>
      </c>
      <c r="B3321" s="138">
        <f>'Acct Summary 7-8'!I79</f>
        <v>1396161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2740011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413256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74046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549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226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488077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44298</v>
      </c>
      <c r="D3387" s="2" t="str">
        <f t="shared" si="51"/>
        <v>Error?</v>
      </c>
    </row>
    <row r="3388" spans="1:4" x14ac:dyDescent="0.2">
      <c r="A3388" s="5">
        <v>3327</v>
      </c>
      <c r="B3388" s="138">
        <f>'Expenditures 15-22'!D217</f>
        <v>30381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44298</v>
      </c>
      <c r="C3390" s="2" t="s">
        <v>573</v>
      </c>
      <c r="D3390" s="2" t="str">
        <f t="shared" si="51"/>
        <v>Error?</v>
      </c>
    </row>
    <row r="3391" spans="1:4" x14ac:dyDescent="0.2">
      <c r="A3391" s="5">
        <v>3330</v>
      </c>
      <c r="B3391" s="138">
        <f>'Expenditures 15-22'!K217</f>
        <v>30381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73336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1666439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125215</v>
      </c>
      <c r="D3417" s="2" t="str">
        <f t="shared" si="52"/>
        <v>Error?</v>
      </c>
    </row>
    <row r="3418" spans="1:4" x14ac:dyDescent="0.2">
      <c r="A3418" s="10">
        <v>3357</v>
      </c>
      <c r="D3418" s="2" t="str">
        <f t="shared" si="52"/>
        <v>OK</v>
      </c>
    </row>
    <row r="3419" spans="1:4" x14ac:dyDescent="0.2">
      <c r="A3419" s="5">
        <v>3358</v>
      </c>
      <c r="B3419" s="138">
        <f>'Assets-Liab 5-6'!F4</f>
        <v>499590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219849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2740011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99607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69794</v>
      </c>
      <c r="C3446" s="2" t="s">
        <v>573</v>
      </c>
      <c r="D3446" s="2" t="str">
        <f t="shared" si="52"/>
        <v>Error?</v>
      </c>
    </row>
    <row r="3447" spans="1:4" x14ac:dyDescent="0.2">
      <c r="A3447" s="5">
        <v>3386</v>
      </c>
      <c r="B3447" s="138">
        <f>'Tax Sched 23'!D16</f>
        <v>69794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75978</v>
      </c>
      <c r="C3449" s="2" t="s">
        <v>573</v>
      </c>
      <c r="D3449" s="2" t="str">
        <f t="shared" si="52"/>
        <v>Error?</v>
      </c>
    </row>
    <row r="3450" spans="1:4" x14ac:dyDescent="0.2">
      <c r="A3450" s="5">
        <v>3389</v>
      </c>
      <c r="B3450" s="138">
        <f>'Tax Sched 23'!E16</f>
        <v>75978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383550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383550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383550</v>
      </c>
      <c r="D3567" s="2" t="str">
        <f t="shared" si="54"/>
        <v>Error?</v>
      </c>
    </row>
    <row r="3568" spans="1:4" x14ac:dyDescent="0.2">
      <c r="A3568" s="5">
        <v>3507</v>
      </c>
      <c r="B3568" s="138">
        <f>'Assets-Liab 5-6'!K41</f>
        <v>383550</v>
      </c>
      <c r="C3568" s="2" t="s">
        <v>573</v>
      </c>
      <c r="D3568" s="2" t="str">
        <f t="shared" si="54"/>
        <v>Error?</v>
      </c>
    </row>
    <row r="3569" spans="1:4" x14ac:dyDescent="0.2">
      <c r="A3569" s="5">
        <v>3508</v>
      </c>
      <c r="B3569" s="138">
        <f>'Acct Summary 7-8'!K4</f>
        <v>91460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91460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91460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91460</v>
      </c>
      <c r="C3588" s="2" t="s">
        <v>573</v>
      </c>
      <c r="D3588" s="2" t="str">
        <f t="shared" si="55"/>
        <v>Error?</v>
      </c>
    </row>
    <row r="3589" spans="1:4" x14ac:dyDescent="0.2">
      <c r="A3589" s="5">
        <v>3528</v>
      </c>
      <c r="B3589" s="138">
        <f>'Acct Summary 7-8'!K79</f>
        <v>292090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383550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91460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553</v>
      </c>
      <c r="D3721" s="2" t="str">
        <f t="shared" si="57"/>
        <v>Error?</v>
      </c>
    </row>
    <row r="3722" spans="1:4" x14ac:dyDescent="0.2">
      <c r="A3722" s="5">
        <v>3661</v>
      </c>
      <c r="B3722" s="138">
        <f>'Expenditures 15-22'!D285</f>
        <v>553</v>
      </c>
      <c r="C3722" s="2" t="s">
        <v>573</v>
      </c>
      <c r="D3722" s="2" t="str">
        <f t="shared" si="57"/>
        <v>Error?</v>
      </c>
    </row>
    <row r="3723" spans="1:4" x14ac:dyDescent="0.2">
      <c r="A3723" s="5">
        <v>3662</v>
      </c>
      <c r="B3723" s="138">
        <f>'Expenditures 15-22'!K283</f>
        <v>553</v>
      </c>
      <c r="C3723" s="2" t="s">
        <v>573</v>
      </c>
      <c r="D3723" s="2" t="str">
        <f t="shared" si="57"/>
        <v>Error?</v>
      </c>
    </row>
    <row r="3724" spans="1:4" x14ac:dyDescent="0.2">
      <c r="A3724" s="5">
        <v>3663</v>
      </c>
      <c r="B3724" s="138">
        <f>'Expenditures 15-22'!K285</f>
        <v>553</v>
      </c>
      <c r="C3724" s="2" t="s">
        <v>573</v>
      </c>
      <c r="D3724" s="2" t="str">
        <f t="shared" si="57"/>
        <v>Error?</v>
      </c>
    </row>
    <row r="3725" spans="1:4" x14ac:dyDescent="0.2">
      <c r="A3725" s="5">
        <v>3664</v>
      </c>
      <c r="B3725" s="138">
        <f>'Tax Sched 23'!B13</f>
        <v>66917</v>
      </c>
      <c r="C3725" s="2" t="s">
        <v>573</v>
      </c>
      <c r="D3725" s="2" t="str">
        <f t="shared" si="57"/>
        <v>Error?</v>
      </c>
    </row>
    <row r="3726" spans="1:4" x14ac:dyDescent="0.2">
      <c r="A3726" s="5">
        <v>3665</v>
      </c>
      <c r="B3726" s="138">
        <f>'Tax Sched 23'!D13</f>
        <v>66917</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76719</v>
      </c>
      <c r="C3728" s="2" t="s">
        <v>573</v>
      </c>
      <c r="D3728" s="2" t="str">
        <f t="shared" si="57"/>
        <v>Error?</v>
      </c>
    </row>
    <row r="3729" spans="1:4" x14ac:dyDescent="0.2">
      <c r="A3729" s="5">
        <v>3668</v>
      </c>
      <c r="B3729" s="138">
        <f>'Tax Sched 23'!E13</f>
        <v>76719</v>
      </c>
      <c r="D3729" s="2" t="str">
        <f t="shared" si="57"/>
        <v>Error?</v>
      </c>
    </row>
    <row r="3730" spans="1:4" x14ac:dyDescent="0.2">
      <c r="A3730" s="5">
        <v>3669</v>
      </c>
      <c r="B3730" s="138">
        <f>'ICR Computation 30'!E10</f>
        <v>82215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2782584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8193685</v>
      </c>
      <c r="C4122" s="2" t="s">
        <v>573</v>
      </c>
      <c r="D4122" s="2" t="str">
        <f t="shared" si="63"/>
        <v>Error?</v>
      </c>
    </row>
    <row r="4123" spans="1:4" x14ac:dyDescent="0.2">
      <c r="A4123" s="5">
        <v>4062</v>
      </c>
      <c r="B4123" s="138">
        <f>'Acct Summary 7-8'!D10</f>
        <v>1590555</v>
      </c>
      <c r="C4123" s="2" t="s">
        <v>573</v>
      </c>
      <c r="D4123" s="2" t="str">
        <f t="shared" si="63"/>
        <v>Error?</v>
      </c>
    </row>
    <row r="4124" spans="1:4" x14ac:dyDescent="0.2">
      <c r="A4124" s="5">
        <v>4063</v>
      </c>
      <c r="B4124" s="138">
        <f>'Acct Summary 7-8'!E10</f>
        <v>1833565</v>
      </c>
      <c r="C4124" s="2" t="s">
        <v>573</v>
      </c>
      <c r="D4124" s="2" t="str">
        <f t="shared" si="63"/>
        <v>Error?</v>
      </c>
    </row>
    <row r="4125" spans="1:4" x14ac:dyDescent="0.2">
      <c r="A4125" s="5">
        <v>4064</v>
      </c>
      <c r="B4125" s="138">
        <f>'Acct Summary 7-8'!F10</f>
        <v>363034</v>
      </c>
      <c r="C4125" s="2" t="s">
        <v>573</v>
      </c>
      <c r="D4125" s="2" t="str">
        <f t="shared" si="63"/>
        <v>Error?</v>
      </c>
    </row>
    <row r="4126" spans="1:4" x14ac:dyDescent="0.2">
      <c r="A4126" s="5">
        <v>4065</v>
      </c>
      <c r="B4126" s="138">
        <f>'Acct Summary 7-8'!G10</f>
        <v>165568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97523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91460</v>
      </c>
      <c r="C4130" s="2" t="s">
        <v>573</v>
      </c>
      <c r="D4130" s="2" t="str">
        <f t="shared" si="63"/>
        <v>Error?</v>
      </c>
    </row>
    <row r="4131" spans="1:4" x14ac:dyDescent="0.2">
      <c r="A4131" s="5">
        <v>4070</v>
      </c>
      <c r="B4131" s="138">
        <f>'Acct Summary 7-8'!C18</f>
        <v>2782584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8476360</v>
      </c>
      <c r="C4136" s="2" t="s">
        <v>573</v>
      </c>
      <c r="D4136" s="2" t="str">
        <f t="shared" si="63"/>
        <v>Error?</v>
      </c>
    </row>
    <row r="4137" spans="1:4" x14ac:dyDescent="0.2">
      <c r="A4137" s="5">
        <v>4076</v>
      </c>
      <c r="B4137" s="138">
        <f>'Acct Summary 7-8'!D19</f>
        <v>1527547</v>
      </c>
      <c r="C4137" s="2" t="s">
        <v>573</v>
      </c>
      <c r="D4137" s="2" t="str">
        <f t="shared" si="63"/>
        <v>Error?</v>
      </c>
    </row>
    <row r="4138" spans="1:4" x14ac:dyDescent="0.2">
      <c r="A4138" s="5">
        <v>4077</v>
      </c>
      <c r="B4138" s="138">
        <f>'Acct Summary 7-8'!E19</f>
        <v>1837673</v>
      </c>
      <c r="C4138" s="2" t="s">
        <v>573</v>
      </c>
      <c r="D4138" s="2" t="str">
        <f t="shared" si="63"/>
        <v>Error?</v>
      </c>
    </row>
    <row r="4139" spans="1:4" x14ac:dyDescent="0.2">
      <c r="A4139" s="5">
        <v>4078</v>
      </c>
      <c r="B4139" s="138">
        <f>'Acct Summary 7-8'!F19</f>
        <v>377094</v>
      </c>
      <c r="C4139" s="2" t="s">
        <v>573</v>
      </c>
      <c r="D4139" s="2" t="str">
        <f t="shared" si="63"/>
        <v>Error?</v>
      </c>
    </row>
    <row r="4140" spans="1:4" x14ac:dyDescent="0.2">
      <c r="A4140" s="5">
        <v>4079</v>
      </c>
      <c r="B4140" s="138">
        <f>'Acct Summary 7-8'!G19</f>
        <v>216528</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1792000</v>
      </c>
      <c r="C4171" s="2" t="s">
        <v>573</v>
      </c>
      <c r="D4171" s="2" t="str">
        <f t="shared" si="64"/>
        <v>Error?</v>
      </c>
    </row>
    <row r="4172" spans="1:4" x14ac:dyDescent="0.2">
      <c r="A4172" s="5">
        <v>4111</v>
      </c>
      <c r="B4172" s="138">
        <f>'Short-Term Long-Term Debt 24'!J49</f>
        <v>1666785</v>
      </c>
      <c r="C4172" s="2" t="s">
        <v>573</v>
      </c>
      <c r="D4172" s="2" t="str">
        <f t="shared" si="64"/>
        <v>Error?</v>
      </c>
    </row>
    <row r="4173" spans="1:4" x14ac:dyDescent="0.2">
      <c r="A4173" s="5">
        <v>4112</v>
      </c>
      <c r="B4173" s="138">
        <f>'Short-Term Long-Term Debt 24'!H49</f>
        <v>1800000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1750.0000000000002</v>
      </c>
      <c r="C4265" s="2" t="s">
        <v>573</v>
      </c>
      <c r="D4265" s="2" t="str">
        <f t="shared" si="65"/>
        <v>Error?</v>
      </c>
      <c r="E4265" s="128"/>
    </row>
    <row r="4266" spans="1:5" x14ac:dyDescent="0.2">
      <c r="A4266" s="12">
        <v>4205</v>
      </c>
      <c r="B4266" s="138">
        <f>('FP Info 3'!F10)*100000</f>
        <v>5500</v>
      </c>
      <c r="C4266" s="2" t="s">
        <v>573</v>
      </c>
      <c r="D4266" s="2" t="str">
        <f t="shared" si="65"/>
        <v>Error?</v>
      </c>
      <c r="E4266" s="128"/>
    </row>
    <row r="4267" spans="1:5" x14ac:dyDescent="0.2">
      <c r="A4267" s="12">
        <v>4206</v>
      </c>
      <c r="B4267" s="138">
        <f>('FP Info 3'!H10)*100000</f>
        <v>1138</v>
      </c>
      <c r="C4267" s="2" t="s">
        <v>573</v>
      </c>
      <c r="D4267" s="2" t="str">
        <f t="shared" si="65"/>
        <v>Error?</v>
      </c>
      <c r="E4267" s="128"/>
    </row>
    <row r="4268" spans="1:5" x14ac:dyDescent="0.2">
      <c r="A4268" s="12">
        <v>4207</v>
      </c>
      <c r="B4268" s="138">
        <f>('FP Info 3'!J10)*100000</f>
        <v>8388</v>
      </c>
      <c r="C4268" s="2" t="s">
        <v>573</v>
      </c>
      <c r="D4268" s="2" t="str">
        <f t="shared" si="65"/>
        <v>Error?</v>
      </c>
    </row>
    <row r="4269" spans="1:5" x14ac:dyDescent="0.2">
      <c r="A4269" s="12">
        <v>4208</v>
      </c>
      <c r="B4269" s="138">
        <f>'FP Info 3'!J16</f>
        <v>4979445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24449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14153</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6979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12139</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542091</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183260717</v>
      </c>
      <c r="D4995" s="2" t="str">
        <f t="shared" si="77"/>
        <v>Error?</v>
      </c>
    </row>
    <row r="4996" spans="1:4" x14ac:dyDescent="0.2">
      <c r="A4996" s="12">
        <v>4935</v>
      </c>
      <c r="B4996" s="138">
        <f>'FP Info 3'!H31</f>
        <v>12644989.473000001</v>
      </c>
      <c r="D4996" s="2" t="str">
        <f t="shared" si="77"/>
        <v>Error?</v>
      </c>
    </row>
    <row r="4997" spans="1:4" x14ac:dyDescent="0.2">
      <c r="A4997" s="12">
        <v>4936</v>
      </c>
      <c r="B4997" s="138">
        <f>'FP Info 3'!H37</f>
        <v>1792000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57152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3147687</v>
      </c>
      <c r="D5061" s="2" t="str">
        <f t="shared" si="78"/>
        <v>Error?</v>
      </c>
    </row>
    <row r="5062" spans="1:4" x14ac:dyDescent="0.2">
      <c r="A5062" s="10">
        <v>5001</v>
      </c>
      <c r="D5062" s="2" t="str">
        <f t="shared" si="78"/>
        <v>OK</v>
      </c>
    </row>
    <row r="5063" spans="1:4" x14ac:dyDescent="0.2">
      <c r="A5063" s="5">
        <v>5002</v>
      </c>
      <c r="B5063" s="138">
        <f>'Revenues 9-14'!C7</f>
        <v>35980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3240819</v>
      </c>
      <c r="C5066" s="2" t="s">
        <v>573</v>
      </c>
      <c r="D5066" s="2" t="str">
        <f t="shared" si="78"/>
        <v>Error?</v>
      </c>
    </row>
    <row r="5067" spans="1:4" x14ac:dyDescent="0.2">
      <c r="A5067" s="5">
        <v>5006</v>
      </c>
      <c r="B5067" s="138">
        <f>'Revenues 9-14'!C14</f>
        <v>329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20359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20688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3790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3790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6950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136933</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156620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156620</v>
      </c>
      <c r="C5102" s="2" t="s">
        <v>573</v>
      </c>
      <c r="D5102" s="2" t="str">
        <f t="shared" si="78"/>
        <v>Error?</v>
      </c>
    </row>
    <row r="5103" spans="1:4" x14ac:dyDescent="0.2">
      <c r="A5103" s="5">
        <v>5042</v>
      </c>
      <c r="B5103" s="138">
        <f>'Revenues 9-14'!C84</f>
        <v>87455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87455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9564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3165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115885</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146703</v>
      </c>
      <c r="C5120" s="2" t="s">
        <v>573</v>
      </c>
      <c r="D5120" s="2" t="str">
        <f t="shared" si="79"/>
        <v>Error?</v>
      </c>
    </row>
    <row r="5121" spans="1:4" x14ac:dyDescent="0.2">
      <c r="A5121" s="5">
        <v>5060</v>
      </c>
      <c r="B5121" s="138">
        <f>'Revenues 9-14'!C109</f>
        <v>3793008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1202100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1202100</v>
      </c>
      <c r="C5132" s="2" t="s">
        <v>573</v>
      </c>
      <c r="D5132" s="2" t="str">
        <f t="shared" si="79"/>
        <v>Error?</v>
      </c>
    </row>
    <row r="5133" spans="1:4" x14ac:dyDescent="0.2">
      <c r="A5133" s="5">
        <v>5072</v>
      </c>
      <c r="B5133" s="138">
        <f>'Revenues 9-14'!C125</f>
        <v>19085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6143</v>
      </c>
      <c r="D5137" s="2" t="str">
        <f t="shared" si="79"/>
        <v>Error?</v>
      </c>
    </row>
    <row r="5138" spans="1:4" x14ac:dyDescent="0.2">
      <c r="A5138" s="10">
        <v>5077</v>
      </c>
      <c r="D5138" s="2" t="str">
        <f t="shared" si="79"/>
        <v>OK</v>
      </c>
    </row>
    <row r="5139" spans="1:4" x14ac:dyDescent="0.2">
      <c r="A5139" s="5">
        <v>5078</v>
      </c>
      <c r="B5139" s="138">
        <f>'Revenues 9-14'!C129</f>
        <v>3084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28312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1472</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1472</v>
      </c>
      <c r="C5165" s="2" t="s">
        <v>573</v>
      </c>
      <c r="D5165" s="2" t="str">
        <f t="shared" si="79"/>
        <v>Error?</v>
      </c>
    </row>
    <row r="5166" spans="1:4" x14ac:dyDescent="0.2">
      <c r="A5166" s="10">
        <v>5105</v>
      </c>
      <c r="D5166" s="2" t="str">
        <f t="shared" si="79"/>
        <v>OK</v>
      </c>
    </row>
    <row r="5167" spans="1:4" x14ac:dyDescent="0.2">
      <c r="A5167" s="5">
        <v>5106</v>
      </c>
      <c r="B5167" s="138">
        <f>'Revenues 9-14'!C146</f>
        <v>892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31426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1233526</v>
      </c>
      <c r="C5223" s="2" t="s">
        <v>573</v>
      </c>
      <c r="D5223" s="2" t="str">
        <f t="shared" si="80"/>
        <v>Error?</v>
      </c>
    </row>
    <row r="5224" spans="1:4" x14ac:dyDescent="0.2">
      <c r="A5224" s="5">
        <v>5163</v>
      </c>
      <c r="B5224" s="138">
        <f>'Revenues 9-14'!C173</f>
        <v>29446</v>
      </c>
      <c r="D5224" s="2" t="str">
        <f t="shared" si="80"/>
        <v>Error?</v>
      </c>
    </row>
    <row r="5225" spans="1:4" x14ac:dyDescent="0.2">
      <c r="A5225" s="5">
        <v>5164</v>
      </c>
      <c r="B5225" s="138">
        <f>'Revenues 9-14'!C175</f>
        <v>29446</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66765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66765</v>
      </c>
      <c r="C5246" s="2" t="s">
        <v>573</v>
      </c>
      <c r="D5246" s="2" t="str">
        <f t="shared" si="80"/>
        <v>Error?</v>
      </c>
    </row>
    <row r="5247" spans="1:4" x14ac:dyDescent="0.2">
      <c r="A5247" s="5">
        <v>5186</v>
      </c>
      <c r="B5247" s="138">
        <f>'Revenues 9-14'!C200</f>
        <v>93004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14153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93004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148737</v>
      </c>
      <c r="D5278" s="2" t="str">
        <f t="shared" si="81"/>
        <v>Error?</v>
      </c>
    </row>
    <row r="5279" spans="1:4" x14ac:dyDescent="0.2">
      <c r="A5279" s="5">
        <v>5218</v>
      </c>
      <c r="B5279" s="138">
        <f>'Revenues 9-14'!C214</f>
        <v>1034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149771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355121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384567</v>
      </c>
      <c r="C5326" s="2" t="s">
        <v>573</v>
      </c>
      <c r="D5326" s="2" t="str">
        <f t="shared" si="82"/>
        <v>Error?</v>
      </c>
    </row>
    <row r="5327" spans="1:5" x14ac:dyDescent="0.2">
      <c r="A5327" s="5">
        <v>5266</v>
      </c>
      <c r="B5327" s="138">
        <f>'Revenues 9-14'!C268</f>
        <v>5411101</v>
      </c>
      <c r="C5327" s="2" t="s">
        <v>573</v>
      </c>
      <c r="D5327" s="2" t="str">
        <f t="shared" si="82"/>
        <v>Error?</v>
      </c>
    </row>
    <row r="5328" spans="1:5" x14ac:dyDescent="0.2">
      <c r="A5328" s="5">
        <v>5267</v>
      </c>
      <c r="B5328" s="138">
        <f>'Revenues 9-14'!D5</f>
        <v>989277</v>
      </c>
      <c r="D5328" s="2" t="str">
        <f t="shared" si="82"/>
        <v>Error?</v>
      </c>
    </row>
    <row r="5329" spans="1:4" x14ac:dyDescent="0.2">
      <c r="A5329" s="10">
        <v>5268</v>
      </c>
      <c r="D5329" s="2" t="str">
        <f t="shared" si="82"/>
        <v>OK</v>
      </c>
    </row>
    <row r="5330" spans="1:4" x14ac:dyDescent="0.2">
      <c r="A5330" s="5">
        <v>5269</v>
      </c>
      <c r="B5330" s="138">
        <f>'Revenues 9-14'!D6</f>
        <v>9765</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999042</v>
      </c>
      <c r="C5334" s="2" t="s">
        <v>573</v>
      </c>
      <c r="D5334" s="2" t="str">
        <f t="shared" si="82"/>
        <v>Error?</v>
      </c>
    </row>
    <row r="5335" spans="1:4" x14ac:dyDescent="0.2">
      <c r="A5335" s="5">
        <v>5274</v>
      </c>
      <c r="B5335" s="138">
        <f>'Revenues 9-14'!D14</f>
        <v>103</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103</v>
      </c>
      <c r="C5339" s="2" t="s">
        <v>573</v>
      </c>
      <c r="D5339" s="2" t="str">
        <f t="shared" si="82"/>
        <v>Error?</v>
      </c>
    </row>
    <row r="5340" spans="1:4" x14ac:dyDescent="0.2">
      <c r="A5340" s="5">
        <v>5279</v>
      </c>
      <c r="B5340" s="138">
        <f>'Revenues 9-14'!D65</f>
        <v>13266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13266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700</v>
      </c>
      <c r="D5349" s="2" t="str">
        <f t="shared" si="82"/>
        <v>Error?</v>
      </c>
    </row>
    <row r="5350" spans="1:4" x14ac:dyDescent="0.2">
      <c r="A5350" s="5">
        <v>5289</v>
      </c>
      <c r="B5350" s="138">
        <f>'Revenues 9-14'!D96</f>
        <v>25000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10353</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36053</v>
      </c>
      <c r="C5355" s="2" t="s">
        <v>573</v>
      </c>
      <c r="D5355" s="2" t="str">
        <f t="shared" si="82"/>
        <v>Error?</v>
      </c>
    </row>
    <row r="5356" spans="1:4" x14ac:dyDescent="0.2">
      <c r="A5356" s="5">
        <v>5295</v>
      </c>
      <c r="B5356" s="138">
        <f>'Revenues 9-14'!D109</f>
        <v>1048464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542091</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542091</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1590555</v>
      </c>
      <c r="C5508" s="2" t="s">
        <v>573</v>
      </c>
      <c r="D5508" s="2" t="str">
        <f t="shared" si="85"/>
        <v>Error?</v>
      </c>
    </row>
    <row r="5509" spans="1:4" x14ac:dyDescent="0.2">
      <c r="A5509" s="5">
        <v>5448</v>
      </c>
      <c r="B5509" s="138">
        <f>'Revenues 9-14'!E5</f>
        <v>1830342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1830342</v>
      </c>
      <c r="C5513" s="2" t="s">
        <v>573</v>
      </c>
      <c r="D5513" s="2" t="str">
        <f t="shared" si="85"/>
        <v>Error?</v>
      </c>
    </row>
    <row r="5514" spans="1:4" x14ac:dyDescent="0.2">
      <c r="A5514" s="5">
        <v>5453</v>
      </c>
      <c r="B5514" s="138">
        <f>'Revenues 9-14'!E14</f>
        <v>191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191</v>
      </c>
      <c r="C5518" s="2" t="s">
        <v>573</v>
      </c>
      <c r="D5518" s="2" t="str">
        <f t="shared" si="85"/>
        <v>Error?</v>
      </c>
    </row>
    <row r="5519" spans="1:4" x14ac:dyDescent="0.2">
      <c r="A5519" s="5">
        <v>5458</v>
      </c>
      <c r="B5519" s="138">
        <f>'Revenues 9-14'!E65</f>
        <v>3032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3032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1833565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1833565</v>
      </c>
      <c r="C5552" s="2" t="s">
        <v>573</v>
      </c>
      <c r="D5552" s="2" t="str">
        <f t="shared" si="85"/>
        <v>Error?</v>
      </c>
    </row>
    <row r="5553" spans="1:4" x14ac:dyDescent="0.2">
      <c r="A5553" s="5">
        <v>5492</v>
      </c>
      <c r="B5553" s="138">
        <f>'Revenues 9-14'!F5</f>
        <v>215840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215840</v>
      </c>
      <c r="C5557" s="2" t="s">
        <v>573</v>
      </c>
      <c r="D5557" s="2" t="str">
        <f t="shared" si="85"/>
        <v>Error?</v>
      </c>
    </row>
    <row r="5558" spans="1:4" x14ac:dyDescent="0.2">
      <c r="A5558" s="5">
        <v>5497</v>
      </c>
      <c r="B5558" s="138">
        <f>'Revenues 9-14'!F14</f>
        <v>23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23</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4548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4548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220411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20238</v>
      </c>
      <c r="D5615" s="2" t="str">
        <f t="shared" si="86"/>
        <v>Error?</v>
      </c>
    </row>
    <row r="5616" spans="1:4" x14ac:dyDescent="0.2">
      <c r="A5616" s="10">
        <v>5555</v>
      </c>
      <c r="D5616" s="2" t="str">
        <f t="shared" si="86"/>
        <v>OK</v>
      </c>
    </row>
    <row r="5617" spans="1:5" x14ac:dyDescent="0.2">
      <c r="A5617" s="5">
        <v>5556</v>
      </c>
      <c r="B5617" s="138">
        <f>'Revenues 9-14'!F153</f>
        <v>122385</v>
      </c>
      <c r="D5617" s="2" t="str">
        <f t="shared" si="86"/>
        <v>Error?</v>
      </c>
    </row>
    <row r="5618" spans="1:5" x14ac:dyDescent="0.2">
      <c r="A5618" s="5">
        <v>5557</v>
      </c>
      <c r="B5618" s="138">
        <f>'Revenues 9-14'!F155</f>
        <v>142623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142623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142623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363034</v>
      </c>
      <c r="C5720" s="2" t="s">
        <v>573</v>
      </c>
      <c r="D5720" s="2" t="str">
        <f t="shared" si="88"/>
        <v>Error?</v>
      </c>
    </row>
    <row r="5721" spans="1:4" x14ac:dyDescent="0.2">
      <c r="A5721" s="5">
        <v>5660</v>
      </c>
      <c r="B5721" s="138">
        <f>'Revenues 9-14'!G5</f>
        <v>67453</v>
      </c>
      <c r="D5721" s="2" t="str">
        <f t="shared" si="88"/>
        <v>Error?</v>
      </c>
    </row>
    <row r="5722" spans="1:4" x14ac:dyDescent="0.2">
      <c r="A5722" s="5">
        <v>5661</v>
      </c>
      <c r="B5722" s="138">
        <f>'Revenues 9-14'!G7</f>
        <v>0</v>
      </c>
      <c r="D5722" s="2" t="str">
        <f t="shared" si="88"/>
        <v>Error?</v>
      </c>
    </row>
    <row r="5723" spans="1:4" x14ac:dyDescent="0.2">
      <c r="A5723" s="5">
        <v>5662</v>
      </c>
      <c r="B5723" s="138">
        <f>'Revenues 9-14'!G8</f>
        <v>69794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137247</v>
      </c>
      <c r="C5725" s="2" t="s">
        <v>573</v>
      </c>
      <c r="D5725" s="2" t="str">
        <f t="shared" si="88"/>
        <v>Error?</v>
      </c>
    </row>
    <row r="5726" spans="1:4" x14ac:dyDescent="0.2">
      <c r="A5726" s="5">
        <v>5665</v>
      </c>
      <c r="B5726" s="138">
        <f>'Revenues 9-14'!G14</f>
        <v>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5900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5907</v>
      </c>
      <c r="C5730" s="2" t="s">
        <v>573</v>
      </c>
      <c r="D5730" s="2" t="str">
        <f t="shared" si="88"/>
        <v>Error?</v>
      </c>
    </row>
    <row r="5731" spans="1:4" x14ac:dyDescent="0.2">
      <c r="A5731" s="5">
        <v>5670</v>
      </c>
      <c r="B5731" s="138">
        <f>'Revenues 9-14'!G65</f>
        <v>3032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3032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19382</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165568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89934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89934</v>
      </c>
      <c r="C5918" s="2" t="s">
        <v>573</v>
      </c>
      <c r="D5918" s="2" t="str">
        <f t="shared" si="91"/>
        <v>Error?</v>
      </c>
    </row>
    <row r="5919" spans="1:4" x14ac:dyDescent="0.2">
      <c r="A5919" s="5">
        <v>5858</v>
      </c>
      <c r="B5919" s="138">
        <f>'Revenues 9-14'!I14</f>
        <v>9</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9</v>
      </c>
      <c r="C5923" s="2" t="s">
        <v>573</v>
      </c>
      <c r="D5923" s="2" t="str">
        <f t="shared" si="91"/>
        <v>Error?</v>
      </c>
    </row>
    <row r="5924" spans="1:4" x14ac:dyDescent="0.2">
      <c r="A5924" s="5">
        <v>5863</v>
      </c>
      <c r="B5924" s="138">
        <f>'Revenues 9-14'!I65</f>
        <v>7580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7580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97523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89935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89935</v>
      </c>
      <c r="C5987" s="2" t="s">
        <v>573</v>
      </c>
      <c r="D5987" s="2" t="str">
        <f t="shared" si="92"/>
        <v>Error?</v>
      </c>
    </row>
    <row r="5988" spans="1:4" x14ac:dyDescent="0.2">
      <c r="A5988" s="5">
        <v>5927</v>
      </c>
      <c r="B5988" s="138">
        <f>'Revenues 9-14'!K14</f>
        <v>9</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9</v>
      </c>
      <c r="C5992" s="2" t="s">
        <v>573</v>
      </c>
      <c r="D5992" s="2" t="str">
        <f t="shared" si="92"/>
        <v>Error?</v>
      </c>
    </row>
    <row r="5993" spans="1:4" x14ac:dyDescent="0.2">
      <c r="A5993" s="5">
        <v>5932</v>
      </c>
      <c r="B5993" s="138">
        <f>'Revenues 9-14'!K65</f>
        <v>1516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1516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91460</v>
      </c>
      <c r="C6023" s="2" t="s">
        <v>573</v>
      </c>
      <c r="D6023" s="2" t="str">
        <f t="shared" si="93"/>
        <v>Error?</v>
      </c>
    </row>
    <row r="6024" spans="1:5" x14ac:dyDescent="0.2">
      <c r="A6024" s="5">
        <v>5963</v>
      </c>
      <c r="B6024" s="138">
        <f>'Revenues 9-14'!G109</f>
        <v>165568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97523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91460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129983</v>
      </c>
      <c r="D6031" s="2" t="str">
        <f t="shared" si="93"/>
        <v>Error?</v>
      </c>
    </row>
    <row r="6032" spans="1:5" x14ac:dyDescent="0.2">
      <c r="A6032" s="5">
        <v>5971</v>
      </c>
      <c r="B6032" s="138">
        <f>'Acct Summary 7-8'!G15</f>
        <v>553</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15450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720.2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69</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222770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222770</v>
      </c>
      <c r="D6215" s="2" t="str">
        <f t="shared" si="96"/>
        <v>Error?</v>
      </c>
      <c r="E6215" s="2" t="s">
        <v>190</v>
      </c>
    </row>
    <row r="6216" spans="1:5" x14ac:dyDescent="0.2">
      <c r="A6216">
        <v>6155</v>
      </c>
      <c r="B6216" s="138">
        <f>'Assets-Liab 5-6'!J41</f>
        <v>222770</v>
      </c>
      <c r="D6216" s="2" t="str">
        <f t="shared" si="96"/>
        <v>Error?</v>
      </c>
      <c r="E6216" s="2" t="s">
        <v>190</v>
      </c>
    </row>
    <row r="6217" spans="1:5" x14ac:dyDescent="0.2">
      <c r="A6217">
        <v>6156</v>
      </c>
      <c r="B6217" s="138">
        <f>'Assets-Liab 5-6'!J4</f>
        <v>222770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364872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364872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364872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289908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289908</v>
      </c>
      <c r="D6229" s="2" t="str">
        <f t="shared" si="96"/>
        <v>Error?</v>
      </c>
      <c r="E6229" s="2" t="s">
        <v>190</v>
      </c>
    </row>
    <row r="6230" spans="1:5" x14ac:dyDescent="0.2">
      <c r="A6230">
        <v>6169</v>
      </c>
      <c r="B6230" s="138">
        <f>'Acct Summary 7-8'!J20</f>
        <v>74964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24064</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74964</v>
      </c>
      <c r="D6263" s="2" t="str">
        <f t="shared" si="96"/>
        <v>Error?</v>
      </c>
      <c r="E6263" s="2" t="s">
        <v>190</v>
      </c>
    </row>
    <row r="6264" spans="1:5" x14ac:dyDescent="0.2">
      <c r="A6264">
        <v>6203</v>
      </c>
      <c r="B6264" s="138">
        <f>'Acct Summary 7-8'!J79</f>
        <v>147806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222770</v>
      </c>
      <c r="D6266" s="2" t="str">
        <f t="shared" si="96"/>
        <v>Error?</v>
      </c>
      <c r="E6266" s="2" t="s">
        <v>190</v>
      </c>
    </row>
    <row r="6267" spans="1:5" x14ac:dyDescent="0.2">
      <c r="A6267">
        <v>6206</v>
      </c>
      <c r="B6267" s="138">
        <f>'Acct Summary 7-8'!C82</f>
        <v>17325</v>
      </c>
      <c r="D6267" s="2" t="str">
        <f t="shared" si="96"/>
        <v>Error?</v>
      </c>
      <c r="E6267" s="2" t="s">
        <v>190</v>
      </c>
    </row>
    <row r="6268" spans="1:5" x14ac:dyDescent="0.2">
      <c r="A6268">
        <v>6207</v>
      </c>
      <c r="B6268" s="138">
        <f>'Acct Summary 7-8'!D82</f>
        <v>63008</v>
      </c>
      <c r="D6268" s="2" t="str">
        <f t="shared" si="96"/>
        <v>Error?</v>
      </c>
      <c r="E6268" s="2" t="s">
        <v>190</v>
      </c>
    </row>
    <row r="6269" spans="1:5" x14ac:dyDescent="0.2">
      <c r="A6269">
        <v>6208</v>
      </c>
      <c r="B6269" s="138">
        <f>'Acct Summary 7-8'!E82</f>
        <v>-4108</v>
      </c>
      <c r="D6269" s="2" t="str">
        <f t="shared" si="96"/>
        <v>Error?</v>
      </c>
      <c r="E6269" s="2" t="s">
        <v>190</v>
      </c>
    </row>
    <row r="6270" spans="1:5" x14ac:dyDescent="0.2">
      <c r="A6270">
        <v>6209</v>
      </c>
      <c r="B6270" s="138">
        <f>'Acct Summary 7-8'!F82</f>
        <v>-14060</v>
      </c>
      <c r="D6270" s="2" t="str">
        <f t="shared" si="96"/>
        <v>Error?</v>
      </c>
      <c r="E6270" s="2" t="s">
        <v>190</v>
      </c>
    </row>
    <row r="6271" spans="1:5" x14ac:dyDescent="0.2">
      <c r="A6271">
        <v>6210</v>
      </c>
      <c r="B6271" s="138">
        <f>'Acct Summary 7-8'!G82</f>
        <v>-50960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1343850</v>
      </c>
      <c r="D6273" s="2" t="str">
        <f t="shared" si="97"/>
        <v>Error?</v>
      </c>
      <c r="E6273" s="2" t="s">
        <v>190</v>
      </c>
    </row>
    <row r="6274" spans="1:5" x14ac:dyDescent="0.2">
      <c r="A6274">
        <v>6213</v>
      </c>
      <c r="B6274" s="138">
        <f>'Acct Summary 7-8'!J82</f>
        <v>74964</v>
      </c>
      <c r="D6274" s="2" t="str">
        <f t="shared" si="97"/>
        <v>Error?</v>
      </c>
      <c r="E6274" s="2" t="s">
        <v>190</v>
      </c>
    </row>
    <row r="6275" spans="1:5" x14ac:dyDescent="0.2">
      <c r="A6275">
        <v>6214</v>
      </c>
      <c r="B6275" s="138">
        <f>'Acct Summary 7-8'!K82</f>
        <v>91460</v>
      </c>
      <c r="D6275" s="2" t="str">
        <f t="shared" si="97"/>
        <v>Error?</v>
      </c>
      <c r="E6275" s="2" t="s">
        <v>190</v>
      </c>
    </row>
    <row r="6276" spans="1:5" x14ac:dyDescent="0.2">
      <c r="A6276">
        <v>6215</v>
      </c>
      <c r="B6276" s="138">
        <f>'Acct Summary 7-8'!C83</f>
        <v>0.23601934473128533</v>
      </c>
      <c r="D6276" s="2" t="str">
        <f t="shared" si="97"/>
        <v>Error?</v>
      </c>
      <c r="E6276" s="2" t="s">
        <v>190</v>
      </c>
    </row>
    <row r="6277" spans="1:5" x14ac:dyDescent="0.2">
      <c r="A6277">
        <v>6216</v>
      </c>
      <c r="B6277" s="138">
        <f>'Acct Summary 7-8'!D83</f>
        <v>3.7809964841197308E-2</v>
      </c>
      <c r="D6277" s="2" t="str">
        <f t="shared" si="97"/>
        <v>Error?</v>
      </c>
      <c r="E6277" s="2" t="s">
        <v>190</v>
      </c>
    </row>
    <row r="6278" spans="1:5" x14ac:dyDescent="0.2">
      <c r="A6278">
        <v>6217</v>
      </c>
      <c r="B6278" s="138">
        <f>'Acct Summary 7-8'!E83</f>
        <v>-3.2807570977917984E-2</v>
      </c>
      <c r="D6278" s="2" t="str">
        <f t="shared" si="97"/>
        <v>Error?</v>
      </c>
      <c r="E6278" s="2" t="s">
        <v>190</v>
      </c>
    </row>
    <row r="6279" spans="1:5" x14ac:dyDescent="0.2">
      <c r="A6279">
        <v>6218</v>
      </c>
      <c r="B6279" s="138">
        <f>'Acct Summary 7-8'!F83</f>
        <v>-2.8143077323405194E-2</v>
      </c>
      <c r="D6279" s="2" t="str">
        <f t="shared" si="97"/>
        <v>Error?</v>
      </c>
      <c r="E6279" s="2" t="s">
        <v>190</v>
      </c>
    </row>
    <row r="6280" spans="1:5" x14ac:dyDescent="0.2">
      <c r="A6280">
        <v>6219</v>
      </c>
      <c r="B6280" s="138">
        <f>'Acct Summary 7-8'!G83</f>
        <v>-0.23179545961091477</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0.49045423540270461</v>
      </c>
      <c r="D6282" s="2" t="str">
        <f t="shared" si="97"/>
        <v>Error?</v>
      </c>
      <c r="E6282" s="2" t="s">
        <v>190</v>
      </c>
    </row>
    <row r="6283" spans="1:5" x14ac:dyDescent="0.2">
      <c r="A6283">
        <v>6222</v>
      </c>
      <c r="B6283" s="138">
        <f>'Acct Summary 7-8'!J83</f>
        <v>0.33650850653140008</v>
      </c>
      <c r="D6283" s="2" t="str">
        <f t="shared" si="97"/>
        <v>Error?</v>
      </c>
      <c r="E6283" s="2" t="s">
        <v>190</v>
      </c>
    </row>
    <row r="6284" spans="1:5" x14ac:dyDescent="0.2">
      <c r="A6284">
        <v>6223</v>
      </c>
      <c r="B6284" s="138">
        <f>'Acct Summary 7-8'!K83</f>
        <v>0.2384565245730674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363697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363697</v>
      </c>
      <c r="D6301" s="2" t="str">
        <f t="shared" si="97"/>
        <v>Error?</v>
      </c>
      <c r="E6301" s="2" t="s">
        <v>190</v>
      </c>
    </row>
    <row r="6302" spans="1:5" x14ac:dyDescent="0.2">
      <c r="A6302">
        <v>6241</v>
      </c>
      <c r="B6302" s="138">
        <f>'Revenues 9-14'!J14</f>
        <v>38</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38</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1137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1137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5950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364872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54805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56192</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68479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76936</v>
      </c>
      <c r="D6880" s="2" t="str">
        <f t="shared" si="106"/>
        <v>Error?</v>
      </c>
    </row>
    <row r="6881" spans="1:4" x14ac:dyDescent="0.2">
      <c r="A6881">
        <v>6820</v>
      </c>
      <c r="B6881" s="138">
        <f>'Expenditures 15-22'!K22</f>
        <v>76936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56192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205914</v>
      </c>
      <c r="D6983" s="2" t="str">
        <f t="shared" si="108"/>
        <v>Error?</v>
      </c>
    </row>
    <row r="6984" spans="1:4" x14ac:dyDescent="0.2">
      <c r="A6984">
        <v>6923</v>
      </c>
      <c r="B6984" s="138">
        <f>'Expenditures 15-22'!K86</f>
        <v>205914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205914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56192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289908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364872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8290</v>
      </c>
      <c r="D7073" s="2" t="str">
        <f t="shared" si="109"/>
        <v>Error?</v>
      </c>
    </row>
    <row r="7074" spans="1:4" x14ac:dyDescent="0.2">
      <c r="A7074">
        <v>7013</v>
      </c>
      <c r="B7074" s="138">
        <f>'Expenditures 15-22'!K216</f>
        <v>8290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6224</v>
      </c>
      <c r="D7089" s="2" t="str">
        <f t="shared" si="109"/>
        <v>Error?</v>
      </c>
    </row>
    <row r="7090" spans="1:4" x14ac:dyDescent="0.2">
      <c r="A7090">
        <v>7029</v>
      </c>
      <c r="B7090" s="138">
        <f>'Expenditures 15-22'!K252</f>
        <v>6224</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28384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28384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2826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2826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38216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38216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168697</v>
      </c>
      <c r="D7172" s="2" t="str">
        <f t="shared" si="111"/>
        <v>Error?</v>
      </c>
    </row>
    <row r="7173" spans="1:4" x14ac:dyDescent="0.2">
      <c r="A7173">
        <v>7112</v>
      </c>
      <c r="B7173" s="138">
        <f>'Expenditures 15-22'!D325</f>
        <v>19297</v>
      </c>
      <c r="D7173" s="2" t="str">
        <f t="shared" si="111"/>
        <v>Error?</v>
      </c>
    </row>
    <row r="7174" spans="1:4" x14ac:dyDescent="0.2">
      <c r="A7174">
        <v>7113</v>
      </c>
      <c r="B7174" s="138">
        <f>'Expenditures 15-22'!E325</f>
        <v>5040</v>
      </c>
      <c r="D7174" s="2" t="str">
        <f t="shared" si="111"/>
        <v>Error?</v>
      </c>
    </row>
    <row r="7175" spans="1:4" x14ac:dyDescent="0.2">
      <c r="A7175">
        <v>7114</v>
      </c>
      <c r="B7175" s="138">
        <f>'Expenditures 15-22'!F325</f>
        <v>2381</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6661</v>
      </c>
      <c r="D7177" s="2" t="str">
        <f t="shared" si="111"/>
        <v>Error?</v>
      </c>
    </row>
    <row r="7178" spans="1:4" x14ac:dyDescent="0.2">
      <c r="A7178">
        <v>7117</v>
      </c>
      <c r="B7178" s="138">
        <f>'Expenditures 15-22'!I325</f>
        <v>4180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206256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14226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14226</v>
      </c>
      <c r="D7198" s="2" t="str">
        <f t="shared" si="111"/>
        <v>Error?</v>
      </c>
    </row>
    <row r="7199" spans="1:4" x14ac:dyDescent="0.2">
      <c r="A7199">
        <v>7138</v>
      </c>
      <c r="B7199" s="138">
        <f>'Expenditures 15-22'!C330</f>
        <v>168697</v>
      </c>
      <c r="D7199" s="2" t="str">
        <f t="shared" si="111"/>
        <v>Error?</v>
      </c>
    </row>
    <row r="7200" spans="1:4" x14ac:dyDescent="0.2">
      <c r="A7200">
        <v>7139</v>
      </c>
      <c r="B7200" s="138">
        <f>'Expenditures 15-22'!D330</f>
        <v>19297</v>
      </c>
      <c r="D7200" s="2" t="str">
        <f t="shared" si="111"/>
        <v>Error?</v>
      </c>
    </row>
    <row r="7201" spans="1:4" x14ac:dyDescent="0.2">
      <c r="A7201">
        <v>7140</v>
      </c>
      <c r="B7201" s="138">
        <f>'Expenditures 15-22'!E330</f>
        <v>88692</v>
      </c>
      <c r="D7201" s="2" t="str">
        <f t="shared" si="111"/>
        <v>Error?</v>
      </c>
    </row>
    <row r="7202" spans="1:4" x14ac:dyDescent="0.2">
      <c r="A7202">
        <v>7141</v>
      </c>
      <c r="B7202" s="138">
        <f>'Expenditures 15-22'!F330</f>
        <v>2381</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6661</v>
      </c>
      <c r="D7204" s="2" t="str">
        <f t="shared" si="111"/>
        <v>Error?</v>
      </c>
    </row>
    <row r="7205" spans="1:4" x14ac:dyDescent="0.2">
      <c r="A7205">
        <v>7144</v>
      </c>
      <c r="B7205" s="138">
        <f>'Expenditures 15-22'!I330</f>
        <v>4180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289908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168697</v>
      </c>
      <c r="D7216" s="2" t="str">
        <f t="shared" si="111"/>
        <v>Error?</v>
      </c>
    </row>
    <row r="7217" spans="1:4" x14ac:dyDescent="0.2">
      <c r="A7217">
        <v>7156</v>
      </c>
      <c r="B7217" s="138">
        <f>'Expenditures 15-22'!D342</f>
        <v>19297</v>
      </c>
      <c r="D7217" s="2" t="str">
        <f t="shared" si="111"/>
        <v>Error?</v>
      </c>
    </row>
    <row r="7218" spans="1:4" x14ac:dyDescent="0.2">
      <c r="A7218">
        <v>7157</v>
      </c>
      <c r="B7218" s="138">
        <f>'Expenditures 15-22'!E342</f>
        <v>88692</v>
      </c>
      <c r="D7218" s="2" t="str">
        <f t="shared" si="111"/>
        <v>Error?</v>
      </c>
    </row>
    <row r="7219" spans="1:4" x14ac:dyDescent="0.2">
      <c r="A7219">
        <v>7158</v>
      </c>
      <c r="B7219" s="138">
        <f>'Expenditures 15-22'!F342</f>
        <v>2381</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6661</v>
      </c>
      <c r="D7221" s="2" t="str">
        <f t="shared" si="111"/>
        <v>Error?</v>
      </c>
    </row>
    <row r="7222" spans="1:4" x14ac:dyDescent="0.2">
      <c r="A7222">
        <v>7161</v>
      </c>
      <c r="B7222" s="138">
        <f>'Expenditures 15-22'!I342</f>
        <v>4180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289908</v>
      </c>
      <c r="D7224" s="2" t="str">
        <f t="shared" si="111"/>
        <v>Error?</v>
      </c>
    </row>
    <row r="7225" spans="1:4" x14ac:dyDescent="0.2">
      <c r="A7225">
        <v>7164</v>
      </c>
      <c r="B7225" s="138">
        <f>'Expenditures 15-22'!K343</f>
        <v>74964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9358</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4316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60372</v>
      </c>
      <c r="D7624" s="2" t="str">
        <f t="shared" si="124"/>
        <v>Error?</v>
      </c>
      <c r="E7624" s="2" t="s">
        <v>19</v>
      </c>
    </row>
    <row r="7625" spans="1:5" x14ac:dyDescent="0.2">
      <c r="A7625">
        <f t="shared" si="123"/>
        <v>7564</v>
      </c>
      <c r="B7625" s="138">
        <f>'Cap Outlay Deprec 26'!I17</f>
        <v>6037.2</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427042.2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19382</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35980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300000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171690</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146690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13" sqref="A13:H1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1989</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2" t="str">
        <f>COVER!A17</f>
        <v>Wolf Branch SD 113</v>
      </c>
      <c r="B7" s="2383"/>
      <c r="C7" s="2383"/>
      <c r="D7" s="2420"/>
      <c r="E7" s="2421">
        <f>COVER!A13</f>
        <v>50082113002</v>
      </c>
      <c r="F7" s="2422"/>
      <c r="G7" s="2389" t="str">
        <f>COVER!T23</f>
        <v>066-005248</v>
      </c>
      <c r="H7" s="2390"/>
      <c r="I7" s="2390"/>
      <c r="J7" s="2390"/>
      <c r="K7" s="2390"/>
      <c r="L7" s="239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2"/>
      <c r="B9" s="2393"/>
      <c r="C9" s="2393"/>
      <c r="D9" s="2393"/>
      <c r="E9" s="2393"/>
      <c r="F9" s="2394"/>
      <c r="G9" s="2395" t="str">
        <f>COVER!T13</f>
        <v>Moore &amp; Simonin, PC</v>
      </c>
      <c r="H9" s="2396"/>
      <c r="I9" s="2396"/>
      <c r="J9" s="2396"/>
      <c r="K9" s="2396"/>
      <c r="L9" s="2397"/>
    </row>
    <row r="10" spans="1:29" ht="13.5" customHeight="1" x14ac:dyDescent="0.2">
      <c r="A10" s="2379">
        <f>COVER!A38</f>
        <v>0</v>
      </c>
      <c r="B10" s="2380"/>
      <c r="C10" s="2380"/>
      <c r="D10" s="2380"/>
      <c r="E10" s="2380"/>
      <c r="F10" s="2381"/>
      <c r="G10" s="2395" t="str">
        <f>COVER!T17</f>
        <v>3636 North Belt West</v>
      </c>
      <c r="H10" s="2408"/>
      <c r="I10" s="2408"/>
      <c r="J10" s="2408"/>
      <c r="K10" s="2408"/>
      <c r="L10" s="2409"/>
    </row>
    <row r="11" spans="1:29" ht="13.5" customHeight="1" x14ac:dyDescent="0.2">
      <c r="A11" s="1184" t="s">
        <v>1519</v>
      </c>
      <c r="B11" s="1185"/>
      <c r="C11" s="1186"/>
      <c r="D11" s="1191"/>
      <c r="E11" s="1186"/>
      <c r="F11" s="1190"/>
      <c r="G11" s="2395" t="str">
        <f>COVER!T19</f>
        <v>Belleville</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mooresimonin@mrsaccountants.com</v>
      </c>
      <c r="J13" s="2417"/>
      <c r="K13" s="2417"/>
      <c r="L13" s="2418"/>
    </row>
    <row r="14" spans="1:29" ht="13.5" customHeight="1" x14ac:dyDescent="0.2">
      <c r="A14" s="2395" t="str">
        <f>COVER!A19</f>
        <v>410 Huntwood Drive</v>
      </c>
      <c r="B14" s="2408"/>
      <c r="C14" s="2408"/>
      <c r="D14" s="2408"/>
      <c r="E14" s="2408"/>
      <c r="F14" s="2409"/>
      <c r="G14" s="1195" t="s">
        <v>1185</v>
      </c>
      <c r="H14" s="1193"/>
      <c r="I14" s="1193"/>
      <c r="J14" s="1193"/>
      <c r="K14" s="1193"/>
      <c r="L14" s="1194"/>
    </row>
    <row r="15" spans="1:29" ht="13.5" customHeight="1" x14ac:dyDescent="0.2">
      <c r="A15" s="2395" t="str">
        <f>COVER!A21</f>
        <v>Swansea</v>
      </c>
      <c r="B15" s="2408"/>
      <c r="C15" s="2408"/>
      <c r="D15" s="2408"/>
      <c r="E15" s="2408"/>
      <c r="F15" s="2409"/>
      <c r="G15" s="2405" t="str">
        <f>COVER!T15</f>
        <v>Robert E. Moore, CPA</v>
      </c>
      <c r="H15" s="2406"/>
      <c r="I15" s="2406"/>
      <c r="J15" s="2406"/>
      <c r="K15" s="2406"/>
      <c r="L15" s="2407"/>
    </row>
    <row r="16" spans="1:29" ht="12.2" customHeight="1" x14ac:dyDescent="0.2">
      <c r="A16" s="2385">
        <f>COVER!A25</f>
        <v>62226</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1184</v>
      </c>
      <c r="H17" s="1193"/>
      <c r="I17" s="1193"/>
      <c r="J17" s="1193"/>
      <c r="K17" s="1197" t="s">
        <v>1183</v>
      </c>
      <c r="L17" s="1190"/>
      <c r="M17" s="1183"/>
    </row>
    <row r="18" spans="1:13" ht="12.2" customHeight="1" x14ac:dyDescent="0.2">
      <c r="A18" s="2379"/>
      <c r="B18" s="2380"/>
      <c r="C18" s="2380"/>
      <c r="D18" s="2380"/>
      <c r="E18" s="2380"/>
      <c r="F18" s="2381"/>
      <c r="G18" s="2382" t="str">
        <f>COVER!T21</f>
        <v>618-233-5049</v>
      </c>
      <c r="H18" s="2383"/>
      <c r="I18" s="2383"/>
      <c r="J18" s="2383"/>
      <c r="K18" s="2382" t="str">
        <f>COVER!X21</f>
        <v>618-233-1061</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13" sqref="A13:H1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Wolf Branch SD 113</v>
      </c>
      <c r="B1" s="2419"/>
      <c r="C1" s="2419"/>
      <c r="D1" s="2419"/>
    </row>
    <row r="2" spans="1:11" s="1212" customFormat="1" ht="12.75" x14ac:dyDescent="0.2">
      <c r="A2" s="2424">
        <f>'Single Audit Cover'!E7</f>
        <v>50082113002</v>
      </c>
      <c r="B2" s="2425"/>
      <c r="C2" s="2425"/>
      <c r="D2" s="2425"/>
    </row>
    <row r="3" spans="1:11" s="1212" customFormat="1" ht="12.75" x14ac:dyDescent="0.2">
      <c r="A3" s="2423"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13" sqref="A13:H13"/>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Wolf Branch SD 113</v>
      </c>
      <c r="B1" s="2427"/>
      <c r="C1" s="2427"/>
      <c r="D1" s="2427"/>
      <c r="E1" s="2427"/>
    </row>
    <row r="2" spans="1:5" x14ac:dyDescent="0.2">
      <c r="A2" s="2428">
        <f>'Single Audit Cover'!E7</f>
        <v>50082113002</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384567</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15450</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-24449</v>
      </c>
    </row>
    <row r="19" spans="1:4" ht="13.5" thickBot="1" x14ac:dyDescent="0.25">
      <c r="A19" s="1262" t="s">
        <v>1235</v>
      </c>
      <c r="D19" s="1263">
        <f>SUM(D10:D17)</f>
        <v>375568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375568</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375568</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A13" sqref="A13:H1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Wolf Branch SD 113</v>
      </c>
      <c r="C1" s="2431"/>
      <c r="D1" s="2431"/>
      <c r="E1" s="2431"/>
      <c r="F1" s="2431"/>
      <c r="G1" s="2431"/>
      <c r="H1" s="2431"/>
      <c r="I1" s="2431"/>
      <c r="J1" s="2431"/>
      <c r="K1" s="2431"/>
      <c r="L1" s="2431"/>
      <c r="M1" s="2431"/>
    </row>
    <row r="2" spans="2:14" ht="15" x14ac:dyDescent="0.2">
      <c r="B2" s="2432">
        <f>'Single Audit Cover'!E7</f>
        <v>50082113002</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13" sqref="A13:H1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Wolf Branch SD 113</v>
      </c>
      <c r="B1" s="2436"/>
      <c r="C1" s="2436"/>
      <c r="D1" s="2436"/>
      <c r="E1" s="2436"/>
      <c r="F1" s="2436"/>
    </row>
    <row r="2" spans="1:7" ht="13.5" customHeight="1" x14ac:dyDescent="0.2">
      <c r="A2" s="2432">
        <f>'Single Audit Cover'!E7</f>
        <v>50082113002</v>
      </c>
      <c r="B2" s="2432"/>
      <c r="C2" s="2432"/>
      <c r="D2" s="2432"/>
      <c r="E2" s="2432"/>
      <c r="F2" s="2432"/>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5" t="s">
        <v>1729</v>
      </c>
      <c r="B7" s="2435"/>
      <c r="C7" s="2435"/>
      <c r="D7" s="2435"/>
      <c r="E7" s="2435"/>
      <c r="F7" s="243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5" t="s">
        <v>1731</v>
      </c>
      <c r="B13" s="2435"/>
      <c r="C13" s="2435"/>
      <c r="D13" s="2435"/>
      <c r="E13" s="2435"/>
      <c r="F13" s="2435"/>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13" sqref="A13:H13"/>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Wolf Branch SD 113</v>
      </c>
      <c r="C1" s="2452"/>
      <c r="D1" s="2452"/>
      <c r="E1" s="2452"/>
      <c r="F1" s="2452"/>
      <c r="G1" s="2452"/>
      <c r="H1" s="2452"/>
      <c r="I1" s="2452"/>
      <c r="J1" s="1406"/>
    </row>
    <row r="2" spans="2:10" s="317" customFormat="1" ht="12.75" customHeight="1" x14ac:dyDescent="0.2">
      <c r="B2" s="2453">
        <f>'Single Audit Cover'!E7</f>
        <v>50082113002</v>
      </c>
      <c r="C2" s="2454"/>
      <c r="D2" s="2454"/>
      <c r="E2" s="2454"/>
      <c r="F2" s="2454"/>
      <c r="G2" s="2454"/>
      <c r="H2" s="2454"/>
      <c r="I2" s="2454"/>
      <c r="J2" s="1406"/>
    </row>
    <row r="3" spans="2:10" s="317" customFormat="1" ht="12.75" customHeight="1" x14ac:dyDescent="0.2">
      <c r="B3" s="2455" t="s">
        <v>1285</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1284</v>
      </c>
      <c r="C7" s="2456"/>
      <c r="D7" s="2456"/>
      <c r="E7" s="2456"/>
      <c r="F7" s="2456"/>
      <c r="G7" s="2456"/>
      <c r="H7" s="2456"/>
      <c r="I7" s="245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7"/>
      <c r="D11" s="245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8"/>
      <c r="E29" s="2458"/>
      <c r="F29" s="2458"/>
      <c r="G29" s="2458"/>
      <c r="H29" s="2458"/>
      <c r="I29" s="245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9" t="s">
        <v>1751</v>
      </c>
      <c r="D37" s="2460"/>
      <c r="E37" s="2460"/>
      <c r="F37" s="2461"/>
      <c r="G37" s="2459" t="s">
        <v>1592</v>
      </c>
      <c r="H37" s="2460"/>
      <c r="I37" s="2461"/>
    </row>
    <row r="38" spans="2:9" ht="16.5" customHeight="1" x14ac:dyDescent="0.2">
      <c r="B38" s="1428"/>
      <c r="C38" s="2447"/>
      <c r="D38" s="2448"/>
      <c r="E38" s="2448"/>
      <c r="F38" s="2449"/>
      <c r="G38" s="2462"/>
      <c r="H38" s="2463"/>
      <c r="I38" s="2464"/>
    </row>
    <row r="39" spans="2:9" ht="16.5" customHeight="1" x14ac:dyDescent="0.2">
      <c r="B39" s="1428"/>
      <c r="C39" s="2447"/>
      <c r="D39" s="2448"/>
      <c r="E39" s="2448"/>
      <c r="F39" s="2449"/>
      <c r="G39" s="2450"/>
      <c r="H39" s="2450"/>
      <c r="I39" s="2450"/>
    </row>
    <row r="40" spans="2:9" ht="16.5" customHeight="1" x14ac:dyDescent="0.2">
      <c r="B40" s="1428"/>
      <c r="C40" s="2447"/>
      <c r="D40" s="2448"/>
      <c r="E40" s="2448"/>
      <c r="F40" s="2449"/>
      <c r="G40" s="2450"/>
      <c r="H40" s="2450"/>
      <c r="I40" s="2450"/>
    </row>
    <row r="41" spans="2:9" ht="16.5" customHeight="1" x14ac:dyDescent="0.2">
      <c r="B41" s="1428"/>
      <c r="C41" s="2447"/>
      <c r="D41" s="2448"/>
      <c r="E41" s="2448"/>
      <c r="F41" s="2449"/>
      <c r="G41" s="2450"/>
      <c r="H41" s="2450"/>
      <c r="I41" s="2450"/>
    </row>
    <row r="42" spans="2:9" ht="16.5" customHeight="1" x14ac:dyDescent="0.2">
      <c r="B42" s="1428"/>
      <c r="C42" s="2447"/>
      <c r="D42" s="2448"/>
      <c r="E42" s="2448"/>
      <c r="F42" s="2449"/>
      <c r="G42" s="2450"/>
      <c r="H42" s="2450"/>
      <c r="I42" s="2450"/>
    </row>
    <row r="43" spans="2:9" ht="16.5" customHeight="1" x14ac:dyDescent="0.2">
      <c r="B43" s="1428"/>
      <c r="C43" s="2465" t="s">
        <v>1593</v>
      </c>
      <c r="D43" s="2466"/>
      <c r="E43" s="2466"/>
      <c r="F43" s="2467"/>
      <c r="G43" s="2468">
        <f>SUM(G38:I42)</f>
        <v>0</v>
      </c>
      <c r="H43" s="2468"/>
      <c r="I43" s="2468"/>
    </row>
    <row r="44" spans="2:9" ht="12.75" customHeight="1" x14ac:dyDescent="0.2"/>
    <row r="45" spans="2:9" ht="12.75" customHeight="1" x14ac:dyDescent="0.2">
      <c r="B45" s="1419" t="s">
        <v>1841</v>
      </c>
      <c r="D45" s="2469">
        <v>0</v>
      </c>
      <c r="E45" s="247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1"/>
      <c r="F49" s="2471"/>
      <c r="G49" s="247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Wolf Branch SD 113</v>
      </c>
      <c r="C1" s="2451"/>
      <c r="D1" s="2451"/>
      <c r="E1" s="2451"/>
      <c r="F1" s="2451"/>
      <c r="G1" s="2451"/>
      <c r="H1" s="2451"/>
      <c r="I1" s="2451"/>
      <c r="J1" s="2451"/>
      <c r="K1" s="2451"/>
      <c r="L1" s="1371"/>
      <c r="M1" s="1371"/>
    </row>
    <row r="2" spans="1:13" ht="12" customHeight="1" x14ac:dyDescent="0.2">
      <c r="B2" s="2453">
        <f>'Single Audit Cover'!E7</f>
        <v>50082113002</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Wolf Branch SD 113</v>
      </c>
      <c r="C1" s="2478"/>
      <c r="D1" s="2478"/>
      <c r="E1" s="2478"/>
      <c r="F1" s="2478"/>
      <c r="G1" s="2478"/>
      <c r="H1" s="2478"/>
      <c r="I1" s="2478"/>
      <c r="J1" s="2478"/>
      <c r="K1" s="2478"/>
      <c r="L1" s="1449"/>
    </row>
    <row r="2" spans="1:12" ht="12.75" customHeight="1" x14ac:dyDescent="0.2">
      <c r="B2" s="2479">
        <f>'Single Audit Cover'!E7</f>
        <v>50082113002</v>
      </c>
      <c r="C2" s="2479"/>
      <c r="D2" s="2479"/>
      <c r="E2" s="2479"/>
      <c r="F2" s="2479"/>
      <c r="G2" s="2479"/>
      <c r="H2" s="2479"/>
      <c r="I2" s="2479"/>
      <c r="J2" s="2479"/>
      <c r="K2" s="2479"/>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Wolf Branch SD 113</v>
      </c>
      <c r="C1" s="2451"/>
      <c r="D1" s="2451"/>
      <c r="E1" s="1469"/>
    </row>
    <row r="2" spans="2:5" s="1279" customFormat="1" ht="12.75" customHeight="1" x14ac:dyDescent="0.2">
      <c r="B2" s="2453">
        <f>'Single Audit Cover'!E7</f>
        <v>50082113002</v>
      </c>
      <c r="C2" s="2453"/>
      <c r="D2" s="2453"/>
      <c r="E2" s="1470"/>
    </row>
    <row r="3" spans="2:5" ht="12.75" customHeight="1" x14ac:dyDescent="0.2">
      <c r="B3" s="2474" t="s">
        <v>1766</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http://purl.org/dc/terms/"/>
    <ds:schemaRef ds:uri="http://purl.org/dc/dcmitype/"/>
    <ds:schemaRef ds:uri="4d435f69-8686-490b-bd6d-b153bf22ab5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d21dc803-237d-4c68-8692-8d731fd29118"/>
    <ds:schemaRef ds:uri="6ce3111e-7420-4802-b50a-75d4e9a0b98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2019-09-25T19:31:53Z</cp:lastPrinted>
  <dcterms:created xsi:type="dcterms:W3CDTF">2003-10-29T19:06:34Z</dcterms:created>
  <dcterms:modified xsi:type="dcterms:W3CDTF">2019-11-21T14:47:13Z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