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BFCE613-6754-45F6-B366-8C25572C0D0A}" xr6:coauthVersionLast="36" xr6:coauthVersionMax="36" xr10:uidLastSave="{00000000-0000-0000-0000-000000000000}"/>
  <bookViews>
    <workbookView xWindow="1125" yWindow="1125" windowWidth="27030" windowHeight="1354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'Aud Quest 2'!$A$1:$J$119</definedName>
    <definedName name="_xlnm.Print_Area" localSheetId="12">'Cap Outlay Deprec 26'!$A$1:$L$36</definedName>
    <definedName name="_xlnm.Print_Area" localSheetId="18">'Itemization 33'!$A$1:$B$19</definedName>
    <definedName name="_xlnm.Print_Area" localSheetId="7">'Revenues 9-14'!$A$1:$K$268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Area" localSheetId="1">TOC!$A$1:$F$80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5" i="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C14" i="4" s="1"/>
  <c r="B2558" i="106" s="1"/>
  <c r="D2558" i="106"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B7001" i="106" s="1"/>
  <c r="D7001" i="106" s="1"/>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D26" i="108"/>
  <c r="F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F14" i="4"/>
  <c r="B2597" i="106" s="1"/>
  <c r="D2597" i="106" s="1"/>
  <c r="B2633" i="106"/>
  <c r="D2633" i="106" s="1"/>
  <c r="N22" i="3"/>
  <c r="B283" i="106" s="1"/>
  <c r="D283" i="106" s="1"/>
  <c r="D7" i="118"/>
  <c r="D8" i="118"/>
  <c r="D9" i="118"/>
  <c r="H14" i="118"/>
  <c r="H19" i="118"/>
  <c r="H24" i="118"/>
  <c r="D22" i="37"/>
  <c r="J22" i="37"/>
  <c r="L22" i="37"/>
  <c r="D24" i="37"/>
  <c r="B4270" i="106" s="1"/>
  <c r="D4270" i="106" s="1"/>
  <c r="B5752" i="106"/>
  <c r="D5752" i="106" s="1"/>
  <c r="H76" i="4" l="1"/>
  <c r="B3298" i="106" s="1"/>
  <c r="D3298" i="106" s="1"/>
  <c r="B7047" i="106"/>
  <c r="D7047" i="106" s="1"/>
  <c r="F38" i="34"/>
  <c r="G26" i="108"/>
  <c r="H28" i="118"/>
  <c r="B7074" i="106"/>
  <c r="D7074" i="106" s="1"/>
  <c r="F44" i="34"/>
  <c r="E26" i="108"/>
  <c r="D68" i="36"/>
  <c r="B1274" i="106"/>
  <c r="D1274" i="106" s="1"/>
  <c r="G30" i="108"/>
  <c r="E30" i="108"/>
  <c r="H33" i="118"/>
  <c r="L5" i="11"/>
  <c r="B2056" i="106" s="1"/>
  <c r="D2056" i="106" s="1"/>
  <c r="D11" i="37"/>
  <c r="H29" i="118"/>
  <c r="K28" i="118" s="1"/>
  <c r="O27" i="118" s="1"/>
  <c r="O29" i="118" s="1"/>
  <c r="D31" i="36"/>
  <c r="C342" i="29"/>
  <c r="B7216" i="106" s="1"/>
  <c r="D7216" i="106" s="1"/>
  <c r="F19" i="7"/>
  <c r="B1807" i="106" s="1"/>
  <c r="D1807" i="106" s="1"/>
  <c r="B1797" i="106"/>
  <c r="D1797" i="106" s="1"/>
  <c r="G14" i="4"/>
  <c r="B2609" i="106" s="1"/>
  <c r="D2609" i="106" s="1"/>
  <c r="F72" i="34"/>
  <c r="F52" i="34"/>
  <c r="G39" i="108"/>
  <c r="F50" i="34"/>
  <c r="F34" i="34"/>
  <c r="F77" i="4"/>
  <c r="B3255" i="106" s="1"/>
  <c r="D3255" i="106" s="1"/>
  <c r="F42" i="34"/>
  <c r="D17" i="7"/>
  <c r="B4104" i="106" s="1"/>
  <c r="D4104" i="106" s="1"/>
  <c r="B7235" i="106"/>
  <c r="D7235" i="106" s="1"/>
  <c r="C129" i="29"/>
  <c r="C151" i="29" s="1"/>
  <c r="B1226" i="106" s="1"/>
  <c r="D1226" i="106" s="1"/>
  <c r="C352" i="29"/>
  <c r="B3621" i="106" s="1"/>
  <c r="D3621" i="106" s="1"/>
  <c r="D9" i="7"/>
  <c r="B1767" i="106" s="1"/>
  <c r="D1767" i="106" s="1"/>
  <c r="L342" i="29"/>
  <c r="F49" i="34"/>
  <c r="K184" i="29"/>
  <c r="F13" i="4" s="1"/>
  <c r="B2596" i="106" s="1"/>
  <c r="D2596" i="106" s="1"/>
  <c r="G210" i="29"/>
  <c r="G15" i="145"/>
  <c r="K41" i="3"/>
  <c r="I129" i="29"/>
  <c r="B7037" i="106" s="1"/>
  <c r="D7037" i="106" s="1"/>
  <c r="D6103" i="106"/>
  <c r="B3647" i="106"/>
  <c r="D3647" i="106" s="1"/>
  <c r="L13" i="11"/>
  <c r="B2060" i="106" s="1"/>
  <c r="D2060" i="106" s="1"/>
  <c r="B1308" i="106"/>
  <c r="D1308" i="106" s="1"/>
  <c r="E174" i="29"/>
  <c r="B1309" i="106" s="1"/>
  <c r="D1309" i="106" s="1"/>
  <c r="I210" i="29"/>
  <c r="B7071" i="106" s="1"/>
  <c r="D7071"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I151" i="29" l="1"/>
  <c r="F59" i="34" s="1"/>
  <c r="I7" i="4"/>
  <c r="B4444" i="106" s="1"/>
  <c r="D4444" i="106" s="1"/>
  <c r="B5527" i="106"/>
  <c r="D5527" i="106" s="1"/>
  <c r="L16" i="11"/>
  <c r="B2061" i="106" s="1"/>
  <c r="D2061" i="106" s="1"/>
  <c r="K342" i="29"/>
  <c r="F13" i="34" s="1"/>
  <c r="B1317" i="106"/>
  <c r="D1317" i="106" s="1"/>
  <c r="B1328" i="106"/>
  <c r="D1328" i="106" s="1"/>
  <c r="C114" i="29"/>
  <c r="B757" i="106" s="1"/>
  <c r="D757" i="106" s="1"/>
  <c r="F174" i="34"/>
  <c r="D44" i="36"/>
  <c r="B5778" i="106"/>
  <c r="D5778" i="106" s="1"/>
  <c r="G6" i="4"/>
  <c r="B2604" i="106" s="1"/>
  <c r="D2604" i="106" s="1"/>
  <c r="J16" i="4"/>
  <c r="B6226" i="106" s="1"/>
  <c r="D6226" i="106" s="1"/>
  <c r="B3568" i="106"/>
  <c r="D3568" i="106" s="1"/>
  <c r="D52" i="36"/>
  <c r="B7215" i="106"/>
  <c r="D7215" i="106" s="1"/>
  <c r="B1365" i="106"/>
  <c r="D1365" i="106" s="1"/>
  <c r="F65" i="34"/>
  <c r="H151" i="29"/>
  <c r="B1273" i="106" s="1"/>
  <c r="D1273" i="106" s="1"/>
  <c r="K365" i="29"/>
  <c r="B5770" i="106"/>
  <c r="D5770" i="106" s="1"/>
  <c r="C367" i="29"/>
  <c r="B3622" i="106" s="1"/>
  <c r="D3622" i="106" s="1"/>
  <c r="L114" i="29"/>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3" i="106"/>
  <c r="D6223" i="106" s="1"/>
  <c r="J10" i="4"/>
  <c r="B6225" i="106" s="1"/>
  <c r="D6225"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<sst xmlns="http://schemas.openxmlformats.org/spreadsheetml/2006/main" count="5081" uniqueCount="2102">
  <si>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</si>
  <si>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</si>
  <si>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</si>
  <si>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</si>
  <si>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</si>
  <si>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</si>
  <si>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</si>
  <si>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</si>
  <si>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</si>
  <si>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</si>
  <si>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</si>
  <si>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</si>
  <si>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</si>
  <si>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</si>
  <si>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</si>
  <si>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</si>
  <si>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</si>
  <si>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</si>
  <si>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</si>
  <si>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</si>
  <si>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</si>
  <si>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</si>
  <si>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</si>
  <si>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</si>
  <si>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</si>
  <si>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</si>
  <si>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</si>
  <si>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</si>
  <si>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</si>
  <si>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</si>
  <si>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</si>
  <si>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</si>
  <si>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</si>
  <si>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</si>
  <si>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</si>
  <si>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</si>
  <si>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</si>
  <si>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</si>
  <si>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</si>
  <si>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</si>
  <si>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</si>
  <si>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</si>
  <si>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</si>
  <si>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</si>
  <si>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</si>
  <si>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</si>
  <si>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</si>
  <si>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</si>
  <si>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</si>
  <si>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</si>
  <si>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</si>
  <si>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</si>
  <si>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</si>
  <si>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</si>
  <si>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</si>
  <si>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</si>
  <si>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</si>
  <si>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</si>
  <si>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</si>
  <si>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</si>
  <si>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</si>
  <si>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</si>
  <si>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</si>
  <si>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</si>
  <si>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</si>
  <si>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</si>
  <si>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</si>
  <si>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</si>
  <si>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</si>
  <si>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</si>
  <si>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</si>
  <si>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</si>
  <si>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</si>
  <si>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</si>
  <si>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</si>
  <si>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</si>
  <si>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</si>
  <si>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</si>
  <si>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</si>
  <si>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</si>
  <si>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</si>
  <si>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</si>
  <si>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</si>
  <si>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</si>
  <si>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</si>
  <si>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</si>
  <si>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</si>
  <si>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</si>
  <si>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</si>
  <si>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</si>
  <si>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</si>
  <si>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</si>
  <si>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</si>
  <si>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</si>
  <si>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</si>
  <si>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</si>
  <si>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</si>
  <si>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</si>
  <si>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</si>
  <si>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</si>
  <si>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</si>
  <si>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</si>
  <si>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</si>
  <si>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</si>
  <si>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</si>
  <si>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</si>
  <si>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</si>
  <si>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</si>
  <si>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</si>
  <si>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</si>
  <si>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</si>
  <si>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</si>
  <si>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</si>
  <si>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</si>
  <si>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</si>
  <si>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</si>
  <si>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</si>
  <si>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</si>
  <si>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</si>
  <si>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</si>
  <si>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</si>
  <si>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</si>
  <si>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</si>
  <si>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</si>
  <si>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</si>
  <si>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</si>
  <si>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</si>
  <si>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</si>
  <si>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</si>
  <si>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</si>
  <si>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</si>
  <si>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</si>
  <si>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</si>
  <si>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</si>
  <si>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</si>
  <si>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</si>
  <si>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</si>
  <si>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</si>
  <si>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</si>
  <si>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</si>
  <si>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</si>
  <si>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</si>
  <si>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</si>
  <si>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</si>
  <si>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</si>
  <si>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</si>
  <si>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</si>
  <si>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</si>
  <si>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</si>
  <si>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</si>
  <si>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</si>
  <si>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</si>
  <si>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</si>
  <si>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</si>
  <si>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</si>
  <si>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</si>
  <si>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</si>
  <si>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</si>
  <si>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</si>
  <si>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</si>
  <si>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</si>
  <si>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</si>
  <si>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</si>
  <si>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</si>
  <si>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</si>
  <si>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</si>
  <si>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</si>
  <si>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</si>
  <si>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</si>
  <si>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</si>
  <si>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</si>
  <si>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</si>
  <si>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</si>
  <si>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</si>
  <si>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</si>
  <si>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</si>
  <si>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</si>
  <si>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</si>
  <si>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</si>
  <si>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</si>
  <si>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</si>
  <si>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</si>
  <si>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</si>
  <si>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</si>
  <si>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</si>
  <si>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</si>
  <si>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</si>
  <si>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</si>
  <si>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</si>
  <si>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</si>
  <si>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</si>
  <si>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</si>
  <si>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</si>
  <si>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</si>
  <si>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</si>
  <si>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</si>
  <si>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</si>
  <si>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</si>
  <si>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</si>
  <si>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</si>
  <si>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</si>
  <si>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</si>
  <si>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</si>
  <si>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</si>
  <si>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</si>
  <si>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</si>
  <si>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</si>
  <si>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</si>
  <si>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</si>
  <si>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</si>
  <si>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</si>
  <si>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</si>
  <si>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</si>
  <si>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</si>
  <si>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</si>
  <si>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</si>
  <si>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</si>
  <si>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</si>
  <si>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</si>
  <si>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</si>
  <si>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</si>
  <si>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</si>
  <si>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</si>
  <si>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</si>
  <si>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</si>
  <si>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</si>
  <si>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</si>
  <si>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</si>
  <si>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</si>
  <si>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</si>
  <si>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</si>
  <si>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</si>
  <si>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</si>
  <si>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</si>
  <si>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</si>
  <si>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</si>
  <si>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</si>
  <si>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</si>
  <si>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</si>
  <si>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</si>
  <si>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</si>
  <si>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</si>
  <si>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</si>
  <si>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</si>
  <si>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</si>
  <si>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</si>
  <si>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</si>
  <si>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</si>
  <si>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</si>
  <si>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</si>
  <si>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</si>
  <si>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</si>
  <si>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</si>
  <si>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</si>
  <si>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</si>
  <si>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</si>
  <si>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</si>
  <si>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</si>
  <si>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</si>
  <si>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</si>
  <si>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</si>
  <si>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</si>
  <si>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</si>
  <si>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</si>
  <si>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</si>
  <si>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</si>
  <si>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</si>
  <si>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</si>
  <si>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</si>
  <si>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</si>
  <si>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</si>
  <si>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</si>
  <si>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</si>
  <si>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</si>
  <si>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</si>
  <si>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</si>
  <si>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</si>
  <si>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</si>
  <si>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</si>
  <si>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</si>
  <si>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</si>
  <si>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</si>
  <si>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</si>
  <si>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</si>
  <si>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</si>
  <si>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</si>
  <si>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</si>
  <si>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</si>
  <si>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</si>
  <si>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</si>
  <si>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</si>
  <si>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</si>
  <si>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</si>
  <si>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</si>
  <si>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</si>
  <si>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</si>
  <si>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</si>
  <si>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</si>
  <si>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</si>
  <si>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</si>
  <si>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</si>
  <si>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</si>
  <si>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</si>
  <si>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</si>
  <si>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</si>
  <si>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</si>
  <si>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</si>
  <si>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</si>
  <si>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</si>
  <si>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</si>
  <si>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</si>
  <si>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</si>
  <si>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</si>
  <si>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</si>
  <si>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</si>
  <si>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</si>
  <si>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</si>
  <si>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</si>
  <si>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</si>
  <si>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</si>
  <si>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</si>
  <si>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</si>
  <si>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</si>
  <si>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</si>
  <si>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</si>
  <si>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</si>
  <si>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</si>
  <si>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</si>
  <si>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</si>
  <si>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</si>
  <si>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</si>
  <si>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</si>
  <si>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</si>
  <si>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</si>
  <si>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</si>
  <si>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</si>
  <si>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</si>
  <si>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</si>
  <si>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</si>
  <si>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</si>
  <si>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</si>
  <si>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</si>
  <si>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</si>
  <si>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</si>
  <si>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</si>
  <si>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</si>
  <si>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</si>
  <si>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</si>
  <si>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</si>
  <si>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</si>
  <si>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</si>
  <si>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</si>
  <si>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</si>
  <si>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</si>
  <si>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</si>
  <si>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</si>
  <si>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</si>
  <si>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</si>
  <si>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</si>
  <si>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</si>
  <si>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</si>
  <si>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</si>
  <si>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</si>
  <si>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</si>
  <si>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</si>
  <si>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</si>
  <si>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</si>
  <si>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</si>
  <si>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</si>
  <si>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</si>
  <si>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</si>
  <si>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</si>
  <si>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</si>
  <si>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</si>
  <si>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</si>
  <si>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</si>
  <si>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</si>
  <si>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</si>
  <si>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</si>
  <si>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</si>
  <si>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</si>
  <si>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</si>
  <si>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</si>
  <si>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</si>
  <si>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</si>
  <si>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</si>
  <si>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</si>
  <si>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</si>
  <si>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</si>
  <si>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</si>
  <si>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</si>
  <si>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</si>
  <si>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</si>
  <si>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</si>
  <si>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</si>
  <si>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</si>
  <si>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</si>
  <si>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</si>
  <si>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</si>
  <si>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</si>
  <si>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</si>
  <si>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</si>
  <si>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</si>
  <si>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</si>
  <si>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</si>
  <si>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</si>
  <si>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</si>
  <si>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</si>
  <si>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</si>
  <si>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</si>
  <si>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</si>
  <si>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</si>
  <si>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</si>
  <si>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</si>
  <si>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</si>
  <si>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</si>
  <si>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</si>
  <si>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</si>
  <si>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</si>
  <si>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</si>
  <si>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</si>
  <si>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</si>
  <si>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</si>
  <si>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</si>
  <si>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</si>
  <si>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</si>
  <si>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</si>
  <si>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</si>
  <si>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</si>
  <si>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</si>
  <si>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</si>
  <si>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</si>
  <si>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</si>
  <si>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</si>
  <si>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</si>
  <si>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</si>
  <si>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</si>
  <si>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</si>
  <si>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</si>
  <si>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</si>
  <si>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</si>
  <si>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</si>
  <si>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</si>
  <si>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</si>
  <si>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</si>
  <si>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</si>
  <si>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</si>
  <si>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</si>
  <si>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</si>
  <si>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</si>
  <si>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</si>
  <si>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</si>
  <si>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</si>
  <si>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</si>
  <si>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</si>
  <si>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</si>
  <si>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</si>
  <si>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</si>
  <si>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</si>
  <si>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</si>
  <si>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</si>
  <si>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</si>
  <si>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</si>
  <si>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</si>
  <si>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</si>
  <si>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</si>
  <si>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</si>
  <si>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</si>
  <si>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</si>
  <si>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</si>
  <si>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</si>
  <si>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</si>
  <si>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</si>
  <si>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</si>
  <si>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</si>
  <si>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</si>
  <si>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</si>
  <si>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</si>
  <si>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</si>
  <si>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</si>
  <si>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</si>
  <si>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</si>
  <si>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</si>
  <si>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</si>
  <si>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</si>
  <si>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</si>
  <si>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</si>
  <si>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</si>
  <si>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</si>
  <si>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</si>
  <si>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</si>
  <si>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</si>
  <si>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</si>
  <si>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</si>
  <si>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</si>
  <si>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</si>
  <si>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</si>
  <si>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</si>
  <si>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</si>
  <si>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</si>
  <si>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</si>
  <si>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</si>
  <si>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</si>
  <si>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</si>
  <si>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</si>
  <si>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</si>
  <si>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</si>
  <si>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</si>
  <si>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</si>
  <si>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</si>
  <si>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</si>
  <si>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</si>
  <si>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</si>
  <si>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</si>
  <si>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</si>
  <si>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</si>
  <si>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</si>
  <si>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</si>
  <si>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</si>
  <si>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</si>
  <si>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</si>
  <si>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</si>
  <si>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</si>
  <si>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</si>
  <si>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</si>
  <si>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</si>
  <si>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</si>
  <si>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</si>
  <si>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</si>
  <si>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</si>
  <si>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</si>
  <si>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</si>
  <si>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</si>
  <si>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</si>
  <si>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</si>
  <si>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</si>
  <si>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</si>
  <si>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</si>
  <si>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</si>
  <si>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</si>
  <si>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</si>
  <si>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</si>
  <si>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</si>
  <si>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</si>
  <si>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</si>
  <si>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</si>
  <si>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</si>
  <si>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</si>
  <si>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</si>
  <si>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</si>
  <si>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</si>
  <si>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</si>
  <si>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</si>
  <si>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</si>
  <si>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</si>
  <si>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</si>
  <si>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</si>
  <si>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</si>
  <si>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</si>
  <si>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</si>
  <si>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</si>
  <si>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</si>
  <si>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</si>
  <si>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</si>
  <si>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</si>
  <si>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</si>
  <si>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</si>
  <si>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</si>
  <si>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</si>
  <si>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</si>
  <si>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</si>
  <si>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</si>
  <si>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</si>
  <si>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</si>
  <si>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</si>
  <si>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</si>
  <si>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</si>
  <si>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</si>
  <si>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</si>
  <si>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</si>
  <si>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</si>
  <si>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</si>
  <si>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</si>
  <si>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</si>
  <si>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</si>
  <si>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</si>
  <si>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</si>
  <si>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</si>
  <si>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</si>
  <si>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</si>
  <si>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</si>
  <si>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</si>
  <si>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</si>
  <si>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</si>
  <si>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</si>
  <si>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</si>
  <si>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</si>
  <si>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</si>
  <si>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</si>
  <si>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</si>
  <si>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</si>
  <si>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</si>
  <si>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</si>
  <si>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</si>
  <si>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</si>
  <si>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</si>
  <si>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</si>
  <si>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</si>
  <si>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</si>
  <si>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</si>
  <si>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</si>
  <si>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</si>
  <si>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</si>
  <si>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</si>
  <si>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</si>
  <si>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</si>
  <si>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</si>
  <si>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</si>
  <si>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</si>
  <si>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</si>
  <si>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</si>
  <si>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</si>
  <si>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</si>
  <si>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</si>
  <si>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</si>
  <si>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</si>
  <si>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</si>
  <si>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</si>
  <si>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</si>
  <si>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</si>
  <si>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</si>
  <si>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</si>
  <si>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</si>
  <si>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</si>
  <si>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</si>
  <si>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</si>
  <si>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</si>
  <si>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</si>
  <si>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</si>
  <si>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</si>
  <si>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</si>
  <si>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</si>
  <si>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</si>
  <si>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</si>
  <si>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</si>
  <si>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</si>
  <si>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</si>
  <si>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</si>
  <si>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</si>
  <si>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</si>
  <si>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</si>
  <si>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</si>
  <si>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</si>
  <si>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</si>
  <si>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</si>
  <si>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</si>
  <si>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</si>
  <si>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</si>
  <si>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</si>
  <si>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</si>
  <si>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</si>
  <si>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</si>
  <si>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</si>
  <si>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</si>
  <si>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</si>
  <si>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</si>
  <si>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</si>
  <si>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</si>
  <si>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</si>
  <si>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</si>
  <si>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</si>
  <si>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</si>
  <si>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</si>
  <si>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</si>
  <si>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</si>
  <si>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</si>
  <si>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</si>
  <si>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</si>
  <si>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</si>
  <si>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</si>
  <si>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</si>
  <si>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</si>
  <si>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</si>
  <si>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</si>
  <si>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</si>
  <si>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</si>
  <si>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</si>
  <si>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</si>
  <si>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</si>
  <si>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</si>
  <si>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</si>
  <si>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</si>
  <si>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</si>
  <si>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</si>
  <si>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</si>
  <si>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</si>
  <si>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</si>
  <si>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</si>
  <si>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</si>
  <si>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</si>
  <si>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</si>
  <si>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</si>
  <si>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</si>
  <si>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</si>
  <si>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</si>
  <si>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</si>
  <si>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</si>
  <si>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</si>
  <si>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</si>
  <si>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</si>
  <si>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</si>
  <si>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</si>
  <si>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</si>
  <si>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</si>
  <si>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</si>
  <si>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</si>
  <si>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</si>
  <si>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</si>
  <si>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</si>
  <si>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</si>
  <si>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</si>
  <si>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</si>
  <si>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</si>
  <si>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</si>
  <si>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</si>
  <si>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</si>
  <si>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</si>
  <si>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</si>
  <si>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</si>
  <si>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</si>
  <si>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</si>
  <si>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</si>
  <si>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</si>
  <si>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</si>
  <si>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</si>
  <si>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</si>
  <si>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</si>
  <si>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</si>
  <si>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</si>
  <si>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</si>
  <si>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</si>
  <si>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</si>
  <si>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</si>
  <si>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</si>
  <si>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</si>
  <si>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</si>
  <si>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</si>
  <si>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</si>
  <si>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</si>
  <si>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</si>
  <si>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</si>
  <si>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</si>
  <si>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</si>
  <si>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</si>
  <si>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</si>
  <si>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</si>
  <si>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</si>
  <si>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</si>
  <si>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</si>
  <si>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</si>
  <si>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</si>
  <si>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</si>
  <si>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</si>
  <si>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</si>
  <si>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</si>
  <si>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</si>
  <si>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</si>
  <si>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</si>
  <si>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</si>
  <si>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</si>
  <si>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</si>
  <si>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</si>
  <si>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</si>
  <si>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</si>
  <si>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</si>
  <si>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</si>
  <si>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</si>
  <si>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</si>
  <si>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</si>
  <si>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</si>
  <si>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</si>
  <si>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</si>
  <si>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</si>
  <si>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</si>
  <si>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</si>
  <si>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</si>
  <si>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</si>
  <si>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</si>
  <si>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</si>
  <si>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</si>
  <si>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</si>
  <si>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</si>
  <si>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</si>
  <si>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</si>
  <si>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</si>
  <si>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</si>
  <si>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</si>
  <si>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</si>
  <si>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</si>
  <si>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</si>
  <si>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</si>
  <si>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</si>
  <si>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</si>
  <si>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</si>
  <si>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</si>
  <si>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</si>
  <si>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</si>
  <si>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</si>
  <si>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</si>
  <si>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</si>
  <si>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</si>
  <si>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</si>
  <si>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</si>
  <si>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</si>
  <si>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</si>
  <si>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</si>
  <si>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</si>
  <si>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</si>
  <si>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</si>
  <si>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</si>
  <si>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</si>
  <si>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</si>
  <si>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</si>
  <si>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</si>
  <si>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</si>
  <si>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</si>
  <si>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</si>
  <si>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</si>
  <si>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</si>
  <si>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</si>
  <si>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</si>
  <si>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</si>
  <si>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</si>
  <si>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</si>
  <si>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</si>
  <si>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</si>
  <si>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</si>
  <si>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</si>
  <si>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</si>
  <si>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</si>
  <si>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</si>
  <si>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</si>
  <si>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</si>
  <si>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</si>
  <si>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</si>
  <si>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</si>
  <si>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</si>
  <si>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</si>
  <si>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</si>
  <si>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</si>
  <si>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</si>
  <si>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</si>
  <si>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</si>
  <si>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</si>
  <si>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</si>
  <si>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</si>
  <si>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</si>
  <si>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</si>
  <si>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</si>
  <si>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</si>
  <si>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</si>
  <si>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</si>
  <si>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</si>
  <si>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</si>
  <si>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</si>
  <si>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</si>
  <si>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</si>
  <si>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</si>
  <si>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</si>
  <si>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</si>
  <si>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</si>
  <si>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</si>
  <si>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</si>
  <si>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</si>
  <si>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</si>
  <si>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</si>
  <si>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</si>
  <si>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</si>
  <si>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</si>
  <si>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</si>
  <si>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</si>
  <si>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</si>
  <si>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</si>
  <si>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</si>
  <si>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</si>
  <si>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</si>
  <si>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</si>
  <si>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</si>
  <si>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</si>
  <si>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</si>
  <si>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</si>
  <si>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</si>
  <si>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</si>
  <si>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</si>
  <si>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</si>
  <si>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</si>
  <si>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</si>
  <si>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</si>
  <si>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</si>
  <si>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</si>
  <si>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</si>
  <si>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</si>
  <si>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</si>
  <si>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</si>
  <si>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</si>
  <si>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</si>
  <si>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</si>
  <si>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</si>
  <si>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</si>
  <si>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</si>
  <si>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</si>
  <si>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</si>
  <si>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</si>
  <si>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</si>
  <si>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</si>
  <si>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</si>
  <si>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</si>
  <si>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</si>
  <si>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</si>
  <si>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</si>
  <si>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</si>
  <si>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</si>
  <si>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</si>
  <si>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</si>
  <si>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</si>
  <si>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</si>
  <si>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</si>
  <si>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</si>
  <si>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</si>
  <si>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</si>
  <si>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</si>
  <si>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</si>
  <si>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</si>
  <si>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</si>
  <si>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</si>
  <si>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</si>
  <si>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</si>
  <si>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</si>
  <si>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</si>
  <si>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</si>
  <si>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</si>
  <si>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</si>
  <si>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</si>
  <si>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</si>
  <si>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</si>
  <si>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</si>
  <si>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</si>
  <si>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</si>
  <si>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</si>
  <si>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</si>
  <si>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</si>
  <si>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</si>
  <si>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</si>
  <si>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</si>
  <si>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</si>
  <si>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</si>
  <si>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</si>
  <si>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</si>
  <si>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</si>
  <si>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</si>
  <si>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</si>
  <si>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</si>
  <si>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</si>
  <si>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</si>
  <si>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</si>
  <si>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</si>
  <si>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</si>
  <si>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</si>
  <si>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</si>
  <si>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</si>
  <si>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</si>
  <si>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</si>
  <si>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</si>
  <si>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</si>
  <si>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</si>
  <si>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</si>
  <si>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</si>
  <si>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</si>
  <si>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</si>
  <si>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</si>
  <si>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</si>
  <si>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</si>
  <si>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</si>
  <si>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</si>
  <si>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</si>
  <si>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</si>
  <si>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</si>
  <si>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</si>
  <si>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</si>
  <si>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</si>
  <si>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</si>
  <si>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</si>
  <si>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</si>
  <si>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</si>
  <si>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</si>
  <si>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</si>
  <si>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</si>
  <si>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</si>
  <si>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</si>
  <si>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</si>
  <si>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</si>
  <si>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</si>
  <si>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</si>
  <si>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</si>
  <si>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</si>
  <si>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</si>
  <si>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</si>
  <si>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</si>
  <si>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</si>
  <si>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</si>
  <si>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</si>
  <si>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</si>
  <si>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</si>
  <si>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</si>
  <si>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</si>
  <si>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</si>
  <si>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</si>
  <si>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</si>
  <si>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</si>
  <si>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</si>
  <si>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</si>
  <si>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</si>
  <si>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</si>
  <si>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</si>
  <si>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</si>
  <si>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</si>
  <si>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</si>
  <si>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</si>
  <si>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</si>
  <si>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</si>
  <si>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</si>
  <si>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</si>
  <si>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</si>
  <si>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</si>
  <si>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</si>
  <si>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</si>
  <si>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</si>
  <si>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</si>
  <si>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</si>
  <si>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</si>
  <si>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</si>
  <si>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</si>
  <si>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</si>
  <si>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</si>
  <si>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</si>
  <si>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</si>
  <si>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</si>
  <si>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</si>
  <si>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</si>
  <si>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</si>
  <si>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</si>
  <si>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</si>
  <si>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</si>
  <si>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</si>
  <si>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</si>
  <si>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</si>
  <si>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</si>
  <si>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</si>
  <si>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</si>
  <si>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</si>
  <si>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</si>
  <si>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</si>
  <si>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</si>
  <si>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</si>
  <si>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</si>
  <si>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</si>
  <si>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</si>
  <si>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</si>
  <si>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</si>
  <si>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</si>
  <si>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</si>
  <si>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</si>
  <si>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</si>
  <si>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</si>
  <si>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</si>
  <si>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</si>
  <si>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</si>
  <si>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</si>
  <si>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</si>
  <si>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</si>
  <si>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</si>
  <si>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</si>
  <si>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</si>
  <si>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</si>
  <si>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</si>
  <si>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</si>
  <si>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</si>
  <si>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</si>
  <si>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</si>
  <si>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</si>
  <si>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</si>
  <si>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</si>
  <si>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</si>
  <si>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</si>
  <si>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</si>
  <si>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</si>
  <si>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</si>
  <si>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</si>
  <si>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</si>
  <si>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</si>
  <si>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</si>
  <si>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</si>
  <si>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</si>
  <si>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</si>
  <si>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</si>
  <si>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</si>
  <si>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</si>
  <si>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</si>
  <si>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</si>
  <si>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</si>
  <si>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</si>
  <si>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</si>
  <si>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</si>
  <si>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</si>
  <si>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</si>
  <si>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</si>
  <si>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</si>
  <si>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</si>
  <si>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</si>
  <si>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</si>
  <si>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</si>
  <si>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</si>
  <si>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</si>
  <si>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</si>
  <si>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</si>
  <si>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</si>
  <si>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</si>
  <si>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</si>
  <si>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</si>
  <si>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</si>
  <si>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</si>
  <si>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</si>
  <si>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</si>
  <si>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</si>
  <si>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</si>
  <si>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</si>
  <si>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</si>
  <si>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</si>
  <si>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</si>
  <si>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</si>
  <si>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</si>
  <si>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</si>
  <si>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</si>
  <si>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</si>
  <si>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</si>
  <si>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</si>
  <si>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</si>
  <si>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</si>
  <si>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</si>
  <si>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</si>
  <si>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</si>
  <si>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</si>
  <si>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</si>
  <si>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</si>
  <si>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</si>
  <si>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</si>
  <si>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</si>
  <si>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</si>
  <si>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</si>
  <si>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</si>
  <si>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</si>
  <si>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</si>
  <si>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</si>
  <si>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</si>
  <si>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</si>
  <si>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</si>
  <si>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</si>
  <si>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</si>
  <si>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</si>
  <si>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</si>
  <si>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</si>
  <si>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</si>
  <si>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</si>
  <si>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</si>
  <si>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</si>
  <si>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</si>
  <si>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</si>
  <si>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</si>
  <si>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</si>
  <si>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</si>
  <si>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</si>
  <si>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</si>
  <si>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</si>
  <si>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</si>
  <si>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</si>
  <si>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</si>
  <si>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</si>
  <si>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</si>
  <si>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</si>
  <si>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</si>
  <si>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</si>
  <si>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</si>
  <si>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</si>
  <si>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</si>
  <si>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</si>
  <si>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</si>
  <si>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</si>
  <si>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</si>
  <si>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</si>
  <si>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</si>
  <si>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</si>
  <si>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</si>
  <si>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</si>
  <si>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</si>
  <si>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</si>
  <si>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</si>
  <si>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</si>
  <si>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</si>
  <si>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</si>
  <si>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</si>
  <si>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</si>
  <si>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</si>
  <si>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</si>
  <si>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</si>
  <si>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</si>
  <si>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</si>
  <si>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</si>
  <si>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</si>
  <si>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</si>
  <si>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</si>
  <si>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</si>
  <si>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</si>
  <si>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</si>
  <si>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</si>
  <si>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</si>
  <si>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</si>
  <si>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</si>
  <si>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</si>
  <si>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</si>
  <si>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</si>
  <si>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</si>
  <si>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</si>
  <si>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</si>
  <si>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</si>
  <si>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</si>
  <si>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</si>
  <si>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</si>
  <si>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</si>
  <si>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</si>
  <si>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</si>
  <si>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</si>
  <si>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</si>
  <si>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</si>
  <si>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</si>
  <si>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</si>
  <si>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</si>
  <si>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</si>
  <si>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</si>
  <si>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</si>
  <si>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</si>
  <si>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</si>
  <si>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</si>
  <si>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</si>
  <si>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</si>
  <si>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</si>
  <si>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</si>
  <si>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</si>
  <si>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</si>
  <si>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</si>
  <si>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</si>
  <si>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</si>
  <si>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</si>
  <si>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</si>
  <si>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</si>
  <si>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</si>
  <si>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</si>
  <si>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</si>
  <si>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</si>
  <si>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</si>
  <si>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</si>
  <si>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</si>
  <si>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</si>
  <si>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</si>
  <si>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</si>
  <si>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</si>
  <si>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</si>
  <si>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</si>
  <si>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</si>
  <si>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</si>
  <si>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</si>
  <si>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</si>
  <si>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</si>
  <si>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</si>
  <si>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</si>
  <si>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</si>
  <si>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</si>
  <si>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</si>
  <si>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</si>
  <si>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</si>
  <si>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</si>
  <si>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</si>
  <si>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</si>
  <si>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</si>
  <si>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</si>
  <si>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</si>
  <si>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</si>
  <si>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</si>
  <si>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</si>
  <si>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</si>
  <si>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</si>
  <si>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</si>
  <si>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</si>
  <si>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</si>
  <si>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</si>
  <si>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</si>
  <si>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</si>
  <si>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</si>
  <si>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</si>
  <si>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</si>
  <si>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</si>
  <si>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</si>
  <si>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</si>
  <si>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</si>
  <si>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</si>
  <si>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</si>
  <si>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</si>
  <si>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</si>
  <si>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</si>
  <si>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</si>
  <si>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</si>
  <si>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</si>
  <si>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</si>
  <si>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</si>
  <si>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</si>
  <si>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</si>
  <si>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</si>
  <si>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</si>
  <si>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</si>
  <si>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</si>
  <si>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</si>
  <si>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</si>
  <si>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</si>
  <si>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</si>
  <si>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</si>
  <si>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</si>
  <si>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</si>
  <si>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</si>
  <si>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</si>
  <si>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</si>
  <si>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</si>
  <si>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</si>
  <si>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</si>
  <si>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</si>
  <si>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</si>
  <si>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</si>
  <si>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</si>
  <si>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</si>
  <si>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</si>
  <si>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</si>
  <si>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</si>
  <si>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</si>
  <si>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</si>
  <si>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</si>
  <si>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</si>
  <si>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</si>
  <si>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</si>
  <si>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</si>
  <si>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</si>
  <si>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</si>
  <si>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</si>
  <si>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</si>
  <si>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</si>
  <si>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</si>
  <si>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</si>
  <si>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</si>
  <si>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</si>
  <si>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</si>
  <si>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</si>
  <si>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</si>
  <si>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</si>
  <si>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</si>
  <si>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</si>
  <si>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</si>
  <si>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</si>
  <si>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</si>
  <si>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</si>
  <si>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</si>
  <si>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</si>
  <si>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</si>
  <si>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</si>
  <si>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</si>
  <si>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</si>
  <si>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</si>
  <si>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</si>
  <si>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</si>
  <si>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</si>
  <si>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</si>
  <si>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</si>
  <si>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</si>
  <si>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</si>
  <si>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</si>
  <si>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</si>
  <si>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</si>
  <si>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</si>
  <si>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</si>
  <si>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</si>
  <si>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</si>
  <si>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</si>
  <si>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</si>
  <si>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</si>
  <si>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</si>
  <si>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</si>
  <si>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</si>
  <si>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</si>
  <si>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</si>
  <si>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</si>
  <si>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</si>
  <si>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</si>
  <si>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</si>
  <si>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</si>
  <si>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</si>
  <si>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</si>
  <si>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</si>
  <si>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</si>
  <si>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</si>
  <si>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</si>
  <si>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</si>
  <si>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</si>
  <si>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</si>
  <si>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</si>
  <si>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</si>
  <si>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</si>
  <si>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</si>
  <si>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</si>
  <si>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</si>
  <si>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</si>
  <si>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</si>
  <si>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</si>
  <si>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</si>
  <si>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</si>
  <si>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</si>
  <si>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</si>
  <si>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</si>
  <si>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</si>
  <si>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</si>
  <si>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</si>
  <si>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</si>
  <si>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</si>
  <si>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</si>
  <si>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</si>
  <si>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</si>
  <si>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</si>
  <si>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</si>
  <si>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</si>
  <si>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</si>
  <si>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</si>
  <si>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</si>
  <si>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</si>
  <si>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</si>
  <si>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</si>
  <si>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</si>
  <si>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</si>
  <si>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</si>
  <si>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</si>
  <si>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</si>
  <si>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</si>
  <si>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</si>
  <si>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</si>
  <si>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</si>
  <si>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</si>
  <si>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</si>
  <si>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</si>
  <si>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</si>
  <si>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</si>
  <si>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</si>
  <si>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</si>
  <si>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</si>
  <si>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</si>
  <si>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</si>
  <si>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</si>
  <si>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</si>
  <si>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</si>
  <si>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</si>
  <si>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</si>
  <si>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</si>
  <si>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</si>
  <si>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</si>
  <si>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</si>
  <si>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</si>
  <si>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</si>
  <si>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</si>
  <si>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</si>
  <si>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</si>
  <si>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</si>
  <si>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</si>
  <si>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</si>
  <si>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</si>
  <si>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</si>
  <si>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</si>
  <si>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</si>
  <si>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</si>
  <si>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</si>
  <si>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</si>
  <si>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</si>
  <si>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</si>
  <si>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</si>
  <si>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</si>
  <si>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</si>
  <si>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</si>
  <si>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</si>
  <si>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</si>
  <si>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</si>
  <si>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</si>
  <si>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</si>
  <si>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</si>
  <si>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</si>
  <si>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</si>
  <si>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</si>
  <si>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</si>
  <si>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</si>
  <si>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</si>
  <si>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</si>
  <si>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</si>
  <si>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</si>
  <si>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</si>
  <si>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</si>
  <si>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</si>
  <si>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</si>
  <si>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</si>
  <si>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</si>
  <si>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</si>
  <si>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</si>
  <si>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</si>
  <si>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</si>
  <si>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</si>
  <si>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</si>
  <si>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</si>
  <si>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</si>
  <si>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</si>
  <si>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</si>
  <si>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</si>
  <si>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</si>
  <si>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</si>
  <si>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</si>
  <si>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</si>
  <si>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</si>
  <si>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</si>
  <si>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</si>
  <si>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</si>
  <si>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</si>
  <si>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</si>
  <si>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</si>
  <si>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</si>
  <si>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</si>
  <si>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</si>
  <si>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</si>
  <si>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</si>
  <si>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</si>
  <si>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</si>
  <si>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</si>
  <si>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</si>
  <si>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</si>
  <si>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</si>
  <si>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</si>
  <si>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</si>
  <si>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</si>
  <si>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</si>
  <si>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</si>
  <si>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</si>
  <si>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</si>
  <si>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</si>
  <si>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</si>
  <si>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</si>
  <si>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</si>
  <si>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</si>
  <si>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</si>
  <si>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</si>
  <si>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</si>
  <si>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</si>
  <si>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</si>
  <si>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</si>
  <si>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</si>
  <si>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</si>
  <si>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</si>
  <si>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</si>
  <si>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</si>
  <si>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</si>
  <si>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</si>
  <si>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</si>
  <si>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</si>
  <si>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</si>
  <si>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</si>
  <si>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</si>
  <si>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</si>
  <si>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</si>
  <si>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</si>
  <si>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</si>
  <si>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</si>
  <si>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</si>
  <si>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</si>
  <si>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</si>
  <si>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</si>
  <si>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</si>
  <si>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</si>
  <si>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</si>
  <si>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</si>
  <si>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</si>
  <si>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</si>
  <si>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</si>
  <si>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</si>
  <si>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</si>
  <si>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</si>
  <si>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</si>
  <si>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</si>
  <si>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</si>
  <si>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</si>
  <si>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</si>
  <si>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</si>
  <si>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</si>
  <si>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</si>
  <si>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</si>
  <si>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</si>
  <si>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</si>
  <si>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</si>
  <si>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</si>
  <si>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</si>
  <si>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</si>
  <si>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</si>
  <si>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</si>
  <si>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</si>
  <si>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</si>
  <si>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</si>
  <si>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</si>
  <si>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</si>
  <si>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</si>
  <si>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</si>
  <si>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</si>
  <si>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</si>
  <si>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</si>
  <si>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</si>
  <si>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</si>
  <si>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</si>
  <si>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</si>
  <si>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</si>
  <si>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</si>
  <si>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</si>
  <si>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</si>
  <si>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</si>
  <si>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</si>
  <si>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</si>
  <si>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</si>
  <si>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</si>
  <si>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</si>
  <si>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</si>
  <si>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</si>
  <si>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</si>
  <si>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</si>
  <si>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</si>
  <si>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</si>
  <si>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</si>
  <si>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</si>
  <si>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</si>
  <si>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</si>
  <si>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</si>
  <si>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</si>
  <si>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</si>
  <si>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</si>
  <si>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</si>
  <si>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</si>
  <si>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</si>
  <si>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</si>
  <si>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</si>
  <si>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</si>
  <si>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</si>
  <si>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</si>
  <si>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</si>
  <si>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</si>
  <si>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</si>
  <si>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</si>
  <si>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</si>
  <si>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</si>
  <si>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</si>
  <si>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</si>
  <si>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</si>
  <si>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</si>
  <si>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</si>
  <si>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</si>
  <si>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</si>
  <si>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</si>
  <si>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</si>
  <si>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</si>
  <si>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</si>
  <si>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</si>
  <si>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</si>
  <si>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</si>
  <si>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</si>
  <si>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</si>
  <si>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</si>
  <si>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</si>
  <si>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</si>
  <si>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</si>
  <si>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</si>
  <si>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</si>
  <si>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</si>
  <si>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</si>
  <si>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</si>
  <si>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</si>
  <si>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</si>
  <si>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</si>
  <si>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</si>
  <si>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</si>
  <si>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</si>
  <si>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</si>
  <si>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</si>
  <si>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</si>
  <si>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</si>
  <si>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</si>
  <si>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</si>
  <si>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</si>
  <si>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</si>
  <si>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</si>
  <si>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</si>
  <si>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</si>
  <si>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</si>
  <si>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</si>
  <si>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</si>
  <si>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</si>
  <si>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</si>
  <si>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</si>
  <si>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</si>
  <si>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</si>
  <si>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</si>
  <si>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</si>
  <si>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</si>
  <si>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</si>
  <si>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</si>
  <si>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</si>
  <si>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</si>
  <si>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</si>
  <si>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</si>
  <si>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</si>
  <si>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</si>
  <si>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</si>
  <si>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</si>
  <si>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</si>
  <si>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</si>
  <si>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</si>
  <si>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</si>
  <si>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</si>
  <si>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</si>
  <si>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</si>
  <si>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</si>
  <si>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</si>
  <si>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</si>
  <si>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</si>
  <si>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</si>
  <si>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</si>
  <si>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</si>
  <si>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</si>
  <si>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</si>
  <si>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</si>
  <si>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</si>
  <si>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</si>
  <si>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</si>
  <si>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</si>
  <si>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</si>
  <si>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</si>
  <si>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</si>
  <si>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</si>
  <si>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</si>
  <si>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</si>
  <si>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</si>
  <si>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</si>
  <si>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</si>
  <si>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</si>
  <si>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</si>
  <si>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</si>
  <si>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</si>
  <si>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</si>
  <si>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</si>
  <si>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</si>
  <si>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</si>
  <si>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</si>
  <si>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</si>
  <si>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</si>
  <si>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</si>
  <si>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</si>
  <si>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</si>
  <si>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</si>
  <si>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</si>
  <si>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</si>
  <si>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</si>
  <si>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</si>
  <si>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</si>
  <si>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</si>
  <si>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</si>
  <si>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</si>
  <si>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</si>
  <si>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</si>
  <si>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</si>
  <si>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</si>
  <si>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</si>
  <si>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</si>
  <si>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</si>
  <si>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</si>
  <si>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</si>
  <si>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</si>
  <si>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</si>
  <si>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</si>
  <si>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</si>
  <si>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</si>
  <si>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</si>
  <si>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</si>
  <si>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</si>
  <si>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</si>
  <si>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</si>
  <si>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</si>
  <si>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</si>
  <si>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</si>
  <si>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</si>
  <si>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</si>
  <si>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</si>
  <si>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</si>
  <si>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</si>
  <si>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</si>
  <si>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</si>
  <si>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</si>
  <si>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</si>
  <si>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</si>
  <si>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</si>
  <si>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</si>
  <si>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</si>
  <si>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</si>
  <si>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</si>
  <si>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</si>
  <si>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</si>
  <si>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</si>
  <si>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</si>
  <si>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</si>
  <si>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</si>
  <si>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</si>
  <si>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</si>
  <si>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</si>
  <si>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</si>
  <si>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</si>
  <si>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</si>
  <si>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</si>
  <si>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</si>
  <si>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</si>
  <si>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</si>
  <si>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</si>
  <si>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</si>
  <si>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</si>
  <si>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</si>
  <si>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</si>
  <si>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</si>
  <si>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</si>
  <si>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</si>
  <si>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</si>
  <si>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</si>
  <si>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</si>
  <si>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</si>
  <si>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</si>
  <si>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</si>
  <si>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</si>
  <si>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</si>
  <si>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</si>
  <si>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</si>
  <si>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</si>
  <si>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</si>
  <si>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</si>
  <si>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</si>
  <si>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</si>
  <si>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</si>
  <si>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</si>
  <si>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</si>
  <si>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</si>
  <si>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</si>
  <si>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</si>
  <si>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</si>
  <si>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</si>
  <si>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</si>
  <si>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</si>
  <si>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</si>
  <si>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</si>
  <si>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</si>
  <si>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</si>
  <si>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</si>
  <si>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</si>
  <si>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</si>
  <si>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</si>
  <si>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</si>
  <si>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</si>
  <si>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</si>
  <si>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</si>
  <si>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</si>
  <si>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</si>
  <si>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</si>
  <si>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</si>
  <si>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</si>
  <si>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</si>
  <si>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</si>
  <si>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</si>
  <si>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</si>
  <si>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</si>
  <si>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</si>
  <si>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</si>
  <si>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</si>
  <si>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</si>
  <si>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</si>
  <si>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</si>
  <si>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</si>
  <si>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</si>
  <si>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</si>
  <si>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</si>
  <si>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</si>
  <si>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</si>
  <si>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</si>
  <si>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</si>
  <si>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</si>
  <si>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</si>
  <si>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</si>
  <si>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</si>
  <si>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</si>
  <si>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</si>
  <si>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</si>
  <si>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</si>
  <si>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</si>
  <si>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</si>
  <si>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</si>
  <si>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</si>
  <si>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</si>
  <si>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</si>
  <si>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</si>
  <si>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</si>
  <si>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</si>
  <si>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</si>
  <si>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</si>
  <si>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</si>
  <si>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</si>
  <si>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</si>
  <si>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</si>
  <si>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</si>
  <si>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</si>
  <si>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</si>
  <si>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</si>
  <si>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</si>
  <si>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</si>
  <si>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</si>
  <si>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</si>
  <si>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</si>
  <si>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</si>
  <si>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</si>
  <si>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</si>
  <si>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</si>
  <si>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</si>
  <si>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</si>
  <si>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</si>
  <si>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</si>
  <si>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</si>
  <si>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</si>
  <si>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</si>
  <si>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</si>
  <si>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</si>
  <si>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</si>
  <si>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</si>
  <si>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</si>
  <si>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</si>
  <si>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</si>
  <si>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</si>
  <si>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</si>
  <si>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</si>
  <si>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</si>
  <si>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</si>
  <si>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</si>
  <si>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</si>
  <si>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</si>
  <si>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</si>
  <si>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</si>
  <si>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</si>
  <si>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</si>
  <si>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</si>
  <si>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</si>
  <si>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</si>
  <si>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</si>
  <si>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</si>
  <si>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</si>
  <si>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</si>
  <si>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</si>
  <si>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</si>
  <si>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</si>
  <si>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</si>
  <si>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</si>
  <si>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</si>
  <si>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</si>
  <si>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</si>
  <si>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</si>
  <si>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</si>
  <si>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</si>
  <si>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</si>
  <si>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</si>
  <si>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</si>
  <si>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</si>
  <si>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</si>
  <si>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</si>
  <si>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</si>
  <si>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</si>
  <si>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</si>
  <si>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</si>
  <si>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</si>
  <si>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</si>
  <si>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</si>
  <si>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</si>
  <si>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</si>
  <si>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</si>
  <si>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</si>
  <si>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</si>
  <si>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</si>
  <si>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</si>
  <si>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</si>
  <si>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</si>
  <si>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</si>
  <si>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</si>
  <si>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</si>
  <si>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</si>
  <si>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</si>
  <si>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</si>
  <si>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</si>
  <si>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</si>
  <si>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</si>
  <si>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</si>
  <si>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</si>
  <si>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</si>
  <si>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</si>
  <si>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</si>
  <si>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</si>
  <si>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</si>
  <si>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</si>
  <si>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</si>
  <si>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</si>
  <si>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</si>
  <si>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</si>
  <si>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</si>
  <si>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</si>
  <si>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</si>
  <si>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</si>
  <si>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</si>
  <si>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</si>
  <si>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</si>
  <si>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</si>
  <si>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</si>
  <si>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</si>
  <si>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</si>
  <si>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</si>
  <si>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</si>
  <si>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</si>
  <si>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</si>
  <si>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</si>
  <si>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</si>
  <si>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</si>
  <si>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</si>
  <si>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</si>
  <si>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</si>
  <si>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</si>
  <si>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</si>
  <si>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</si>
  <si>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</si>
  <si>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</si>
  <si>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</si>
  <si>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</si>
  <si>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</si>
  <si>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</si>
  <si>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</si>
  <si>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</si>
  <si>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DENNIS ROSE &amp; ASSOCIATES, P.C.</t>
  </si>
  <si>
    <t>DENNIS ROSE</t>
  </si>
  <si>
    <t>1904 STATE STREET</t>
  </si>
  <si>
    <t>ALTON</t>
  </si>
  <si>
    <t>IL</t>
  </si>
  <si>
    <t>618-465-4999</t>
  </si>
  <si>
    <t>618-465-5050</t>
  </si>
  <si>
    <t>066-005060</t>
  </si>
  <si>
    <t>DROSECPA@DRA-CPA.COM</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</si>
  <si>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</si>
  <si>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</si>
  <si>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ST. CLAIR</t>
  </si>
  <si>
    <t>400 ASHLAND DR.</t>
  </si>
  <si>
    <t>FAIRVIEW HEIGHTS</t>
  </si>
  <si>
    <t>JBROWN@PWH105.ORG</t>
  </si>
  <si>
    <t>GO SCHOOL BOND, SERIES 2016A</t>
  </si>
  <si>
    <t>GO SCHOOL BOND, SERIES 2016B</t>
  </si>
  <si>
    <t>COPIER EQUIPMENT LEASE</t>
  </si>
  <si>
    <t>LEASE PURCHASE</t>
  </si>
  <si>
    <t>EDUCATIONAL FUND</t>
  </si>
  <si>
    <t>BELLEVILLE SD #118</t>
  </si>
  <si>
    <t>TORT FUND</t>
  </si>
  <si>
    <t>PSIC</t>
  </si>
  <si>
    <t>STATE NATIONAL INSURANCE</t>
  </si>
  <si>
    <t>BASSC, GRANT #110, WHITESIDE #115</t>
  </si>
  <si>
    <t>BELLEVILLE DIST #118</t>
  </si>
  <si>
    <t>BELLEVILLE AREA SPECIAL SERVICES COOPERATIVE (BASSC)</t>
  </si>
  <si>
    <t>BTHS #201</t>
  </si>
  <si>
    <t>R9-14 ED FUND A/C 1993 OTHER LOCAL FEES - $93,242</t>
  </si>
  <si>
    <t>R9-14 ED FUND A/C 1999 OTHER LOCAL REVENUES - $50,406</t>
  </si>
  <si>
    <t>R9-14 ED FUND A/C 3299 CTE OTHER - $25,918</t>
  </si>
  <si>
    <t>R9-14 ED FUND A/C 4299 FOOD SERVICE - OTHER - $21,264</t>
  </si>
  <si>
    <t>E15-22 TRANS FUND A/C 2100 OTHER SUPPORT SERVICES - PUPILS - $10,838</t>
  </si>
  <si>
    <t>E15-22 IMRF FUND A/C 2190 OTHER SUPPORT SERVICES - PUPILS - $6,849</t>
  </si>
  <si>
    <t>10-2560-400</t>
  </si>
  <si>
    <t>80-2300-300</t>
  </si>
  <si>
    <t>Pontiac-W Holiday SD 105</t>
  </si>
  <si>
    <t>50-082-1050-02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</si>
</sst>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9" zoomScaleNormal="100" zoomScalePageLayoutView="86" workbookViewId="0">
      <selection activeCell="P35" sqref="P35:R3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1" t="s">
        <v>405</v>
      </c>
      <c r="J1" s="1982"/>
      <c r="K1" s="1982"/>
      <c r="L1" s="1982"/>
      <c r="M1" s="1982"/>
      <c r="N1" s="1982"/>
      <c r="O1" s="1982"/>
      <c r="P1" s="1982"/>
      <c r="Q1" s="1982"/>
      <c r="R1" s="1982"/>
      <c r="S1" s="1982"/>
    </row>
    <row r="2" spans="1:28" ht="12" customHeight="1" x14ac:dyDescent="0.2">
      <c r="A2" s="47" t="s">
        <v>1992</v>
      </c>
      <c r="D2" s="48"/>
      <c r="I2" s="1983" t="s">
        <v>979</v>
      </c>
      <c r="J2" s="1982"/>
      <c r="K2" s="1982"/>
      <c r="L2" s="1982"/>
      <c r="M2" s="1982"/>
      <c r="N2" s="1982"/>
      <c r="O2" s="1982"/>
      <c r="P2" s="1982"/>
      <c r="Q2" s="1982"/>
      <c r="R2" s="1982"/>
      <c r="S2" s="1982"/>
    </row>
    <row r="3" spans="1:28" ht="12" customHeight="1" x14ac:dyDescent="0.2">
      <c r="A3" s="155" t="s">
        <v>1944</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2063</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2063</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t="s">
        <v>2101</v>
      </c>
      <c r="B13" s="2017"/>
      <c r="C13" s="2017"/>
      <c r="D13" s="2017"/>
      <c r="E13" s="2017"/>
      <c r="F13" s="2017"/>
      <c r="G13" s="2017"/>
      <c r="H13" s="2018"/>
      <c r="I13" s="31"/>
      <c r="J13" s="30"/>
      <c r="K13" s="28"/>
      <c r="L13" s="30"/>
      <c r="M13" s="30"/>
      <c r="N13" s="30"/>
      <c r="O13" s="30"/>
      <c r="P13" s="30"/>
      <c r="Q13" s="30"/>
      <c r="R13" s="30"/>
      <c r="S13" s="30"/>
      <c r="T13" s="2021" t="s">
        <v>2064</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2075</v>
      </c>
      <c r="B15" s="2019"/>
      <c r="C15" s="2019"/>
      <c r="D15" s="2019"/>
      <c r="E15" s="2019"/>
      <c r="F15" s="2019"/>
      <c r="G15" s="2019"/>
      <c r="H15" s="2020"/>
      <c r="T15" s="2025" t="s">
        <v>2065</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2100</v>
      </c>
      <c r="B17" s="1976"/>
      <c r="C17" s="1976"/>
      <c r="D17" s="1976"/>
      <c r="E17" s="1976"/>
      <c r="F17" s="1976"/>
      <c r="G17" s="1976"/>
      <c r="H17" s="2001"/>
      <c r="T17" s="2032" t="s">
        <v>2066</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2076</v>
      </c>
      <c r="B19" s="1961"/>
      <c r="C19" s="1961"/>
      <c r="D19" s="1961"/>
      <c r="E19" s="1961"/>
      <c r="F19" s="1961"/>
      <c r="G19" s="1961"/>
      <c r="H19" s="1941"/>
      <c r="I19" s="30"/>
      <c r="J19" s="99"/>
      <c r="K19" s="40"/>
      <c r="L19" s="38"/>
      <c r="M19" s="112" t="s">
        <v>315</v>
      </c>
      <c r="P19" s="27"/>
      <c r="Q19" s="27"/>
      <c r="R19" s="27"/>
      <c r="S19" s="31"/>
      <c r="T19" s="2015" t="s">
        <v>2067</v>
      </c>
      <c r="U19" s="1940"/>
      <c r="V19" s="1940"/>
      <c r="W19" s="1941"/>
      <c r="X19" s="2030" t="s">
        <v>2068</v>
      </c>
      <c r="Y19" s="2031"/>
      <c r="Z19" s="2028">
        <v>62002</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2077</v>
      </c>
      <c r="B21" s="1940"/>
      <c r="C21" s="1940"/>
      <c r="D21" s="1940"/>
      <c r="E21" s="1940"/>
      <c r="F21" s="1940"/>
      <c r="G21" s="1940"/>
      <c r="H21" s="1941"/>
      <c r="I21" s="1995" t="s">
        <v>678</v>
      </c>
      <c r="J21" s="1990"/>
      <c r="K21" s="1990"/>
      <c r="L21" s="1990"/>
      <c r="M21" s="1990"/>
      <c r="N21" s="1990"/>
      <c r="O21" s="1990"/>
      <c r="P21" s="1990"/>
      <c r="Q21" s="1990"/>
      <c r="R21" s="1990"/>
      <c r="S21" s="1996"/>
      <c r="T21" s="2039" t="s">
        <v>2069</v>
      </c>
      <c r="U21" s="2040"/>
      <c r="V21" s="2040"/>
      <c r="W21" s="2040"/>
      <c r="X21" s="2045" t="s">
        <v>2070</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2078</v>
      </c>
      <c r="B23" s="1993"/>
      <c r="C23" s="1993"/>
      <c r="D23" s="1993"/>
      <c r="E23" s="1993"/>
      <c r="F23" s="1993"/>
      <c r="G23" s="1993"/>
      <c r="H23" s="1994"/>
      <c r="T23" s="1975" t="s">
        <v>2071</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62208</v>
      </c>
      <c r="B25" s="1940"/>
      <c r="C25" s="1940"/>
      <c r="D25" s="1940"/>
      <c r="E25" s="1940"/>
      <c r="F25" s="1940"/>
      <c r="G25" s="1940"/>
      <c r="H25" s="1941"/>
      <c r="I25" s="113"/>
      <c r="J25" s="1964"/>
      <c r="K25" s="1964"/>
      <c r="L25" s="1964"/>
      <c r="M25" s="1964"/>
      <c r="N25" s="1964"/>
      <c r="O25" s="1964"/>
      <c r="P25" s="1964"/>
      <c r="Q25" s="1964"/>
      <c r="R25" s="1964"/>
      <c r="S25" s="1965"/>
      <c r="T25" s="2035" t="s">
        <v>2072</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2063</v>
      </c>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02"/>
      <c r="K30" s="28" t="s">
        <v>576</v>
      </c>
      <c r="L30" s="148" t="s">
        <v>2063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c r="B42" s="1959"/>
      <c r="C42" s="1960"/>
      <c r="D42" s="1958"/>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75" right="0.75" top="1" bottom="0.5" header="0.5" footer="0.5"/>
  <pageSetup scale="65" orientation="landscape" r:id="rId3"/>
  <headerFooter>
    <oddFooter>&amp;C&amp;"Times New Roman,Regular"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45" zoomScaleNormal="145" workbookViewId="0">
      <selection activeCell="C11" sqref="C1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1801</v>
      </c>
      <c r="B2" s="1528" t="s">
        <v>1950</v>
      </c>
      <c r="C2" s="714" t="s">
        <v>1951</v>
      </c>
      <c r="D2" s="714" t="s">
        <v>1952</v>
      </c>
      <c r="E2" s="714" t="s">
        <v>1953</v>
      </c>
      <c r="F2" s="714" t="s">
        <v>1954</v>
      </c>
    </row>
    <row r="3" spans="1:6" ht="12" customHeight="1" x14ac:dyDescent="0.2">
      <c r="A3" s="2182"/>
      <c r="B3" s="1525"/>
      <c r="C3" s="1526"/>
      <c r="D3" s="1527" t="s">
        <v>256</v>
      </c>
      <c r="E3" s="1526"/>
      <c r="F3" s="1527" t="s">
        <v>257</v>
      </c>
    </row>
    <row r="4" spans="1:6" ht="13.7" customHeight="1" x14ac:dyDescent="0.2">
      <c r="A4" s="715" t="s">
        <v>1155</v>
      </c>
      <c r="B4" s="1749">
        <f>'Revenues 9-14'!C5</f>
        <v>3949864</v>
      </c>
      <c r="C4" s="1524">
        <v>1152493</v>
      </c>
      <c r="D4" s="1752">
        <f>B4-C4</f>
        <v>2797371</v>
      </c>
      <c r="E4" s="1524">
        <v>3949604</v>
      </c>
      <c r="F4" s="1752">
        <f>E4-C4</f>
        <v>2797111</v>
      </c>
    </row>
    <row r="5" spans="1:6" ht="13.7" customHeight="1" x14ac:dyDescent="0.2">
      <c r="A5" s="715" t="s">
        <v>870</v>
      </c>
      <c r="B5" s="1750">
        <f>'Revenues 9-14'!D5</f>
        <v>628957</v>
      </c>
      <c r="C5" s="585">
        <v>183518</v>
      </c>
      <c r="D5" s="1753">
        <f t="shared" ref="D5:D18" si="0">B5-C5</f>
        <v>445439</v>
      </c>
      <c r="E5" s="585">
        <v>628918</v>
      </c>
      <c r="F5" s="1753">
        <f>E5-C5</f>
        <v>445400</v>
      </c>
    </row>
    <row r="6" spans="1:6" ht="13.7" customHeight="1" x14ac:dyDescent="0.2">
      <c r="A6" s="715" t="s">
        <v>411</v>
      </c>
      <c r="B6" s="1750">
        <f>'Revenues 9-14'!E5</f>
        <v>768083</v>
      </c>
      <c r="C6" s="585">
        <v>221617</v>
      </c>
      <c r="D6" s="1753">
        <f t="shared" si="0"/>
        <v>546466</v>
      </c>
      <c r="E6" s="585">
        <v>759481</v>
      </c>
      <c r="F6" s="1753">
        <f t="shared" ref="F6:F18" si="1">E6-C6</f>
        <v>537864</v>
      </c>
    </row>
    <row r="7" spans="1:6" ht="13.7" customHeight="1" x14ac:dyDescent="0.2">
      <c r="A7" s="715" t="s">
        <v>155</v>
      </c>
      <c r="B7" s="1750">
        <f>'Revenues 9-14'!F5</f>
        <v>301902</v>
      </c>
      <c r="C7" s="585">
        <v>88089</v>
      </c>
      <c r="D7" s="1753">
        <f t="shared" si="0"/>
        <v>213813</v>
      </c>
      <c r="E7" s="585">
        <v>301881</v>
      </c>
      <c r="F7" s="1753">
        <f t="shared" si="1"/>
        <v>213792</v>
      </c>
    </row>
    <row r="8" spans="1:6" ht="13.7" customHeight="1" x14ac:dyDescent="0.2">
      <c r="A8" s="715" t="s">
        <v>1179</v>
      </c>
      <c r="B8" s="1750">
        <f>'Revenues 9-14'!G5</f>
        <v>204200</v>
      </c>
      <c r="C8" s="585">
        <v>60414</v>
      </c>
      <c r="D8" s="1753">
        <f t="shared" si="0"/>
        <v>143786</v>
      </c>
      <c r="E8" s="585">
        <v>207040</v>
      </c>
      <c r="F8" s="1753">
        <f t="shared" si="1"/>
        <v>146626</v>
      </c>
    </row>
    <row r="9" spans="1:6" ht="13.7" customHeight="1" x14ac:dyDescent="0.2">
      <c r="A9" s="715" t="s">
        <v>408</v>
      </c>
      <c r="B9" s="1750">
        <f>'Revenues 9-14'!H5</f>
        <v>0</v>
      </c>
      <c r="C9" s="585">
        <v>0</v>
      </c>
      <c r="D9" s="1753">
        <f t="shared" si="0"/>
        <v>0</v>
      </c>
      <c r="E9" s="585"/>
      <c r="F9" s="1753">
        <f t="shared" si="1"/>
        <v>0</v>
      </c>
    </row>
    <row r="10" spans="1:6" ht="13.7" customHeight="1" x14ac:dyDescent="0.2">
      <c r="A10" s="715" t="s">
        <v>407</v>
      </c>
      <c r="B10" s="1750">
        <f>'Revenues 9-14'!I5</f>
        <v>125789</v>
      </c>
      <c r="C10" s="585">
        <v>36703</v>
      </c>
      <c r="D10" s="1753">
        <f t="shared" si="0"/>
        <v>89086</v>
      </c>
      <c r="E10" s="585">
        <v>125784</v>
      </c>
      <c r="F10" s="1753">
        <f t="shared" si="1"/>
        <v>89081</v>
      </c>
    </row>
    <row r="11" spans="1:6" x14ac:dyDescent="0.2">
      <c r="A11" s="715" t="s">
        <v>409</v>
      </c>
      <c r="B11" s="1750">
        <f>'Revenues 9-14'!J5</f>
        <v>739991</v>
      </c>
      <c r="C11" s="585">
        <v>218828</v>
      </c>
      <c r="D11" s="1753">
        <f t="shared" si="0"/>
        <v>521163</v>
      </c>
      <c r="E11" s="585">
        <v>749922</v>
      </c>
      <c r="F11" s="1753">
        <f t="shared" si="1"/>
        <v>531094</v>
      </c>
    </row>
    <row r="12" spans="1:6" ht="13.7" customHeight="1" x14ac:dyDescent="0.2">
      <c r="A12" s="715" t="s">
        <v>157</v>
      </c>
      <c r="B12" s="1750">
        <f>'Revenues 9-14'!K5</f>
        <v>125789</v>
      </c>
      <c r="C12" s="585">
        <v>36703</v>
      </c>
      <c r="D12" s="1753">
        <f t="shared" si="0"/>
        <v>89086</v>
      </c>
      <c r="E12" s="585">
        <v>125784</v>
      </c>
      <c r="F12" s="1753">
        <f t="shared" si="1"/>
        <v>89081</v>
      </c>
    </row>
    <row r="13" spans="1:6" ht="13.7" customHeight="1" x14ac:dyDescent="0.2">
      <c r="A13" s="715" t="s">
        <v>936</v>
      </c>
      <c r="B13" s="1750">
        <f>SUM('Revenues 9-14'!C6:D6)</f>
        <v>100636</v>
      </c>
      <c r="C13" s="585">
        <v>29363</v>
      </c>
      <c r="D13" s="1753">
        <f t="shared" si="0"/>
        <v>71273</v>
      </c>
      <c r="E13" s="585">
        <v>100627</v>
      </c>
      <c r="F13" s="1753">
        <f t="shared" si="1"/>
        <v>71264</v>
      </c>
    </row>
    <row r="14" spans="1:6" ht="13.7" customHeight="1" x14ac:dyDescent="0.2">
      <c r="A14" s="715" t="s">
        <v>410</v>
      </c>
      <c r="B14" s="1750">
        <f>SUM('Revenues 9-14'!C7:D7,'Revenues 9-14'!F7:H7)</f>
        <v>50317</v>
      </c>
      <c r="C14" s="585">
        <v>14680</v>
      </c>
      <c r="D14" s="1753">
        <f t="shared" si="0"/>
        <v>35637</v>
      </c>
      <c r="E14" s="585">
        <v>50313</v>
      </c>
      <c r="F14" s="1753">
        <f t="shared" si="1"/>
        <v>35633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191475</v>
      </c>
      <c r="C16" s="585">
        <v>56598</v>
      </c>
      <c r="D16" s="1753">
        <f t="shared" si="0"/>
        <v>134877</v>
      </c>
      <c r="E16" s="585">
        <v>193958</v>
      </c>
      <c r="F16" s="1753">
        <f t="shared" si="1"/>
        <v>137360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7187003</v>
      </c>
      <c r="C19" s="1751">
        <f>SUM(C4:C18)</f>
        <v>2099006</v>
      </c>
      <c r="D19" s="1751">
        <f>SUM(D4:D18)</f>
        <v>5087997</v>
      </c>
      <c r="E19" s="1751">
        <f>SUM(E4:E18)</f>
        <v>7193312</v>
      </c>
      <c r="F19" s="1751">
        <f>SUM(F4:F18)</f>
        <v>5094306</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gridLinesSet="0"/>
  <pageMargins left="0.75" right="0.75" top="1.5" bottom="0.5" header="0.5" footer="0.5"/>
  <pageSetup scale="90" firstPageNumber="55" orientation="landscape" useFirstPageNumber="1" r:id="rId1"/>
  <headerFooter>
    <oddHeader xml:space="preserve">&amp;C&amp;"Times New Roman,Regular"PONTIAC-WILLIAM HOLLIDAY SCHOOL DISTRICT NO. 105
SCHEDULE OF AD VALOREM TAX RECEIPTS
FOR THE YEAR ENDED JUNE 30, 2019
</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8"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1801</v>
      </c>
      <c r="B2" s="2209"/>
      <c r="C2" s="1884" t="s">
        <v>1955</v>
      </c>
      <c r="D2" s="723" t="s">
        <v>1956</v>
      </c>
      <c r="E2" s="723" t="s">
        <v>1957</v>
      </c>
      <c r="F2" s="1884" t="s">
        <v>1958</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2079</v>
      </c>
      <c r="B31" s="733">
        <v>42389</v>
      </c>
      <c r="C31" s="734">
        <v>1500000</v>
      </c>
      <c r="D31" s="735">
        <v>1</v>
      </c>
      <c r="E31" s="734">
        <v>139000</v>
      </c>
      <c r="F31" s="734"/>
      <c r="G31" s="734"/>
      <c r="H31" s="734">
        <v>139000</v>
      </c>
      <c r="I31" s="1756">
        <f>((E31+F31)-H31)+G31</f>
        <v>0</v>
      </c>
      <c r="J31" s="734"/>
      <c r="K31" s="736"/>
    </row>
    <row r="32" spans="1:11" ht="12" customHeight="1" x14ac:dyDescent="0.2">
      <c r="A32" s="732" t="s">
        <v>2080</v>
      </c>
      <c r="B32" s="733">
        <v>42389</v>
      </c>
      <c r="C32" s="734">
        <v>1340000</v>
      </c>
      <c r="D32" s="735">
        <v>4</v>
      </c>
      <c r="E32" s="734">
        <v>1340000</v>
      </c>
      <c r="F32" s="734"/>
      <c r="G32" s="734"/>
      <c r="H32" s="734">
        <v>590000</v>
      </c>
      <c r="I32" s="1756">
        <f>((E32+F32)-H32)+G32</f>
        <v>750000</v>
      </c>
      <c r="J32" s="734">
        <v>477353</v>
      </c>
      <c r="K32" s="736"/>
    </row>
    <row r="33" spans="1:11" ht="12" customHeight="1" x14ac:dyDescent="0.2">
      <c r="A33" s="732" t="s">
        <v>2081</v>
      </c>
      <c r="B33" s="733">
        <v>42186</v>
      </c>
      <c r="C33" s="734">
        <v>87547</v>
      </c>
      <c r="D33" s="735">
        <v>7</v>
      </c>
      <c r="E33" s="734">
        <v>36233</v>
      </c>
      <c r="F33" s="734"/>
      <c r="G33" s="734"/>
      <c r="H33" s="734">
        <v>17942</v>
      </c>
      <c r="I33" s="1756">
        <f t="shared" ref="I33:I48" si="1">((E33+F33)-H33)+G33</f>
        <v>18291</v>
      </c>
      <c r="J33" s="734">
        <v>18291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2927547</v>
      </c>
      <c r="D49" s="745"/>
      <c r="E49" s="1756">
        <f t="shared" ref="E49:J49" si="2">SUM(E31:E48)</f>
        <v>1515233</v>
      </c>
      <c r="F49" s="1756">
        <f t="shared" si="2"/>
        <v>0</v>
      </c>
      <c r="G49" s="1756">
        <f t="shared" si="2"/>
        <v>0</v>
      </c>
      <c r="H49" s="1756">
        <f t="shared" si="2"/>
        <v>746942</v>
      </c>
      <c r="I49" s="1756">
        <f t="shared" si="2"/>
        <v>768291</v>
      </c>
      <c r="J49" s="1756">
        <f t="shared" si="2"/>
        <v>495644</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2082</v>
      </c>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57" fitToHeight="0" orientation="landscape" r:id="rId1"/>
  <headerFooter>
    <oddHeader xml:space="preserve">&amp;C&amp;"Times New Roman,Regular"PONTIAC-WILLIAM HOLLIDAY SCHOOL DISTRICT NO. 105
SCHEDULE OF SHORT-TERM AND LONG-TERM DEBT
FOR THE YEAR ENDED JUNE 30, 2019
</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1811</v>
      </c>
      <c r="K2" s="762" t="s">
        <v>138</v>
      </c>
    </row>
    <row r="3" spans="1:11" x14ac:dyDescent="0.2">
      <c r="A3" s="2234" t="s">
        <v>1963</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50317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1812</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50317</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50317</v>
      </c>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1808</v>
      </c>
      <c r="B19" s="2224"/>
      <c r="C19" s="2224"/>
      <c r="D19" s="2224"/>
      <c r="E19" s="2225"/>
      <c r="F19" s="789" t="s">
        <v>933</v>
      </c>
      <c r="G19" s="782"/>
      <c r="H19" s="782"/>
      <c r="I19" s="782"/>
      <c r="J19" s="765"/>
      <c r="K19" s="795"/>
    </row>
    <row r="20" spans="1:11" x14ac:dyDescent="0.2">
      <c r="A20" s="2226" t="s">
        <v>1813</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1814</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50317</v>
      </c>
      <c r="I23" s="1758">
        <f>SUM(I14:I16,I21,I22)</f>
        <v>0</v>
      </c>
      <c r="J23" s="1758">
        <f>SUM(J14:J16,J21,J22)</f>
        <v>0</v>
      </c>
      <c r="K23" s="1758">
        <f>SUM(K14:K16,K21,K22)</f>
        <v>0</v>
      </c>
    </row>
    <row r="24" spans="1:11" ht="14.25" thickTop="1" thickBot="1" x14ac:dyDescent="0.25">
      <c r="A24" s="2246" t="s">
        <v>1964</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1809</v>
      </c>
      <c r="B46" s="408" t="s">
        <v>1675</v>
      </c>
    </row>
    <row r="47" spans="1:11" s="823" customFormat="1" ht="12.75" customHeight="1" x14ac:dyDescent="0.2">
      <c r="A47" s="821"/>
      <c r="B47" s="822" t="s">
        <v>1676</v>
      </c>
      <c r="E47" s="822"/>
      <c r="K47" s="824"/>
    </row>
    <row r="48" spans="1:11" ht="12.75" customHeight="1" x14ac:dyDescent="0.2">
      <c r="A48" s="1532" t="s">
        <v>1810</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pageMargins left="0.75" right="0.75" top="1.1000000000000001" bottom="0.5" header="0.5" footer="0.5"/>
  <pageSetup scale="73" firstPageNumber="25" orientation="landscape" r:id="rId1"/>
  <headerFooter>
    <oddHeader xml:space="preserve">&amp;C&amp;"Times New Roman,Regular"PONTIAC-WILLIAM HOLLIDAY SCHOOL DISTRICT NO. 105
SCHEDULE OF RESTRICTED LOCAL TAX LEVIES AND SELECTED REVENUE SOURCES
SCHEDULE OF TORT IMMUNITY EXPENDITURES
FOR THE YEAR ENDED JUNE 30, 2019
</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G23" sqref="G2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60065</v>
      </c>
      <c r="D5" s="841"/>
      <c r="E5" s="841"/>
      <c r="F5" s="1760">
        <f>(C5+D5)-E5</f>
        <v>60065</v>
      </c>
      <c r="G5" s="837"/>
      <c r="H5" s="842"/>
      <c r="I5" s="842"/>
      <c r="J5" s="842"/>
      <c r="K5" s="793"/>
      <c r="L5" s="1769">
        <f>F5-K5</f>
        <v>60065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13219824</v>
      </c>
      <c r="D8" s="844"/>
      <c r="E8" s="844"/>
      <c r="F8" s="1760">
        <f>(C8+D8)-E8</f>
        <v>13219824</v>
      </c>
      <c r="G8" s="843">
        <v>50</v>
      </c>
      <c r="H8" s="765">
        <v>4785706</v>
      </c>
      <c r="I8" s="765">
        <v>242395</v>
      </c>
      <c r="J8" s="765"/>
      <c r="K8" s="1769">
        <f>(H8+I8)-J8</f>
        <v>5028101</v>
      </c>
      <c r="L8" s="1769">
        <f>F8-K8</f>
        <v>8191723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108569</v>
      </c>
      <c r="D10" s="846">
        <v>318863</v>
      </c>
      <c r="E10" s="846"/>
      <c r="F10" s="1764">
        <f>(C10+D10)-E10</f>
        <v>427432</v>
      </c>
      <c r="G10" s="843">
        <v>20</v>
      </c>
      <c r="H10" s="847">
        <v>99598</v>
      </c>
      <c r="I10" s="847">
        <v>18613</v>
      </c>
      <c r="J10" s="847"/>
      <c r="K10" s="1769">
        <f>(H10+I10)-J10</f>
        <v>118211</v>
      </c>
      <c r="L10" s="1769">
        <f>F10-K10</f>
        <v>309221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564180</v>
      </c>
      <c r="D12" s="844">
        <v>215692</v>
      </c>
      <c r="E12" s="844">
        <v>93890</v>
      </c>
      <c r="F12" s="1760">
        <f>(C12+D12)-E12</f>
        <v>685982</v>
      </c>
      <c r="G12" s="843">
        <v>10</v>
      </c>
      <c r="H12" s="765">
        <v>398245</v>
      </c>
      <c r="I12" s="765">
        <v>78287</v>
      </c>
      <c r="J12" s="765">
        <v>93890</v>
      </c>
      <c r="K12" s="1769">
        <f>(H12+I12)-J12</f>
        <v>382642</v>
      </c>
      <c r="L12" s="1769">
        <f>F12-K12</f>
        <v>303340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13952638</v>
      </c>
      <c r="D16" s="1760">
        <f>SUM(D3,D5:D6,D8:D10,D12:D15)</f>
        <v>534555</v>
      </c>
      <c r="E16" s="1760">
        <f>SUM(E3,E5:E6,E8:E10,E12:E15)</f>
        <v>93890</v>
      </c>
      <c r="F16" s="1760">
        <f>SUM(F3,F5:F6,F8:F10,F12:F15)</f>
        <v>14393303</v>
      </c>
      <c r="G16" s="843"/>
      <c r="H16" s="1760">
        <f>SUM(H3,H6,H8:H10,H12:H14,)</f>
        <v>5283549</v>
      </c>
      <c r="I16" s="1760">
        <f>SUM(I3,I6,I8:I10,I12:I14,)</f>
        <v>339295</v>
      </c>
      <c r="J16" s="1760">
        <f>SUM(J3,J6,J8:J10,J12:J14,)</f>
        <v>93890</v>
      </c>
      <c r="K16" s="1760">
        <f>(H16+I16)-J16</f>
        <v>5528954</v>
      </c>
      <c r="L16" s="1760">
        <f>F16-K16</f>
        <v>8864349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339295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pageMargins left="0.75" right="0.75" top="1.5" bottom="0.5" header="0.5" footer="0.5"/>
  <pageSetup scale="74" firstPageNumber="59" orientation="landscape" r:id="rId1"/>
  <headerFooter>
    <oddHeader xml:space="preserve">&amp;C&amp;"Times New Roman,Regular"PONTIAC-WILLIAM HOLLIDAY SCHOOL DISTRICT NO. 105
SCHEDULE OF CAPITAL OUTLAY AND DEPRECIATION
FOR THE YEAR ENDED JUNE 30, 2019
</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2" activePane="bottomLeft" state="frozen"/>
      <selection activeCell="V29" sqref="V2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1974</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6113569</v>
      </c>
      <c r="G8" s="865"/>
    </row>
    <row r="9" spans="1:7" x14ac:dyDescent="0.2">
      <c r="A9" s="869" t="s">
        <v>460</v>
      </c>
      <c r="B9" s="870" t="s">
        <v>1876</v>
      </c>
      <c r="C9" s="871"/>
      <c r="D9" s="869" t="s">
        <v>501</v>
      </c>
      <c r="E9" s="868"/>
      <c r="F9" s="1909">
        <f>'Expenditures 15-22'!K151</f>
        <v>754744</v>
      </c>
      <c r="G9" s="872"/>
    </row>
    <row r="10" spans="1:7" x14ac:dyDescent="0.2">
      <c r="A10" s="869" t="s">
        <v>499</v>
      </c>
      <c r="B10" s="870" t="s">
        <v>1877</v>
      </c>
      <c r="C10" s="871"/>
      <c r="D10" s="869" t="s">
        <v>501</v>
      </c>
      <c r="E10" s="868"/>
      <c r="F10" s="1909">
        <f>'Expenditures 15-22'!K174</f>
        <v>775463</v>
      </c>
      <c r="G10" s="872"/>
    </row>
    <row r="11" spans="1:7" x14ac:dyDescent="0.2">
      <c r="A11" s="869" t="s">
        <v>461</v>
      </c>
      <c r="B11" s="870" t="s">
        <v>1878</v>
      </c>
      <c r="C11" s="871"/>
      <c r="D11" s="869" t="s">
        <v>501</v>
      </c>
      <c r="E11" s="868"/>
      <c r="F11" s="1909">
        <f>'Expenditures 15-22'!K210</f>
        <v>451347</v>
      </c>
      <c r="G11" s="872"/>
    </row>
    <row r="12" spans="1:7" x14ac:dyDescent="0.2">
      <c r="A12" s="869" t="s">
        <v>462</v>
      </c>
      <c r="B12" s="870" t="s">
        <v>1879</v>
      </c>
      <c r="C12" s="871"/>
      <c r="D12" s="869" t="s">
        <v>501</v>
      </c>
      <c r="E12" s="868"/>
      <c r="F12" s="1909">
        <f>'Expenditures 15-22'!K295</f>
        <v>247698</v>
      </c>
      <c r="G12" s="872"/>
    </row>
    <row r="13" spans="1:7" x14ac:dyDescent="0.2">
      <c r="A13" s="869" t="s">
        <v>106</v>
      </c>
      <c r="B13" s="870" t="s">
        <v>1880</v>
      </c>
      <c r="C13" s="871"/>
      <c r="D13" s="869" t="s">
        <v>501</v>
      </c>
      <c r="E13" s="868"/>
      <c r="F13" s="1909">
        <f>'Expenditures 15-22'!K342</f>
        <v>406356</v>
      </c>
      <c r="G13" s="873"/>
    </row>
    <row r="14" spans="1:7" ht="12" customHeight="1" thickBot="1" x14ac:dyDescent="0.25">
      <c r="A14" s="1770"/>
      <c r="B14" s="1771"/>
      <c r="C14" s="1772"/>
      <c r="D14" s="1773" t="s">
        <v>501</v>
      </c>
      <c r="E14" s="1774" t="s">
        <v>958</v>
      </c>
      <c r="F14" s="1775">
        <f>SUM(F8:F13)</f>
        <v>8749177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265218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117476</v>
      </c>
      <c r="G52" s="865"/>
    </row>
    <row r="53" spans="1:7" x14ac:dyDescent="0.2">
      <c r="A53" s="869" t="s">
        <v>459</v>
      </c>
      <c r="B53" s="869" t="s">
        <v>1475</v>
      </c>
      <c r="C53" s="889">
        <f>'Expenditures 15-22'!B102</f>
        <v>4000</v>
      </c>
      <c r="D53" s="888" t="str">
        <f>'Expenditures 15-22'!A102</f>
        <v>Total Payments to Other Govt Units</v>
      </c>
      <c r="E53" s="868"/>
      <c r="F53" s="1913">
        <f>'Expenditures 15-22'!K102</f>
        <v>498834</v>
      </c>
      <c r="G53" s="865"/>
    </row>
    <row r="54" spans="1:7" x14ac:dyDescent="0.2">
      <c r="A54" s="869" t="s">
        <v>459</v>
      </c>
      <c r="B54" s="869" t="s">
        <v>1476</v>
      </c>
      <c r="C54" s="889" t="s">
        <v>982</v>
      </c>
      <c r="D54" s="885" t="s">
        <v>1095</v>
      </c>
      <c r="E54" s="868"/>
      <c r="F54" s="1913">
        <f>'Expenditures 15-22'!G114</f>
        <v>9715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45771</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746942</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12068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13815</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234</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1710073</v>
      </c>
      <c r="G76" s="865"/>
    </row>
    <row r="77" spans="1:8" s="893" customFormat="1" ht="12" customHeight="1" thickTop="1" thickBot="1" x14ac:dyDescent="0.25">
      <c r="A77" s="1779"/>
      <c r="B77" s="1776"/>
      <c r="C77" s="1772"/>
      <c r="D77" s="1777" t="s">
        <v>1899</v>
      </c>
      <c r="E77" s="1774"/>
      <c r="F77" s="1780">
        <f>(F14-F76)</f>
        <v>7039104</v>
      </c>
      <c r="G77" s="869"/>
    </row>
    <row r="78" spans="1:8" s="893" customFormat="1" ht="12" customHeight="1" thickTop="1" x14ac:dyDescent="0.2">
      <c r="A78" s="1781"/>
      <c r="B78" s="1776"/>
      <c r="C78" s="1772"/>
      <c r="D78" s="1777" t="s">
        <v>2061</v>
      </c>
      <c r="E78" s="1774"/>
      <c r="F78" s="898">
        <v>671</v>
      </c>
      <c r="G78" s="899"/>
      <c r="H78" s="869"/>
    </row>
    <row r="79" spans="1:8" s="893" customFormat="1" ht="12" customHeight="1" thickBot="1" x14ac:dyDescent="0.25">
      <c r="A79" s="1782"/>
      <c r="B79" s="1776"/>
      <c r="C79" s="1772"/>
      <c r="D79" s="1777" t="s">
        <v>1900</v>
      </c>
      <c r="E79" s="1774" t="s">
        <v>958</v>
      </c>
      <c r="F79" s="1783">
        <f>IF(F78&gt;0,F77/F78," Complete Line 78")</f>
        <v>10490.467958271236</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111519</v>
      </c>
      <c r="G94" s="912"/>
    </row>
    <row r="95" spans="1:7" x14ac:dyDescent="0.2">
      <c r="A95" s="908" t="s">
        <v>140</v>
      </c>
      <c r="B95" s="908" t="s">
        <v>175</v>
      </c>
      <c r="C95" s="910">
        <v>1700</v>
      </c>
      <c r="D95" s="918" t="str">
        <f>'Revenues 9-14'!A82</f>
        <v>Total District/School Activity Income</v>
      </c>
      <c r="E95" s="906"/>
      <c r="F95" s="1789">
        <f>SUM('Revenues 9-14'!C82,'Revenues 9-14'!D82)</f>
        <v>14218</v>
      </c>
      <c r="G95" s="912"/>
    </row>
    <row r="96" spans="1:7" x14ac:dyDescent="0.2">
      <c r="A96" s="908" t="s">
        <v>459</v>
      </c>
      <c r="B96" s="908" t="s">
        <v>176</v>
      </c>
      <c r="C96" s="910">
        <f>'Revenues 9-14'!B84</f>
        <v>1811</v>
      </c>
      <c r="D96" s="911" t="str">
        <f>'Revenues 9-14'!A84</f>
        <v>Rentals - Regular Textbooks</v>
      </c>
      <c r="E96" s="906"/>
      <c r="F96" s="1789">
        <f>'Revenues 9-14'!C84</f>
        <v>30553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93242</v>
      </c>
      <c r="G104" s="912"/>
    </row>
    <row r="105" spans="1:7" x14ac:dyDescent="0.2">
      <c r="A105" s="908" t="s">
        <v>503</v>
      </c>
      <c r="B105" s="908" t="s">
        <v>2002</v>
      </c>
      <c r="C105" s="913">
        <v>3100</v>
      </c>
      <c r="D105" s="919" t="str">
        <f>'Revenues 9-14'!A132</f>
        <v>Total Special Education</v>
      </c>
      <c r="E105" s="906"/>
      <c r="F105" s="1789">
        <f>SUM('Revenues 9-14'!C132:D132,'Revenues 9-14'!F132)</f>
        <v>9266</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25918</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3011</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155898</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223692</v>
      </c>
      <c r="G125" s="930"/>
    </row>
    <row r="126" spans="1:7" x14ac:dyDescent="0.2">
      <c r="A126" s="927" t="s">
        <v>668</v>
      </c>
      <c r="B126" s="927" t="s">
        <v>2023</v>
      </c>
      <c r="C126" s="932">
        <v>4300</v>
      </c>
      <c r="D126" s="933" t="str">
        <f>'Revenues 9-14'!A204</f>
        <v>Total Title I</v>
      </c>
      <c r="E126" s="906"/>
      <c r="F126" s="1789">
        <f>SUM('Revenues 9-14'!C204,'Revenues 9-14'!D204,'Revenues 9-14'!F204,'Revenues 9-14'!G204)</f>
        <v>115513</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122024</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3344</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29284</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7701</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24803</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970586</v>
      </c>
    </row>
    <row r="175" spans="1:7" ht="12" customHeight="1" x14ac:dyDescent="0.2">
      <c r="A175" s="1770"/>
      <c r="B175" s="1784"/>
      <c r="C175" s="1785"/>
      <c r="D175" s="1786" t="s">
        <v>2056</v>
      </c>
      <c r="E175" s="1787"/>
      <c r="F175" s="1789">
        <f>'PCTC-OEPP 27-28'!F77-F174</f>
        <v>6068518</v>
      </c>
    </row>
    <row r="176" spans="1:7" ht="12" customHeight="1" x14ac:dyDescent="0.2">
      <c r="A176" s="1770"/>
      <c r="B176" s="1784"/>
      <c r="C176" s="1785"/>
      <c r="D176" s="1786" t="s">
        <v>1816</v>
      </c>
      <c r="E176" s="1787"/>
      <c r="F176" s="1789">
        <f>'Cap Outlay Deprec 26'!I18</f>
        <v>339295</v>
      </c>
    </row>
    <row r="177" spans="1:7" ht="12" customHeight="1" x14ac:dyDescent="0.2">
      <c r="A177" s="1770"/>
      <c r="B177" s="1784"/>
      <c r="C177" s="1785"/>
      <c r="D177" s="1786" t="s">
        <v>2057</v>
      </c>
      <c r="E177" s="1787"/>
      <c r="F177" s="1789">
        <f>F175+F176</f>
        <v>6407813</v>
      </c>
    </row>
    <row r="178" spans="1:7" ht="12" customHeight="1" x14ac:dyDescent="0.2">
      <c r="A178" s="1770"/>
      <c r="B178" s="1790"/>
      <c r="C178" s="1785"/>
      <c r="D178" s="1786" t="str">
        <f>D78</f>
        <v>9 Month ADA from District Average Daily Attendance/Prior General State Aid Inquiry 2018-2019</v>
      </c>
      <c r="E178" s="1787"/>
      <c r="F178" s="1791">
        <f>'PCTC-OEPP 27-28'!F78</f>
        <v>671</v>
      </c>
      <c r="G178" s="930"/>
    </row>
    <row r="179" spans="1:7" ht="12" customHeight="1" thickBot="1" x14ac:dyDescent="0.25">
      <c r="A179" s="1770"/>
      <c r="B179" s="1790"/>
      <c r="C179" s="1785"/>
      <c r="D179" s="1786" t="s">
        <v>2058</v>
      </c>
      <c r="E179" s="1787" t="s">
        <v>1545</v>
      </c>
      <c r="F179" s="1792">
        <f>F177/F178</f>
        <v>9549.6467958271242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pageMargins left="0.75" right="0.75" top="1" bottom="0.5" header="0.5" footer="0.5"/>
  <pageSetup scale="65" firstPageNumber="60" orientation="portrait" r:id="rId2"/>
  <headerFooter>
    <oddHeader xml:space="preserve">&amp;C&amp;"Times New Roman,Regular"PONTIAC-WILLIAM HOLLIDAY SCHOOL DISTRICT NO. 105
ESTIMATED OPERATING EXPENSE PER PUPIL/PER CAPITA TUITION CHARGE COMPUTATIONS
FOR THE YEAR ENDED JUNE 30, 2019
</oddHeader>
    <oddFooter>&amp;C&amp;"Times New Roman,Regular"See Independent Auditor's Reports
&amp;P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topLeftCell="A13" zoomScaleNormal="100" workbookViewId="0">
      <selection activeCell="C30" sqref="C3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1817</v>
      </c>
      <c r="B4" s="2269"/>
      <c r="C4" s="2269"/>
      <c r="D4" s="2269"/>
      <c r="E4" s="2269"/>
      <c r="F4" s="2269"/>
      <c r="G4" s="2270"/>
    </row>
    <row r="5" spans="1:7" x14ac:dyDescent="0.25">
      <c r="A5" s="2271"/>
      <c r="B5" s="2272"/>
      <c r="C5" s="2272"/>
      <c r="D5" s="2272"/>
      <c r="E5" s="2272"/>
      <c r="F5" s="2272"/>
      <c r="G5" s="2273"/>
    </row>
    <row r="6" spans="1:7" ht="18.75" x14ac:dyDescent="0.25">
      <c r="A6" s="1534" t="s">
        <v>1818</v>
      </c>
      <c r="B6" s="1535"/>
      <c r="C6" s="1535"/>
      <c r="D6" s="1535"/>
      <c r="E6" s="1535"/>
      <c r="F6" s="1535"/>
      <c r="G6" s="1536"/>
    </row>
    <row r="7" spans="1:7" ht="30.75" customHeight="1" x14ac:dyDescent="0.25">
      <c r="A7" s="2274" t="s">
        <v>1931</v>
      </c>
      <c r="B7" s="2275"/>
      <c r="C7" s="2275"/>
      <c r="D7" s="2275"/>
      <c r="E7" s="2275"/>
      <c r="F7" s="2275"/>
      <c r="G7" s="2276"/>
    </row>
    <row r="8" spans="1:7" ht="15.75" customHeight="1" x14ac:dyDescent="0.25">
      <c r="A8" s="2277" t="s">
        <v>1906</v>
      </c>
      <c r="B8" s="2278"/>
      <c r="C8" s="2278"/>
      <c r="D8" s="2278"/>
      <c r="E8" s="2278"/>
      <c r="F8" s="2278"/>
      <c r="G8" s="2279"/>
    </row>
    <row r="9" spans="1:7" ht="35.25" customHeight="1" x14ac:dyDescent="0.25">
      <c r="A9" s="2274" t="s">
        <v>1934</v>
      </c>
      <c r="B9" s="2275"/>
      <c r="C9" s="2275"/>
      <c r="D9" s="2275"/>
      <c r="E9" s="2275"/>
      <c r="F9" s="2275"/>
      <c r="G9" s="2276"/>
    </row>
    <row r="10" spans="1:7" ht="15" customHeight="1" x14ac:dyDescent="0.25">
      <c r="A10" s="1537" t="s">
        <v>1819</v>
      </c>
      <c r="B10" s="1538"/>
      <c r="C10" s="1538"/>
      <c r="D10" s="1538"/>
      <c r="E10" s="1538"/>
      <c r="F10" s="1538"/>
      <c r="G10" s="1539"/>
    </row>
    <row r="11" spans="1:7" ht="17.25" customHeight="1" x14ac:dyDescent="0.25">
      <c r="A11" s="2274" t="s">
        <v>1933</v>
      </c>
      <c r="B11" s="2275"/>
      <c r="C11" s="2275"/>
      <c r="D11" s="2275"/>
      <c r="E11" s="2275"/>
      <c r="F11" s="2275"/>
      <c r="G11" s="2276"/>
    </row>
    <row r="12" spans="1:7" ht="15" customHeight="1" x14ac:dyDescent="0.25">
      <c r="A12" s="1537" t="s">
        <v>1824</v>
      </c>
      <c r="B12" s="1538"/>
      <c r="C12" s="1538"/>
      <c r="D12" s="1538"/>
      <c r="E12" s="1538"/>
      <c r="F12" s="1538"/>
      <c r="G12" s="1539"/>
    </row>
    <row r="13" spans="1:7" ht="32.25" customHeight="1" x14ac:dyDescent="0.25">
      <c r="A13" s="2265" t="s">
        <v>1975</v>
      </c>
      <c r="B13" s="2266"/>
      <c r="C13" s="2266"/>
      <c r="D13" s="2266"/>
      <c r="E13" s="2266"/>
      <c r="F13" s="2266"/>
      <c r="G13" s="2267"/>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2083</v>
      </c>
      <c r="B17" s="1934" t="s">
        <v>2098</v>
      </c>
      <c r="C17" s="1938" t="s">
        <v>2084</v>
      </c>
      <c r="D17" s="1844">
        <v>69213</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44213</v>
      </c>
      <c r="H17" s="1647"/>
    </row>
    <row r="18" spans="1:8" x14ac:dyDescent="0.25">
      <c r="A18" s="1937" t="s">
        <v>2085</v>
      </c>
      <c r="B18" s="1934" t="s">
        <v>2099</v>
      </c>
      <c r="C18" s="1938" t="s">
        <v>2086</v>
      </c>
      <c r="D18" s="1844">
        <v>37869</v>
      </c>
      <c r="E18" s="1540">
        <f t="shared" ref="E18:E140" si="2">IF(D18&lt;=25000,D18,IF(D18&gt;25000,25000,0))</f>
        <v>25000</v>
      </c>
      <c r="F18" s="1932">
        <f t="shared" si="1"/>
        <v>25000</v>
      </c>
      <c r="G18" s="1793">
        <f t="shared" ref="G18:G140" si="3">IF(F18=0,0,D18-F18)</f>
        <v>12869</v>
      </c>
    </row>
    <row r="19" spans="1:8" x14ac:dyDescent="0.25">
      <c r="A19" s="1937" t="s">
        <v>2085</v>
      </c>
      <c r="B19" s="1934" t="s">
        <v>2099</v>
      </c>
      <c r="C19" s="1938" t="s">
        <v>2087</v>
      </c>
      <c r="D19" s="1844">
        <v>28491</v>
      </c>
      <c r="E19" s="1540">
        <f t="shared" si="2"/>
        <v>25000</v>
      </c>
      <c r="F19" s="1932">
        <f t="shared" si="1"/>
        <v>25000</v>
      </c>
      <c r="G19" s="1793">
        <f t="shared" si="3"/>
        <v>3491</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135573</v>
      </c>
      <c r="E141" s="1541">
        <f t="shared" si="0"/>
        <v>25000</v>
      </c>
      <c r="F141" s="1933">
        <f>SUM(F17:F140)</f>
        <v>75000</v>
      </c>
      <c r="G141" s="1795">
        <f>SUM(G17:G140)</f>
        <v>60573</v>
      </c>
    </row>
  </sheetData>
  <sheetProtection password="F60E" sheet="1" selectLockedCells="1"/>
  <mergeCells count="6">
    <mergeCell ref="A13:G13"/>
    <mergeCell ref="A4:G5"/>
    <mergeCell ref="A11:G11"/>
    <mergeCell ref="A7:G7"/>
    <mergeCell ref="A8:G8"/>
    <mergeCell ref="A9:G9"/>
  </mergeCells>
  <printOptions horizontalCentered="1"/>
  <pageMargins left="0.75" right="0.75" top="1" bottom="0.5" header="0.5" footer="0.5"/>
  <pageSetup scale="52" firstPageNumber="61" fitToHeight="0" orientation="portrait" r:id="rId1"/>
  <headerFooter>
    <oddHeader xml:space="preserve">&amp;C&amp;"Times New Roman,Regular"PONTIAC-WILLIAM HOLLIDAY SCHOOL DISTRICT NO. 105
CURRENT YEAR PAYMENT ON CONTRACTS FOR INDIRECT COST RATE COMPUTATION
FOR THE YEAR ENDED JUNE 30, 2019
</oddHeader>
    <oddFooter>&amp;C&amp;"Times New Roman,Regular"See Independent Auditor's Reports
&amp;P</oddFooter>
  </headerFooter>
  <rowBreaks count="1" manualBreakCount="1">
    <brk id="8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K9" sqref="K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210699</v>
      </c>
      <c r="F10" s="974"/>
      <c r="G10" s="975"/>
      <c r="H10" s="162"/>
      <c r="I10" s="162"/>
    </row>
    <row r="11" spans="1:9" s="668" customFormat="1" ht="22.5" customHeight="1" x14ac:dyDescent="0.2">
      <c r="A11" s="2285" t="s">
        <v>1976</v>
      </c>
      <c r="B11" s="2286"/>
      <c r="C11" s="2286"/>
      <c r="D11" s="2287"/>
      <c r="E11" s="977">
        <v>21264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4324448</v>
      </c>
      <c r="F19" s="1799"/>
      <c r="G19" s="1801">
        <f>'Expenditures 15-22'!K33-SUM('Expenditures 15-22'!G33,'Expenditures 15-22'!I33)+'Expenditures 15-22'!D229</f>
        <v>4324448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253295</v>
      </c>
      <c r="F21" s="1802"/>
      <c r="G21" s="1805">
        <f>'Expenditures 15-22'!K42-SUM('Expenditures 15-22'!G42,'Expenditures 15-22'!I42)+'Expenditures 15-22'!K120-SUM('Expenditures 15-22'!G120,'Expenditures 15-22'!I120)+'Expenditures 15-22'!K180-SUM('Expenditures 15-22'!G180,'Expenditures 15-22'!I180)+'Expenditures 15-22'!D238</f>
        <v>253295</v>
      </c>
      <c r="H21" s="987"/>
      <c r="I21" s="162"/>
    </row>
    <row r="22" spans="1:9" s="668" customFormat="1" ht="12" customHeight="1" x14ac:dyDescent="0.2">
      <c r="A22" s="994" t="s">
        <v>564</v>
      </c>
      <c r="B22" s="995"/>
      <c r="C22" s="993">
        <v>2200</v>
      </c>
      <c r="D22" s="1802"/>
      <c r="E22" s="1804">
        <f>'Expenditures 15-22'!K47-SUM('Expenditures 15-22'!G47,'Expenditures 15-22'!I47)+'Expenditures 15-22'!D243</f>
        <v>61930</v>
      </c>
      <c r="F22" s="1802"/>
      <c r="G22" s="1805">
        <f>'Expenditures 15-22'!K47-SUM('Expenditures 15-22'!G47,'Expenditures 15-22'!I47)+'Expenditures 15-22'!D243</f>
        <v>61930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583023</v>
      </c>
      <c r="F23" s="1802"/>
      <c r="G23" s="1804">
        <f>'Expenditures 15-22'!K53-SUM('Expenditures 15-22'!G53,'Expenditures 15-22'!I53)+'Expenditures 15-22'!D257+'Expenditures 15-22'!K330-SUM('Expenditures 15-22'!G330,'Expenditures 15-22'!I330)</f>
        <v>583023</v>
      </c>
      <c r="H23" s="987"/>
      <c r="I23" s="162"/>
    </row>
    <row r="24" spans="1:9" s="668" customFormat="1" ht="12" customHeight="1" x14ac:dyDescent="0.2">
      <c r="A24" s="994" t="s">
        <v>566</v>
      </c>
      <c r="B24" s="995"/>
      <c r="C24" s="993">
        <v>2400</v>
      </c>
      <c r="D24" s="1802"/>
      <c r="E24" s="1804">
        <f>'Expenditures 15-22'!K57-SUM('Expenditures 15-22'!G57,'Expenditures 15-22'!I57)+'Expenditures 15-22'!D261</f>
        <v>399842</v>
      </c>
      <c r="F24" s="1802"/>
      <c r="G24" s="1805">
        <f>'Expenditures 15-22'!K57-SUM('Expenditures 15-22'!G57,'Expenditures 15-22'!I57)+'Expenditures 15-22'!D261</f>
        <v>399842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130996</v>
      </c>
      <c r="E27" s="1804">
        <f>E8</f>
        <v>0</v>
      </c>
      <c r="F27" s="1804">
        <f>'Expenditures 15-22'!K60-SUM('Expenditures 15-22'!G60,'Expenditures 15-22'!I60)+'Expenditures 15-22'!D264-E8</f>
        <v>130996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781587</v>
      </c>
      <c r="F28" s="1806">
        <f>'Expenditures 15-22'!K61-SUM('Expenditures 15-22'!G61,'Expenditures 15-22'!I61)+'Expenditures 15-22'!K124-SUM('Expenditures 15-22'!G124,'Expenditures 15-22'!I124)+'Expenditures 15-22'!D266-E9</f>
        <v>781587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440508</v>
      </c>
      <c r="F29" s="1802"/>
      <c r="G29" s="1805">
        <f>'Expenditures 15-22'!K62-SUM('Expenditures 15-22'!G62,'Expenditures 15-22'!I62)+'Expenditures 15-22'!K125-SUM('Expenditures 15-22'!G125,'Expenditures 15-22'!I125)+'Expenditures 15-22'!K182-SUM('Expenditures 15-22'!G182,'Expenditures 15-22'!I182)+'Expenditures 15-22'!D267</f>
        <v>440508</v>
      </c>
      <c r="H29" s="985"/>
    </row>
    <row r="30" spans="1:9" ht="12" customHeight="1" x14ac:dyDescent="0.2">
      <c r="A30" s="994" t="s">
        <v>100</v>
      </c>
      <c r="B30" s="997"/>
      <c r="C30" s="993">
        <v>2560</v>
      </c>
      <c r="D30" s="1802"/>
      <c r="E30" s="1804">
        <f>'Expenditures 15-22'!K63-SUM('Expenditures 15-22'!G63,'Expenditures 15-22'!I63)+'Expenditures 15-22'!D268-E10</f>
        <v>101541</v>
      </c>
      <c r="F30" s="1802"/>
      <c r="G30" s="1804">
        <f>'Expenditures 15-22'!K63-SUM('Expenditures 15-22'!G63,'Expenditures 15-22'!I63)+'Expenditures 15-22'!D268-E10</f>
        <v>101541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131291</v>
      </c>
      <c r="F39" s="1802"/>
      <c r="G39" s="1804">
        <f>'Expenditures 15-22'!K75-SUM('Expenditures 15-22'!G75,'Expenditures 15-22'!I75)+'Expenditures 15-22'!K130-SUM('Expenditures 15-22'!G130,'Expenditures 15-22'!I130)+'Expenditures 15-22'!K185-SUM('Expenditures 15-22'!G185,'Expenditures 15-22'!I185)+'Expenditures 15-22'!D280</f>
        <v>131291</v>
      </c>
    </row>
    <row r="40" spans="1:7" ht="12" customHeight="1" x14ac:dyDescent="0.2">
      <c r="A40" s="990" t="s">
        <v>1822</v>
      </c>
      <c r="B40" s="991"/>
      <c r="C40" s="993"/>
      <c r="D40" s="1802"/>
      <c r="E40" s="1806">
        <f>-'Contracts Paid in CY 29'!G141</f>
        <v>-60573</v>
      </c>
      <c r="F40" s="1802"/>
      <c r="G40" s="1806">
        <f>-'Contracts Paid in CY 29'!G141</f>
        <v>-60573</v>
      </c>
    </row>
    <row r="41" spans="1:7" ht="12" customHeight="1" x14ac:dyDescent="0.2">
      <c r="A41" s="998" t="s">
        <v>156</v>
      </c>
      <c r="B41" s="999"/>
      <c r="C41" s="1000"/>
      <c r="D41" s="1806">
        <f>SUM(D19:D39)</f>
        <v>130996</v>
      </c>
      <c r="E41" s="1806">
        <f>SUM(E19:E40)</f>
        <v>7016892</v>
      </c>
      <c r="F41" s="1806">
        <f>SUM(F19:F39)</f>
        <v>912583</v>
      </c>
      <c r="G41" s="1806">
        <f>SUM(G19:G40)</f>
        <v>6235305</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130996</v>
      </c>
      <c r="F43" s="1807" t="s">
        <v>473</v>
      </c>
      <c r="G43" s="1808">
        <f>F41</f>
        <v>912583</v>
      </c>
    </row>
    <row r="44" spans="1:7" ht="12" customHeight="1" x14ac:dyDescent="0.2">
      <c r="A44" s="987"/>
      <c r="B44" s="162"/>
      <c r="C44" s="1001"/>
      <c r="D44" s="1807" t="s">
        <v>474</v>
      </c>
      <c r="E44" s="1808">
        <f>E41</f>
        <v>7016892</v>
      </c>
      <c r="F44" s="1807" t="s">
        <v>474</v>
      </c>
      <c r="G44" s="1808">
        <f>G41</f>
        <v>6235305</v>
      </c>
    </row>
    <row r="45" spans="1:7" ht="12" customHeight="1" x14ac:dyDescent="0.2">
      <c r="A45" s="987"/>
      <c r="B45" s="162"/>
      <c r="C45" s="162"/>
      <c r="D45" s="1809" t="s">
        <v>1006</v>
      </c>
      <c r="E45" s="1810">
        <f>(E43/E44)</f>
        <v>1.866866413221124E-2</v>
      </c>
      <c r="F45" s="1809" t="s">
        <v>1006</v>
      </c>
      <c r="G45" s="1810">
        <f>(G43/G44)</f>
        <v>0.14635739550831917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75" right="0.75" top="1" bottom="0.5" header="0.5" footer="0.5"/>
  <pageSetup scale="75" firstPageNumber="64" orientation="landscape" r:id="rId1"/>
  <headerFooter>
    <oddHeader xml:space="preserve">&amp;C&amp;"Times New Roman,Regular"PONTIAC-WILLIAM HOLLIDAY SCHOOL DISTRICT NO. 105
ESTIMATED INDIRECT COST RATE DATA
FOR THE YEAR ENDED JUNE 30, 2019
</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V29" sqref="V29"/>
      <selection pane="bottomLeft" activeCell="D31" sqref="D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Pontiac-W Holiday SD 105</v>
      </c>
      <c r="D6" s="2306"/>
      <c r="E6" s="2306"/>
      <c r="F6" s="1852"/>
    </row>
    <row r="7" spans="1:10" ht="11.25" customHeight="1" thickBot="1" x14ac:dyDescent="0.3">
      <c r="A7" s="1850"/>
      <c r="B7" s="1851"/>
      <c r="C7" s="2307" t="str">
        <f>COVER!A13</f>
        <v>50-082-1050-02</v>
      </c>
      <c r="D7" s="2307"/>
      <c r="E7" s="2307"/>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2063</v>
      </c>
      <c r="D13" s="1865" t="s">
        <v>2063</v>
      </c>
      <c r="E13" s="1868"/>
      <c r="F13" s="1867" t="s">
        <v>2088</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t="s">
        <v>2063</v>
      </c>
      <c r="E16" s="1868"/>
      <c r="F16" s="1867" t="s">
        <v>2089</v>
      </c>
      <c r="H16" s="1878">
        <f t="shared" si="0"/>
        <v>0</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c r="F26" s="1867" t="s">
        <v>2090</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t="s">
        <v>2063</v>
      </c>
      <c r="E30" s="1868"/>
      <c r="F30" s="1867" t="s">
        <v>2091</v>
      </c>
      <c r="H30" s="1878">
        <f t="shared" si="0"/>
        <v>0</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20</v>
      </c>
      <c r="J34" s="1878">
        <f>SUM(J11:J32)</f>
        <v>0</v>
      </c>
      <c r="K34" s="1878">
        <f>SUM(H34:J34)</f>
        <v>30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 bottom="0.5" header="0.5" footer="0.5"/>
  <pageSetup scale="75" orientation="landscape" r:id="rId1"/>
  <headerFooter>
    <oddHeader xml:space="preserve">&amp;C&amp;"Times New Roman,Regular"PONTIAC-WILLIAM HOLLIDAY SCHOOL DISTRICT NO. 105
</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Pontiac-W Holiday SD 105</v>
      </c>
      <c r="J6" s="2316"/>
      <c r="Q6" s="1664"/>
    </row>
    <row r="7" spans="1:17" x14ac:dyDescent="0.2">
      <c r="A7" s="2317" t="s">
        <v>869</v>
      </c>
      <c r="B7" s="2318"/>
      <c r="C7" s="2318"/>
      <c r="D7" s="2318"/>
      <c r="E7" s="2319"/>
      <c r="F7" s="1017"/>
      <c r="G7" s="1009"/>
      <c r="H7" s="1016" t="s">
        <v>372</v>
      </c>
      <c r="I7" s="2320" t="str">
        <f>COVER!A13</f>
        <v>50-082-1050-02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147617</v>
      </c>
      <c r="F12" s="1039"/>
      <c r="G12" s="1811">
        <f t="shared" ref="G12:G18" si="0">SUM(E12:F12)</f>
        <v>147617</v>
      </c>
      <c r="H12" s="1040">
        <v>154950</v>
      </c>
      <c r="I12" s="1039"/>
      <c r="J12" s="1811">
        <f t="shared" ref="J12:J18" si="1">SUM(H12:I12)</f>
        <v>154950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147617</v>
      </c>
      <c r="F19" s="1813">
        <f t="shared" si="2"/>
        <v>0</v>
      </c>
      <c r="G19" s="1813">
        <f t="shared" si="2"/>
        <v>147617</v>
      </c>
      <c r="H19" s="1813">
        <f t="shared" si="2"/>
        <v>154950</v>
      </c>
      <c r="I19" s="1813">
        <f t="shared" si="2"/>
        <v>0</v>
      </c>
      <c r="J19" s="1813">
        <f t="shared" si="2"/>
        <v>154950</v>
      </c>
    </row>
    <row r="20" spans="1:10" ht="13.5" thickTop="1" x14ac:dyDescent="0.2">
      <c r="A20" s="1035">
        <v>9</v>
      </c>
      <c r="B20" s="2327" t="s">
        <v>1980</v>
      </c>
      <c r="C20" s="2327"/>
      <c r="D20" s="2328"/>
      <c r="E20" s="1046"/>
      <c r="F20" s="1046"/>
      <c r="G20" s="1046"/>
      <c r="H20" s="1046"/>
      <c r="I20" s="1046"/>
      <c r="J20" s="1814">
        <f>IF(AND(G19&gt;0,J19&gt;0),(((J19-G19)/G19)),"Enter Budget Data")</f>
        <v>4.9675850342440236E-2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1982</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 xml:space="preserve">&amp;C&amp;"Times New Roman,Regular"PONTIAC-WILLIAM HOLLIDAY SCHOOL DISTRICT NO. 105
LIMITATION OF ADMINISTRATIVE COSTS WORKSHEET
FOR THE YEAR ENDED JUNE 30, 2019
</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3" sqref="B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2092</v>
      </c>
    </row>
    <row r="6" spans="1:2" x14ac:dyDescent="0.2">
      <c r="A6" s="1068">
        <v>2</v>
      </c>
      <c r="B6" s="329" t="s">
        <v>2093</v>
      </c>
    </row>
    <row r="7" spans="1:2" x14ac:dyDescent="0.2">
      <c r="A7" s="1068">
        <v>3</v>
      </c>
      <c r="B7" s="329" t="s">
        <v>2094</v>
      </c>
    </row>
    <row r="8" spans="1:2" x14ac:dyDescent="0.2">
      <c r="A8" s="1068">
        <v>4</v>
      </c>
      <c r="B8" s="329" t="s">
        <v>2095</v>
      </c>
    </row>
    <row r="9" spans="1:2" x14ac:dyDescent="0.2">
      <c r="A9" s="1069">
        <v>5</v>
      </c>
      <c r="B9" s="329" t="s">
        <v>2096</v>
      </c>
    </row>
    <row r="10" spans="1:2" x14ac:dyDescent="0.2">
      <c r="A10" s="1069">
        <v>6</v>
      </c>
      <c r="B10" s="329" t="s">
        <v>2097</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Pontiac-W Holiday SD 105</v>
      </c>
    </row>
    <row r="65" spans="2:2" x14ac:dyDescent="0.2">
      <c r="B65" s="1070" t="str">
        <f>COVER!A13</f>
        <v>50-082-1050-02</v>
      </c>
    </row>
  </sheetData>
  <phoneticPr fontId="13" type="noConversion"/>
  <printOptions horizontalCentered="1"/>
  <pageMargins left="0.5" right="0.75" top="1" bottom="0.5" header="0.5" footer="0.5"/>
  <pageSetup scale="80" firstPageNumber="32" orientation="portrait" r:id="rId1"/>
  <headerFooter>
    <oddHeader xml:space="preserve">&amp;C&amp;"Times New Roman,Regular"PONTIAC-WILLIAM HOLLIDAY SCHOOL DISTRICT NO. 105
ITEMIZATION SCHEDULE
FOR THE YEAR ENDED JUNE 30, 2019
</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view="pageBreakPreview" topLeftCell="A7" zoomScale="60" zoomScaleNormal="110" workbookViewId="0">
      <selection activeCell="K21" sqref="K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5" right="0.75" top="1" bottom="0.5" header="0.5" footer="0.5"/>
  <pageSetup scale="70" fitToHeight="0" orientation="portrait" r:id="rId4"/>
  <headerFooter>
    <oddHeader>&amp;C&amp;"Times New Roman,Regular"PONTIAC-WILLIAM HOLLIDAY SCHOOL DISTRICT NO. 105</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V29" sqref="V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rintOptions horizontalCentered="1"/>
  <pageMargins left="0.75" right="0.75" top="1" bottom="0.5" header="0.5" footer="0.5"/>
  <pageSetup scale="90" firstPageNumber="33" orientation="landscape" r:id="rId1"/>
  <headerFooter>
    <oddHeader xml:space="preserve">&amp;C&amp;"Times New Roman,Regular"Name
FOR THE YEAR ENDED JUNE 30, 2019
</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rintOptions horizontalCentered="1"/>
  <pageMargins left="0.75" right="0.75" top="1" bottom="0.5" header="0.5" footer="0.5"/>
  <pageSetup scale="90" firstPageNumber="34" orientation="landscape" r:id="rId1"/>
  <headerFooter>
    <oddHeader xml:space="preserve">&amp;C&amp;"Times New Roman,Regular"Name
FOR THE YEAR ENDED JUNE 30, 2019
</oddHeader>
    <oddFooter>&amp;C&amp;"Times New Roman,Regular"See Independent Auditor's Reports
&amp;P</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V29" sqref="V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1986</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1987</v>
      </c>
      <c r="B4" s="2355"/>
      <c r="C4" s="2355"/>
      <c r="D4" s="2355"/>
      <c r="E4" s="2355"/>
      <c r="F4" s="2356"/>
      <c r="G4" s="1074"/>
      <c r="H4" s="1074"/>
    </row>
    <row r="5" spans="1:8" ht="14.25" customHeight="1" x14ac:dyDescent="0.2">
      <c r="A5" s="2357" t="s">
        <v>1983</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6250907</v>
      </c>
      <c r="C8" s="1815">
        <f>'Acct Summary 7-8'!D8</f>
        <v>707281</v>
      </c>
      <c r="D8" s="1815">
        <f>'Acct Summary 7-8'!F8</f>
        <v>461356</v>
      </c>
      <c r="E8" s="1815">
        <f>'Acct Summary 7-8'!I8</f>
        <v>143261</v>
      </c>
      <c r="F8" s="1815">
        <f>SUM(B8:E8)</f>
        <v>7562805</v>
      </c>
    </row>
    <row r="9" spans="1:8" s="1079" customFormat="1" ht="14.25" customHeight="1" thickBot="1" x14ac:dyDescent="0.25">
      <c r="A9" s="1078" t="s">
        <v>1369</v>
      </c>
      <c r="B9" s="1816">
        <f>'Acct Summary 7-8'!C17</f>
        <v>6113569</v>
      </c>
      <c r="C9" s="1816">
        <f>'Acct Summary 7-8'!D17</f>
        <v>754744</v>
      </c>
      <c r="D9" s="1816">
        <f>'Acct Summary 7-8'!F17</f>
        <v>451347</v>
      </c>
      <c r="E9" s="1815"/>
      <c r="F9" s="1815">
        <f>SUM(B9:E9)</f>
        <v>7319660</v>
      </c>
    </row>
    <row r="10" spans="1:8" s="1079" customFormat="1" ht="14.25" thickTop="1" thickBot="1" x14ac:dyDescent="0.25">
      <c r="A10" s="1080" t="s">
        <v>1370</v>
      </c>
      <c r="B10" s="1817">
        <f>(B8-B9)</f>
        <v>137338</v>
      </c>
      <c r="C10" s="1817">
        <f>(C8-C9)</f>
        <v>-47463</v>
      </c>
      <c r="D10" s="1817">
        <f>(D8-D9)</f>
        <v>10009</v>
      </c>
      <c r="E10" s="1816">
        <f>(E8-E9)</f>
        <v>143261</v>
      </c>
      <c r="F10" s="1818">
        <f>SUM(F8-F9)</f>
        <v>243145</v>
      </c>
    </row>
    <row r="11" spans="1:8" s="1079" customFormat="1" ht="14.25" thickTop="1" thickBot="1" x14ac:dyDescent="0.25">
      <c r="A11" s="1081" t="s">
        <v>1984</v>
      </c>
      <c r="B11" s="1819">
        <f>'Acct Summary 7-8'!C81</f>
        <v>1390272</v>
      </c>
      <c r="C11" s="1819">
        <f>'Acct Summary 7-8'!D81</f>
        <v>967209</v>
      </c>
      <c r="D11" s="1819">
        <f>'Acct Summary 7-8'!F81</f>
        <v>531641</v>
      </c>
      <c r="E11" s="1819">
        <f>'Acct Summary 7-8'!I81</f>
        <v>2535111</v>
      </c>
      <c r="F11" s="1820">
        <f>SUM(B11:E11)</f>
        <v>5424233</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 xml:space="preserve">&amp;C&amp;"Times New Roman,Regular"PONTIAC-WILLIAM HOLLIDAY SCHOOL DISTRICT NO. 105
DEFICIT ANNUAL FINANCIAL REPORT (AFR) SUMMARY INFORMATION
FOR THE YEAR ENDED JUNE 30, 2019
</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 colorId="8" zoomScale="110" zoomScaleNormal="110" workbookViewId="0">
      <selection activeCell="G66" sqref="G6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75" right="0.75" top="1" bottom="0.5" header="0.5" footer="0.5"/>
  <pageSetup scale="65" firstPageNumber="32" fitToHeight="0" orientation="portrait" r:id="rId1"/>
  <headerFooter>
    <oddHeader xml:space="preserve">&amp;C&amp;"Times New Roman,Regular"
</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50-082-1050-02</v>
      </c>
    </row>
    <row r="3" spans="1:2" x14ac:dyDescent="0.2">
      <c r="A3" t="s">
        <v>956</v>
      </c>
      <c r="B3" s="138" t="str">
        <f>COVER!A15</f>
        <v>ST. CLAIR</v>
      </c>
    </row>
    <row r="4" spans="1:2" x14ac:dyDescent="0.2">
      <c r="A4" t="s">
        <v>1007</v>
      </c>
      <c r="B4" s="138" t="str">
        <f>COVER!A17</f>
        <v>Pontiac-W Holiday SD 105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066-005060</v>
      </c>
    </row>
    <row r="16" spans="1:2" x14ac:dyDescent="0.2">
      <c r="A16" t="s">
        <v>422</v>
      </c>
      <c r="B16" s="138" t="str">
        <f>COVER!T13</f>
        <v>DENNIS ROSE &amp; ASSOCIATES, P.C.</v>
      </c>
    </row>
    <row r="17" spans="1:2" x14ac:dyDescent="0.2">
      <c r="A17" t="s">
        <v>884</v>
      </c>
      <c r="B17" s="138" t="str">
        <f>COVER!T15</f>
        <v>DENNIS ROSE</v>
      </c>
    </row>
    <row r="18" spans="1:2" x14ac:dyDescent="0.2">
      <c r="A18" t="s">
        <v>1150</v>
      </c>
      <c r="B18" s="138" t="str">
        <f>COVER!T17</f>
        <v>1904 STATE STREET</v>
      </c>
    </row>
    <row r="19" spans="1:2" x14ac:dyDescent="0.2">
      <c r="A19" t="s">
        <v>886</v>
      </c>
      <c r="B19" s="138" t="str">
        <f>COVER!T25</f>
        <v>DROSECPA@DRA-CPA.COM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618-465-4999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1390272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1390272</v>
      </c>
      <c r="D92" s="2" t="str">
        <f t="shared" si="0"/>
        <v>Error?</v>
      </c>
    </row>
    <row r="93" spans="1:4" x14ac:dyDescent="0.2">
      <c r="A93" s="5">
        <v>32</v>
      </c>
      <c r="B93" s="138">
        <f>'Assets-Liab 5-6'!C41</f>
        <v>1390272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967209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967209</v>
      </c>
      <c r="D123" s="2" t="str">
        <f t="shared" si="0"/>
        <v>Error?</v>
      </c>
    </row>
    <row r="124" spans="1:4" x14ac:dyDescent="0.2">
      <c r="A124" s="5">
        <v>63</v>
      </c>
      <c r="B124" s="138">
        <f>'Assets-Liab 5-6'!D41</f>
        <v>967209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272647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272647</v>
      </c>
      <c r="D140" s="2" t="str">
        <f t="shared" si="1"/>
        <v>Error?</v>
      </c>
    </row>
    <row r="141" spans="1:4" x14ac:dyDescent="0.2">
      <c r="A141" s="5">
        <v>80</v>
      </c>
      <c r="B141" s="138">
        <f>'Assets-Liab 5-6'!E41</f>
        <v>272647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531641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531641</v>
      </c>
      <c r="D170" s="2" t="str">
        <f t="shared" si="1"/>
        <v>Error?</v>
      </c>
    </row>
    <row r="171" spans="1:4" x14ac:dyDescent="0.2">
      <c r="A171" s="5">
        <v>110</v>
      </c>
      <c r="B171" s="138">
        <f>'Assets-Liab 5-6'!F41</f>
        <v>531641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702801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373908</v>
      </c>
      <c r="D189" s="2" t="str">
        <f t="shared" si="1"/>
        <v>Error?</v>
      </c>
    </row>
    <row r="190" spans="1:4" x14ac:dyDescent="0.2">
      <c r="A190" s="5">
        <v>129</v>
      </c>
      <c r="B190" s="138">
        <f>'Assets-Liab 5-6'!G41</f>
        <v>702801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173786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173786</v>
      </c>
      <c r="D212" s="2" t="str">
        <f t="shared" si="2"/>
        <v>Error?</v>
      </c>
    </row>
    <row r="213" spans="1:4" x14ac:dyDescent="0.2">
      <c r="A213" s="12">
        <v>152</v>
      </c>
      <c r="B213" s="138">
        <f>'Assets-Liab 5-6'!H41</f>
        <v>173786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60065</v>
      </c>
      <c r="D273" s="2" t="str">
        <f t="shared" si="3"/>
        <v>Error?</v>
      </c>
    </row>
    <row r="274" spans="1:4" x14ac:dyDescent="0.2">
      <c r="A274" s="5">
        <v>213</v>
      </c>
      <c r="B274" s="138">
        <f>'Assets-Liab 5-6'!M17</f>
        <v>13219824</v>
      </c>
      <c r="D274" s="2" t="str">
        <f t="shared" si="3"/>
        <v>Error?</v>
      </c>
    </row>
    <row r="275" spans="1:4" x14ac:dyDescent="0.2">
      <c r="A275" s="5">
        <v>214</v>
      </c>
      <c r="B275" s="138">
        <f>'Assets-Liab 5-6'!M18</f>
        <v>427432</v>
      </c>
      <c r="D275" s="2" t="str">
        <f t="shared" si="3"/>
        <v>Error?</v>
      </c>
    </row>
    <row r="276" spans="1:4" x14ac:dyDescent="0.2">
      <c r="A276" s="5">
        <v>215</v>
      </c>
      <c r="B276" s="138">
        <f>'Assets-Liab 5-6'!M19</f>
        <v>685982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14393303</v>
      </c>
      <c r="C279" s="2" t="s">
        <v>573</v>
      </c>
      <c r="D279" s="2" t="str">
        <f t="shared" si="3"/>
        <v>Error?</v>
      </c>
    </row>
    <row r="280" spans="1:4" x14ac:dyDescent="0.2">
      <c r="A280" s="5">
        <v>219</v>
      </c>
      <c r="B280" s="138">
        <f>'Assets-Liab 5-6'!M40</f>
        <v>14393303</v>
      </c>
      <c r="D280" s="2" t="str">
        <f t="shared" si="3"/>
        <v>Error?</v>
      </c>
    </row>
    <row r="281" spans="1:4" x14ac:dyDescent="0.2">
      <c r="A281" s="5">
        <v>220</v>
      </c>
      <c r="B281" s="138">
        <f>'Assets-Liab 5-6'!M41</f>
        <v>14393303</v>
      </c>
      <c r="C281" s="2" t="s">
        <v>573</v>
      </c>
      <c r="D281" s="2" t="str">
        <f t="shared" si="3"/>
        <v>Error?</v>
      </c>
    </row>
    <row r="282" spans="1:4" x14ac:dyDescent="0.2">
      <c r="A282" s="5">
        <v>221</v>
      </c>
      <c r="B282" s="138">
        <f>'Assets-Liab 5-6'!N21</f>
        <v>272647</v>
      </c>
      <c r="D282" s="2" t="str">
        <f t="shared" si="3"/>
        <v>Error?</v>
      </c>
    </row>
    <row r="283" spans="1:4" x14ac:dyDescent="0.2">
      <c r="A283" s="5">
        <v>222</v>
      </c>
      <c r="B283" s="138">
        <f>'Assets-Liab 5-6'!N22</f>
        <v>495644</v>
      </c>
      <c r="D283" s="2" t="str">
        <f t="shared" si="3"/>
        <v>Error?</v>
      </c>
    </row>
    <row r="284" spans="1:4" x14ac:dyDescent="0.2">
      <c r="A284" s="5">
        <v>223</v>
      </c>
      <c r="B284" s="138">
        <f>'Assets-Liab 5-6'!N23</f>
        <v>768291</v>
      </c>
      <c r="C284" s="2" t="s">
        <v>573</v>
      </c>
      <c r="D284" s="2" t="str">
        <f t="shared" si="3"/>
        <v>Error?</v>
      </c>
    </row>
    <row r="285" spans="1:4" x14ac:dyDescent="0.2">
      <c r="A285" s="5">
        <v>224</v>
      </c>
      <c r="B285" s="138">
        <f>'Assets-Liab 5-6'!N36</f>
        <v>768291</v>
      </c>
      <c r="D285" s="2" t="str">
        <f t="shared" si="3"/>
        <v>Error?</v>
      </c>
    </row>
    <row r="286" spans="1:4" x14ac:dyDescent="0.2">
      <c r="A286" s="10">
        <v>225</v>
      </c>
      <c r="D286" s="2" t="str">
        <f t="shared" si="3"/>
        <v>OK</v>
      </c>
    </row>
    <row r="287" spans="1:4" x14ac:dyDescent="0.2">
      <c r="A287" s="5">
        <v>226</v>
      </c>
      <c r="B287" s="138">
        <f>'Assets-Liab 5-6'!N37</f>
        <v>768291</v>
      </c>
      <c r="C287" s="2" t="s">
        <v>573</v>
      </c>
      <c r="D287" s="2" t="str">
        <f t="shared" si="3"/>
        <v>Error?</v>
      </c>
    </row>
    <row r="288" spans="1:4" x14ac:dyDescent="0.2">
      <c r="A288" s="5">
        <v>227</v>
      </c>
      <c r="B288" s="138">
        <f>'Assets-Liab 5-6'!N41</f>
        <v>768291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2297512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46221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3221236</v>
      </c>
      <c r="C720" s="2" t="s">
        <v>573</v>
      </c>
      <c r="D720" s="2" t="str">
        <f t="shared" si="10"/>
        <v>Error?</v>
      </c>
    </row>
    <row r="721" spans="1:4" x14ac:dyDescent="0.2">
      <c r="A721" s="5">
        <v>660</v>
      </c>
      <c r="B721" s="138">
        <f>'Expenditures 15-22'!C36</f>
        <v>105736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19523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47656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172915</v>
      </c>
      <c r="C727" s="2" t="s">
        <v>573</v>
      </c>
      <c r="D727" s="2" t="str">
        <f t="shared" si="10"/>
        <v>Error?</v>
      </c>
    </row>
    <row r="728" spans="1:4" x14ac:dyDescent="0.2">
      <c r="A728" s="5">
        <v>667</v>
      </c>
      <c r="B728" s="138">
        <f>'Expenditures 15-22'!C44</f>
        <v>17115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17115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107337</v>
      </c>
      <c r="D733" s="2" t="str">
        <f t="shared" si="10"/>
        <v>Error?</v>
      </c>
    </row>
    <row r="734" spans="1:4" x14ac:dyDescent="0.2">
      <c r="A734" s="5">
        <v>673</v>
      </c>
      <c r="B734" s="138">
        <f>'Expenditures 15-22'!C53</f>
        <v>107337</v>
      </c>
      <c r="C734" s="2" t="s">
        <v>573</v>
      </c>
      <c r="D734" s="2" t="str">
        <f t="shared" si="10"/>
        <v>Error?</v>
      </c>
    </row>
    <row r="735" spans="1:4" x14ac:dyDescent="0.2">
      <c r="A735" s="5">
        <v>674</v>
      </c>
      <c r="B735" s="138">
        <f>'Expenditures 15-22'!C55</f>
        <v>262713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262713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79070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84658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163728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723808</v>
      </c>
      <c r="C755" s="2" t="s">
        <v>573</v>
      </c>
      <c r="D755" s="2" t="str">
        <f t="shared" si="10"/>
        <v>Error?</v>
      </c>
    </row>
    <row r="756" spans="1:4" x14ac:dyDescent="0.2">
      <c r="A756" s="5">
        <v>695</v>
      </c>
      <c r="B756" s="138">
        <f>'Expenditures 15-22'!C75</f>
        <v>97314</v>
      </c>
      <c r="D756" s="2" t="str">
        <f t="shared" si="10"/>
        <v>Error?</v>
      </c>
    </row>
    <row r="757" spans="1:4" x14ac:dyDescent="0.2">
      <c r="A757" s="5">
        <v>696</v>
      </c>
      <c r="B757" s="138">
        <f>'Expenditures 15-22'!C114</f>
        <v>4042358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583887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4729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810018</v>
      </c>
      <c r="C778" s="2" t="s">
        <v>573</v>
      </c>
      <c r="D778" s="2" t="str">
        <f t="shared" si="11"/>
        <v>Error?</v>
      </c>
    </row>
    <row r="779" spans="1:4" x14ac:dyDescent="0.2">
      <c r="A779" s="5">
        <v>718</v>
      </c>
      <c r="B779" s="138">
        <f>'Expenditures 15-22'!D36</f>
        <v>29881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5619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14991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50491</v>
      </c>
      <c r="C785" s="2" t="s">
        <v>573</v>
      </c>
      <c r="D785" s="2" t="str">
        <f t="shared" si="11"/>
        <v>Error?</v>
      </c>
    </row>
    <row r="786" spans="1:4" x14ac:dyDescent="0.2">
      <c r="A786" s="5">
        <v>725</v>
      </c>
      <c r="B786" s="138">
        <f>'Expenditures 15-22'!D44</f>
        <v>3690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3690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37661</v>
      </c>
      <c r="D791" s="2" t="str">
        <f t="shared" si="11"/>
        <v>Error?</v>
      </c>
    </row>
    <row r="792" spans="1:4" x14ac:dyDescent="0.2">
      <c r="A792" s="5">
        <v>731</v>
      </c>
      <c r="B792" s="138">
        <f>'Expenditures 15-22'!D53</f>
        <v>37661</v>
      </c>
      <c r="C792" s="2" t="s">
        <v>573</v>
      </c>
      <c r="D792" s="2" t="str">
        <f t="shared" si="11"/>
        <v>Error?</v>
      </c>
    </row>
    <row r="793" spans="1:4" x14ac:dyDescent="0.2">
      <c r="A793" s="5">
        <v>732</v>
      </c>
      <c r="B793" s="138">
        <f>'Expenditures 15-22'!D55</f>
        <v>129534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129534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14215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16900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238276</v>
      </c>
      <c r="C813" s="2" t="s">
        <v>573</v>
      </c>
      <c r="D813" s="2" t="str">
        <f t="shared" si="11"/>
        <v>Error?</v>
      </c>
    </row>
    <row r="814" spans="1:4" x14ac:dyDescent="0.2">
      <c r="A814" s="5">
        <v>753</v>
      </c>
      <c r="B814" s="138">
        <f>'Expenditures 15-22'!D75</f>
        <v>8023</v>
      </c>
      <c r="D814" s="2" t="str">
        <f t="shared" si="11"/>
        <v>Error?</v>
      </c>
    </row>
    <row r="815" spans="1:4" x14ac:dyDescent="0.2">
      <c r="A815" s="5">
        <v>754</v>
      </c>
      <c r="B815" s="138">
        <f>'Expenditures 15-22'!D114</f>
        <v>1056317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15499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9534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28237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1149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1149</v>
      </c>
      <c r="C843" s="2" t="s">
        <v>573</v>
      </c>
      <c r="D843" s="2" t="str">
        <f t="shared" si="12"/>
        <v>Error?</v>
      </c>
    </row>
    <row r="844" spans="1:4" x14ac:dyDescent="0.2">
      <c r="A844" s="5">
        <v>783</v>
      </c>
      <c r="B844" s="138">
        <f>'Expenditures 15-22'!E44</f>
        <v>23926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23926</v>
      </c>
      <c r="C847" s="2" t="s">
        <v>573</v>
      </c>
      <c r="D847" s="2" t="str">
        <f t="shared" si="12"/>
        <v>Error?</v>
      </c>
    </row>
    <row r="848" spans="1:4" x14ac:dyDescent="0.2">
      <c r="A848" s="5">
        <v>787</v>
      </c>
      <c r="B848" s="138">
        <f>'Expenditures 15-22'!E49</f>
        <v>23392</v>
      </c>
      <c r="D848" s="2" t="str">
        <f t="shared" si="12"/>
        <v>Error?</v>
      </c>
    </row>
    <row r="849" spans="1:4" x14ac:dyDescent="0.2">
      <c r="A849" s="5">
        <v>788</v>
      </c>
      <c r="B849" s="138">
        <f>'Expenditures 15-22'!E50</f>
        <v>1430</v>
      </c>
      <c r="D849" s="2" t="str">
        <f t="shared" si="12"/>
        <v>Error?</v>
      </c>
    </row>
    <row r="850" spans="1:4" x14ac:dyDescent="0.2">
      <c r="A850" s="5">
        <v>789</v>
      </c>
      <c r="B850" s="138">
        <f>'Expenditures 15-22'!E53</f>
        <v>24822</v>
      </c>
      <c r="C850" s="2" t="s">
        <v>573</v>
      </c>
      <c r="D850" s="2" t="str">
        <f t="shared" si="12"/>
        <v>Error?</v>
      </c>
    </row>
    <row r="851" spans="1:4" x14ac:dyDescent="0.2">
      <c r="A851" s="5">
        <v>790</v>
      </c>
      <c r="B851" s="138">
        <f>'Expenditures 15-22'!E55</f>
        <v>3121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3121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6291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10177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63195</v>
      </c>
      <c r="C871" s="2" t="s">
        <v>573</v>
      </c>
      <c r="D871" s="2" t="str">
        <f t="shared" si="12"/>
        <v>Error?</v>
      </c>
    </row>
    <row r="872" spans="1:4" x14ac:dyDescent="0.2">
      <c r="A872" s="5">
        <v>811</v>
      </c>
      <c r="B872" s="138">
        <f>'Expenditures 15-22'!E75</f>
        <v>7504</v>
      </c>
      <c r="D872" s="2" t="str">
        <f t="shared" si="12"/>
        <v>Error?</v>
      </c>
    </row>
    <row r="873" spans="1:4" x14ac:dyDescent="0.2">
      <c r="A873" s="5">
        <v>812</v>
      </c>
      <c r="B873" s="138">
        <f>'Expenditures 15-22'!E114</f>
        <v>128816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76533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6734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138508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1693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1693</v>
      </c>
      <c r="C901" s="2" t="s">
        <v>573</v>
      </c>
      <c r="D901" s="2" t="str">
        <f t="shared" si="13"/>
        <v>Error?</v>
      </c>
    </row>
    <row r="902" spans="1:4" x14ac:dyDescent="0.2">
      <c r="A902" s="5">
        <v>841</v>
      </c>
      <c r="B902" s="138">
        <f>'Expenditures 15-22'!F44</f>
        <v>16616</v>
      </c>
      <c r="D902" s="2" t="str">
        <f t="shared" si="13"/>
        <v>Error?</v>
      </c>
    </row>
    <row r="903" spans="1:4" x14ac:dyDescent="0.2">
      <c r="A903" s="5">
        <v>842</v>
      </c>
      <c r="B903" s="138">
        <f>'Expenditures 15-22'!F45</f>
        <v>379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16995</v>
      </c>
      <c r="C905" s="2" t="s">
        <v>573</v>
      </c>
      <c r="D905" s="2" t="str">
        <f t="shared" si="13"/>
        <v>Error?</v>
      </c>
    </row>
    <row r="906" spans="1:4" x14ac:dyDescent="0.2">
      <c r="A906" s="5">
        <v>845</v>
      </c>
      <c r="B906" s="138">
        <f>'Expenditures 15-22'!F49</f>
        <v>3609</v>
      </c>
      <c r="D906" s="2" t="str">
        <f t="shared" si="13"/>
        <v>Error?</v>
      </c>
    </row>
    <row r="907" spans="1:4" x14ac:dyDescent="0.2">
      <c r="A907" s="5">
        <v>846</v>
      </c>
      <c r="B907" s="138">
        <f>'Expenditures 15-22'!F50</f>
        <v>1189</v>
      </c>
      <c r="D907" s="2" t="str">
        <f t="shared" si="13"/>
        <v>Error?</v>
      </c>
    </row>
    <row r="908" spans="1:4" x14ac:dyDescent="0.2">
      <c r="A908" s="5">
        <v>847</v>
      </c>
      <c r="B908" s="138">
        <f>'Expenditures 15-22'!F53</f>
        <v>4798</v>
      </c>
      <c r="C908" s="2" t="s">
        <v>573</v>
      </c>
      <c r="D908" s="2" t="str">
        <f t="shared" si="13"/>
        <v>Error?</v>
      </c>
    </row>
    <row r="909" spans="1:4" x14ac:dyDescent="0.2">
      <c r="A909" s="5">
        <v>848</v>
      </c>
      <c r="B909" s="138">
        <f>'Expenditures 15-22'!F55</f>
        <v>200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16364</v>
      </c>
      <c r="D913" s="2" t="str">
        <f t="shared" si="13"/>
        <v>Error?</v>
      </c>
    </row>
    <row r="914" spans="1:4" x14ac:dyDescent="0.2">
      <c r="A914" s="5">
        <v>853</v>
      </c>
      <c r="B914" s="138">
        <f>'Expenditures 15-22'!F61</f>
        <v>17403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206813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240580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264266</v>
      </c>
      <c r="C929" s="2" t="s">
        <v>573</v>
      </c>
      <c r="D929" s="2" t="str">
        <f t="shared" si="13"/>
        <v>Error?</v>
      </c>
    </row>
    <row r="930" spans="1:4" x14ac:dyDescent="0.2">
      <c r="A930" s="5">
        <v>869</v>
      </c>
      <c r="B930" s="138">
        <f>'Expenditures 15-22'!F75</f>
        <v>4635</v>
      </c>
      <c r="D930" s="2" t="str">
        <f t="shared" si="13"/>
        <v>Error?</v>
      </c>
    </row>
    <row r="931" spans="1:4" x14ac:dyDescent="0.2">
      <c r="A931" s="5">
        <v>870</v>
      </c>
      <c r="B931" s="138">
        <f>'Expenditures 15-22'!F114</f>
        <v>407409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4974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2880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2880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1861</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1861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4741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9715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468954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468954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2973431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67218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4202973</v>
      </c>
      <c r="C1108" s="2" t="s">
        <v>573</v>
      </c>
      <c r="D1108" s="2" t="str">
        <f t="shared" si="16"/>
        <v>Error?</v>
      </c>
    </row>
    <row r="1109" spans="1:4" x14ac:dyDescent="0.2">
      <c r="A1109" s="5">
        <v>1048</v>
      </c>
      <c r="B1109" s="138">
        <f>'Expenditures 15-22'!K36</f>
        <v>135617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27984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62647</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226248</v>
      </c>
      <c r="C1115" s="2" t="s">
        <v>573</v>
      </c>
      <c r="D1115" s="2" t="str">
        <f t="shared" si="16"/>
        <v>Error?</v>
      </c>
    </row>
    <row r="1116" spans="1:4" x14ac:dyDescent="0.2">
      <c r="A1116" s="5">
        <v>1055</v>
      </c>
      <c r="B1116" s="138">
        <f>'Expenditures 15-22'!K44</f>
        <v>61347</v>
      </c>
      <c r="C1116" s="2" t="s">
        <v>573</v>
      </c>
      <c r="D1116" s="2" t="str">
        <f t="shared" si="16"/>
        <v>Error?</v>
      </c>
    </row>
    <row r="1117" spans="1:4" x14ac:dyDescent="0.2">
      <c r="A1117" s="5">
        <v>1056</v>
      </c>
      <c r="B1117" s="138">
        <f>'Expenditures 15-22'!K45</f>
        <v>379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61726</v>
      </c>
      <c r="C1119" s="2" t="s">
        <v>573</v>
      </c>
      <c r="D1119" s="2" t="str">
        <f t="shared" si="16"/>
        <v>Error?</v>
      </c>
    </row>
    <row r="1120" spans="1:4" x14ac:dyDescent="0.2">
      <c r="A1120" s="5">
        <v>1059</v>
      </c>
      <c r="B1120" s="138">
        <f>'Expenditures 15-22'!K49</f>
        <v>29881</v>
      </c>
      <c r="C1120" s="2" t="s">
        <v>573</v>
      </c>
      <c r="D1120" s="2" t="str">
        <f t="shared" si="16"/>
        <v>Error?</v>
      </c>
    </row>
    <row r="1121" spans="1:4" x14ac:dyDescent="0.2">
      <c r="A1121" s="5">
        <v>1060</v>
      </c>
      <c r="B1121" s="138">
        <f>'Expenditures 15-22'!K50</f>
        <v>147617</v>
      </c>
      <c r="C1121" s="2" t="s">
        <v>573</v>
      </c>
      <c r="D1121" s="2" t="str">
        <f t="shared" si="16"/>
        <v>Error?</v>
      </c>
    </row>
    <row r="1122" spans="1:4" x14ac:dyDescent="0.2">
      <c r="A1122" s="5">
        <v>1061</v>
      </c>
      <c r="B1122" s="138">
        <f>'Expenditures 15-22'!K53</f>
        <v>177498</v>
      </c>
      <c r="C1122" s="2" t="s">
        <v>573</v>
      </c>
      <c r="D1122" s="2" t="str">
        <f t="shared" si="16"/>
        <v>Error?</v>
      </c>
    </row>
    <row r="1123" spans="1:4" x14ac:dyDescent="0.2">
      <c r="A1123" s="5">
        <v>1062</v>
      </c>
      <c r="B1123" s="138">
        <f>'Expenditures 15-22'!K55</f>
        <v>395568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395568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117801</v>
      </c>
      <c r="C1127" s="2" t="s">
        <v>573</v>
      </c>
      <c r="D1127" s="2" t="str">
        <f t="shared" si="16"/>
        <v>Error?</v>
      </c>
    </row>
    <row r="1128" spans="1:4" x14ac:dyDescent="0.2">
      <c r="A1128" s="5">
        <v>1067</v>
      </c>
      <c r="B1128" s="138">
        <f>'Expenditures 15-22'!K61</f>
        <v>17403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298042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433246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1294286</v>
      </c>
      <c r="C1143" s="2" t="s">
        <v>573</v>
      </c>
      <c r="D1143" s="2" t="str">
        <f t="shared" si="16"/>
        <v>Error?</v>
      </c>
    </row>
    <row r="1144" spans="1:4" x14ac:dyDescent="0.2">
      <c r="A1144" s="5">
        <v>1083</v>
      </c>
      <c r="B1144" s="138">
        <f>'Expenditures 15-22'!K75</f>
        <v>117476</v>
      </c>
      <c r="C1144" s="2" t="s">
        <v>573</v>
      </c>
      <c r="D1144" s="2" t="str">
        <f t="shared" si="16"/>
        <v>Error?</v>
      </c>
    </row>
    <row r="1145" spans="1:4" x14ac:dyDescent="0.2">
      <c r="A1145" s="5">
        <v>1084</v>
      </c>
      <c r="B1145" s="138">
        <f>'Expenditures 15-22'!K102</f>
        <v>498834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6113569</v>
      </c>
      <c r="C1152" s="2" t="s">
        <v>573</v>
      </c>
      <c r="D1152" s="2" t="str">
        <f t="shared" si="17"/>
        <v>Error?</v>
      </c>
    </row>
    <row r="1153" spans="1:4" x14ac:dyDescent="0.2">
      <c r="A1153" s="5">
        <v>1092</v>
      </c>
      <c r="B1153" s="138">
        <f>'Expenditures 15-22'!K115</f>
        <v>137338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299131</v>
      </c>
      <c r="D1221" s="2" t="str">
        <f t="shared" si="18"/>
        <v>Error?</v>
      </c>
    </row>
    <row r="1222" spans="1:4" x14ac:dyDescent="0.2">
      <c r="A1222" s="10">
        <v>1161</v>
      </c>
      <c r="D1222" s="2" t="str">
        <f t="shared" si="18"/>
        <v>OK</v>
      </c>
    </row>
    <row r="1223" spans="1:4" x14ac:dyDescent="0.2">
      <c r="A1223" s="5">
        <v>1162</v>
      </c>
      <c r="B1223" s="138">
        <f>'Expenditures 15-22'!C127</f>
        <v>299131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299131</v>
      </c>
      <c r="C1225" s="2" t="s">
        <v>573</v>
      </c>
      <c r="D1225" s="2" t="str">
        <f t="shared" si="18"/>
        <v>Error?</v>
      </c>
    </row>
    <row r="1226" spans="1:4" x14ac:dyDescent="0.2">
      <c r="A1226" s="5">
        <v>1165</v>
      </c>
      <c r="B1226" s="138">
        <f>'Expenditures 15-22'!C151</f>
        <v>299131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50738</v>
      </c>
      <c r="D1229" s="2" t="str">
        <f t="shared" si="18"/>
        <v>Error?</v>
      </c>
    </row>
    <row r="1230" spans="1:4" x14ac:dyDescent="0.2">
      <c r="A1230" s="10">
        <v>1169</v>
      </c>
      <c r="D1230" s="2" t="str">
        <f t="shared" si="18"/>
        <v>OK</v>
      </c>
    </row>
    <row r="1231" spans="1:4" x14ac:dyDescent="0.2">
      <c r="A1231" s="5">
        <v>1170</v>
      </c>
      <c r="B1231" s="138">
        <f>'Expenditures 15-22'!D127</f>
        <v>50738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50738</v>
      </c>
      <c r="C1233" s="2" t="s">
        <v>573</v>
      </c>
      <c r="D1233" s="2" t="str">
        <f t="shared" si="18"/>
        <v>Error?</v>
      </c>
    </row>
    <row r="1234" spans="1:4" x14ac:dyDescent="0.2">
      <c r="A1234" s="5">
        <v>1173</v>
      </c>
      <c r="B1234" s="138">
        <f>'Expenditures 15-22'!D151</f>
        <v>50738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77526</v>
      </c>
      <c r="D1237" s="2" t="str">
        <f t="shared" si="18"/>
        <v>Error?</v>
      </c>
    </row>
    <row r="1238" spans="1:4" x14ac:dyDescent="0.2">
      <c r="A1238" s="10">
        <v>1177</v>
      </c>
      <c r="D1238" s="2" t="str">
        <f t="shared" si="18"/>
        <v>OK</v>
      </c>
    </row>
    <row r="1239" spans="1:4" x14ac:dyDescent="0.2">
      <c r="A1239" s="5">
        <v>1178</v>
      </c>
      <c r="B1239" s="138">
        <f>'Expenditures 15-22'!E127</f>
        <v>77526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77526</v>
      </c>
      <c r="C1241" s="2" t="s">
        <v>573</v>
      </c>
      <c r="D1241" s="2" t="str">
        <f t="shared" si="18"/>
        <v>Error?</v>
      </c>
    </row>
    <row r="1242" spans="1:4" x14ac:dyDescent="0.2">
      <c r="A1242" s="5">
        <v>1181</v>
      </c>
      <c r="B1242" s="138">
        <f>'Expenditures 15-22'!E151</f>
        <v>77526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281578</v>
      </c>
      <c r="D1245" s="2" t="str">
        <f t="shared" si="18"/>
        <v>Error?</v>
      </c>
    </row>
    <row r="1246" spans="1:4" x14ac:dyDescent="0.2">
      <c r="A1246" s="10">
        <v>1185</v>
      </c>
      <c r="D1246" s="2" t="str">
        <f t="shared" si="18"/>
        <v>OK</v>
      </c>
    </row>
    <row r="1247" spans="1:4" x14ac:dyDescent="0.2">
      <c r="A1247" s="5">
        <v>1186</v>
      </c>
      <c r="B1247" s="138">
        <f>'Expenditures 15-22'!F127</f>
        <v>281578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281578</v>
      </c>
      <c r="C1249" s="2" t="s">
        <v>573</v>
      </c>
      <c r="D1249" s="2" t="str">
        <f t="shared" si="18"/>
        <v>Error?</v>
      </c>
    </row>
    <row r="1250" spans="1:4" x14ac:dyDescent="0.2">
      <c r="A1250" s="5">
        <v>1189</v>
      </c>
      <c r="B1250" s="138">
        <f>'Expenditures 15-22'!F151</f>
        <v>281578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43936</v>
      </c>
      <c r="D1253" s="2" t="str">
        <f t="shared" si="18"/>
        <v>Error?</v>
      </c>
    </row>
    <row r="1254" spans="1:4" x14ac:dyDescent="0.2">
      <c r="A1254" s="5">
        <v>1193</v>
      </c>
      <c r="B1254" s="138">
        <f>'Expenditures 15-22'!G126</f>
        <v>1835</v>
      </c>
      <c r="D1254" s="2" t="str">
        <f t="shared" si="18"/>
        <v>Error?</v>
      </c>
    </row>
    <row r="1255" spans="1:4" x14ac:dyDescent="0.2">
      <c r="A1255" s="10">
        <v>1194</v>
      </c>
      <c r="D1255" s="2" t="str">
        <f t="shared" si="18"/>
        <v>OK</v>
      </c>
    </row>
    <row r="1256" spans="1:4" x14ac:dyDescent="0.2">
      <c r="A1256" s="5">
        <v>1195</v>
      </c>
      <c r="B1256" s="138">
        <f>'Expenditures 15-22'!G127</f>
        <v>45771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45771</v>
      </c>
      <c r="C1258" s="2" t="s">
        <v>573</v>
      </c>
      <c r="D1258" s="2" t="str">
        <f t="shared" si="18"/>
        <v>Error?</v>
      </c>
    </row>
    <row r="1259" spans="1:4" x14ac:dyDescent="0.2">
      <c r="A1259" s="5">
        <v>1198</v>
      </c>
      <c r="B1259" s="138">
        <f>'Expenditures 15-22'!G151</f>
        <v>45771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752909</v>
      </c>
      <c r="C1276" s="2" t="s">
        <v>573</v>
      </c>
      <c r="D1276" s="2" t="str">
        <f t="shared" si="18"/>
        <v>Error?</v>
      </c>
    </row>
    <row r="1277" spans="1:4" x14ac:dyDescent="0.2">
      <c r="A1277" s="5">
        <v>1216</v>
      </c>
      <c r="B1277" s="138">
        <f>'Expenditures 15-22'!K126</f>
        <v>1835</v>
      </c>
      <c r="C1277" s="2" t="s">
        <v>573</v>
      </c>
      <c r="D1277" s="2" t="str">
        <f t="shared" si="18"/>
        <v>Error?</v>
      </c>
    </row>
    <row r="1278" spans="1:4" x14ac:dyDescent="0.2">
      <c r="A1278" s="10">
        <v>1217</v>
      </c>
      <c r="D1278" s="2" t="str">
        <f t="shared" si="18"/>
        <v>OK</v>
      </c>
    </row>
    <row r="1279" spans="1:4" x14ac:dyDescent="0.2">
      <c r="A1279" s="5">
        <v>1218</v>
      </c>
      <c r="B1279" s="138">
        <f>'Expenditures 15-22'!K127</f>
        <v>754744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754744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754744</v>
      </c>
      <c r="C1288" s="2" t="s">
        <v>573</v>
      </c>
      <c r="D1288" s="2" t="str">
        <f t="shared" si="19"/>
        <v>Error?</v>
      </c>
    </row>
    <row r="1289" spans="1:4" x14ac:dyDescent="0.2">
      <c r="A1289" s="5">
        <v>1228</v>
      </c>
      <c r="B1289" s="138">
        <f>'Expenditures 15-22'!K152</f>
        <v>-47463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28521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746942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775463</v>
      </c>
      <c r="C1317" s="2" t="s">
        <v>573</v>
      </c>
      <c r="D1317" s="2" t="str">
        <f t="shared" si="19"/>
        <v>Error?</v>
      </c>
    </row>
    <row r="1318" spans="1:4" x14ac:dyDescent="0.2">
      <c r="A1318" s="5">
        <v>1257</v>
      </c>
      <c r="B1318" s="138">
        <f>'Expenditures 15-22'!H174</f>
        <v>775463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28521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746942</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775463</v>
      </c>
      <c r="C1331" s="2" t="s">
        <v>573</v>
      </c>
      <c r="D1331" s="2" t="str">
        <f t="shared" si="19"/>
        <v>Error?</v>
      </c>
    </row>
    <row r="1332" spans="1:4" x14ac:dyDescent="0.2">
      <c r="A1332" s="5">
        <v>1271</v>
      </c>
      <c r="B1332" s="138">
        <f>'Expenditures 15-22'!K174</f>
        <v>775463</v>
      </c>
      <c r="C1332" s="2" t="s">
        <v>573</v>
      </c>
      <c r="D1332" s="2" t="str">
        <f t="shared" si="19"/>
        <v>Error?</v>
      </c>
    </row>
    <row r="1333" spans="1:4" x14ac:dyDescent="0.2">
      <c r="A1333" s="5">
        <v>1272</v>
      </c>
      <c r="B1333" s="138">
        <f>'Expenditures 15-22'!K175</f>
        <v>-6195</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7269</v>
      </c>
      <c r="C1339" s="2" t="s">
        <v>573</v>
      </c>
      <c r="D1339" s="2" t="str">
        <f t="shared" si="19"/>
        <v>Error?</v>
      </c>
    </row>
    <row r="1340" spans="1:4" x14ac:dyDescent="0.2">
      <c r="A1340" s="5">
        <v>1279</v>
      </c>
      <c r="B1340" s="138">
        <f>'Expenditures 15-22'!C210</f>
        <v>7269</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3570</v>
      </c>
      <c r="C1345" s="2" t="s">
        <v>573</v>
      </c>
      <c r="D1345" s="2" t="str">
        <f t="shared" si="20"/>
        <v>Error?</v>
      </c>
    </row>
    <row r="1346" spans="1:4" x14ac:dyDescent="0.2">
      <c r="A1346" s="5">
        <v>1285</v>
      </c>
      <c r="B1346" s="138">
        <f>'Expenditures 15-22'!D210</f>
        <v>3570</v>
      </c>
      <c r="C1346" s="2" t="s">
        <v>573</v>
      </c>
      <c r="D1346" s="2" t="str">
        <f t="shared" si="20"/>
        <v>Error?</v>
      </c>
    </row>
    <row r="1347" spans="1:4" x14ac:dyDescent="0.2">
      <c r="A1347" s="5">
        <v>1286</v>
      </c>
      <c r="B1347" s="138">
        <f>'Expenditures 15-22'!E182</f>
        <v>440508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440508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440508</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440508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451347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451347</v>
      </c>
      <c r="C1388" s="2" t="s">
        <v>573</v>
      </c>
      <c r="D1388" s="2" t="str">
        <f t="shared" si="20"/>
        <v>Error?</v>
      </c>
    </row>
    <row r="1389" spans="1:4" x14ac:dyDescent="0.2">
      <c r="A1389" s="5">
        <v>1328</v>
      </c>
      <c r="B1389" s="138">
        <f>'Expenditures 15-22'!K211</f>
        <v>10009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1668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126449</v>
      </c>
      <c r="C1410" s="2" t="s">
        <v>573</v>
      </c>
      <c r="D1410" s="2" t="str">
        <f t="shared" si="21"/>
        <v>Error?</v>
      </c>
    </row>
    <row r="1411" spans="1:4" x14ac:dyDescent="0.2">
      <c r="A1411" s="5">
        <v>1350</v>
      </c>
      <c r="B1411" s="138">
        <f>'Expenditures 15-22'!D232</f>
        <v>1420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7267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672</v>
      </c>
      <c r="D1415" s="2" t="str">
        <f t="shared" si="21"/>
        <v>Error?</v>
      </c>
    </row>
    <row r="1416" spans="1:4" x14ac:dyDescent="0.2">
      <c r="A1416" s="5">
        <v>1355</v>
      </c>
      <c r="B1416" s="138">
        <f>'Expenditures 15-22'!D237</f>
        <v>6849</v>
      </c>
      <c r="D1416" s="2" t="str">
        <f t="shared" si="21"/>
        <v>Error?</v>
      </c>
    </row>
    <row r="1417" spans="1:4" x14ac:dyDescent="0.2">
      <c r="A1417" s="5">
        <v>1356</v>
      </c>
      <c r="B1417" s="138">
        <f>'Expenditures 15-22'!D238</f>
        <v>16208</v>
      </c>
      <c r="C1417" s="2" t="s">
        <v>573</v>
      </c>
      <c r="D1417" s="2" t="str">
        <f t="shared" si="21"/>
        <v>Error?</v>
      </c>
    </row>
    <row r="1418" spans="1:4" x14ac:dyDescent="0.2">
      <c r="A1418" s="5">
        <v>1357</v>
      </c>
      <c r="B1418" s="138">
        <f>'Expenditures 15-22'!D240</f>
        <v>204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2049</v>
      </c>
      <c r="D1423" s="2" t="str">
        <f t="shared" si="21"/>
        <v>Error?</v>
      </c>
    </row>
    <row r="1424" spans="1:4" x14ac:dyDescent="0.2">
      <c r="A1424" s="5">
        <v>1363</v>
      </c>
      <c r="B1424" s="138">
        <f>'Expenditures 15-22'!D257</f>
        <v>2049</v>
      </c>
      <c r="C1424" s="2" t="s">
        <v>573</v>
      </c>
      <c r="D1424" s="2" t="str">
        <f t="shared" si="21"/>
        <v>Error?</v>
      </c>
    </row>
    <row r="1425" spans="1:4" x14ac:dyDescent="0.2">
      <c r="A1425" s="5">
        <v>1364</v>
      </c>
      <c r="B1425" s="138">
        <f>'Expenditures 15-22'!D259</f>
        <v>4274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4274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15056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55211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14198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84465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107200</v>
      </c>
      <c r="C1446" s="2" t="s">
        <v>573</v>
      </c>
      <c r="D1446" s="2" t="str">
        <f t="shared" si="21"/>
        <v>Error?</v>
      </c>
    </row>
    <row r="1447" spans="1:4" x14ac:dyDescent="0.2">
      <c r="A1447" s="5">
        <v>1386</v>
      </c>
      <c r="B1447" s="138">
        <f>'Expenditures 15-22'!D280</f>
        <v>13815</v>
      </c>
      <c r="D1447" s="2" t="str">
        <f t="shared" si="21"/>
        <v>Error?</v>
      </c>
    </row>
    <row r="1448" spans="1:4" x14ac:dyDescent="0.2">
      <c r="A1448" s="5">
        <v>1387</v>
      </c>
      <c r="B1448" s="138">
        <f>'Expenditures 15-22'!D295</f>
        <v>247698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1668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126449</v>
      </c>
      <c r="C1474" s="2" t="s">
        <v>573</v>
      </c>
      <c r="D1474" s="2" t="str">
        <f t="shared" si="22"/>
        <v>Error?</v>
      </c>
    </row>
    <row r="1475" spans="1:4" x14ac:dyDescent="0.2">
      <c r="A1475" s="5">
        <v>1414</v>
      </c>
      <c r="B1475" s="138">
        <f>'Expenditures 15-22'!K232</f>
        <v>1420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7267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672</v>
      </c>
      <c r="C1479" s="2" t="s">
        <v>573</v>
      </c>
      <c r="D1479" s="2" t="str">
        <f t="shared" si="22"/>
        <v>Error?</v>
      </c>
    </row>
    <row r="1480" spans="1:4" x14ac:dyDescent="0.2">
      <c r="A1480" s="5">
        <v>1419</v>
      </c>
      <c r="B1480" s="138">
        <f>'Expenditures 15-22'!K237</f>
        <v>6849</v>
      </c>
      <c r="C1480" s="2" t="s">
        <v>573</v>
      </c>
      <c r="D1480" s="2" t="str">
        <f t="shared" si="22"/>
        <v>Error?</v>
      </c>
    </row>
    <row r="1481" spans="1:4" x14ac:dyDescent="0.2">
      <c r="A1481" s="5">
        <v>1420</v>
      </c>
      <c r="B1481" s="138">
        <f>'Expenditures 15-22'!K238</f>
        <v>16208</v>
      </c>
      <c r="C1481" s="2" t="s">
        <v>573</v>
      </c>
      <c r="D1481" s="2" t="str">
        <f t="shared" si="22"/>
        <v>Error?</v>
      </c>
    </row>
    <row r="1482" spans="1:4" x14ac:dyDescent="0.2">
      <c r="A1482" s="5">
        <v>1421</v>
      </c>
      <c r="B1482" s="138">
        <f>'Expenditures 15-22'!K240</f>
        <v>204</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204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2049</v>
      </c>
      <c r="C1487" s="2" t="s">
        <v>573</v>
      </c>
      <c r="D1487" s="2" t="str">
        <f t="shared" si="22"/>
        <v>Error?</v>
      </c>
    </row>
    <row r="1488" spans="1:4" x14ac:dyDescent="0.2">
      <c r="A1488" s="5">
        <v>1427</v>
      </c>
      <c r="B1488" s="138">
        <f>'Expenditures 15-22'!K257</f>
        <v>2049</v>
      </c>
      <c r="C1488" s="2" t="s">
        <v>573</v>
      </c>
      <c r="D1488" s="2" t="str">
        <f t="shared" si="22"/>
        <v>Error?</v>
      </c>
    </row>
    <row r="1489" spans="1:4" x14ac:dyDescent="0.2">
      <c r="A1489" s="5">
        <v>1428</v>
      </c>
      <c r="B1489" s="138">
        <f>'Expenditures 15-22'!K259</f>
        <v>4274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4274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15056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55211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14198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84465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107200</v>
      </c>
      <c r="C1510" s="2" t="s">
        <v>573</v>
      </c>
      <c r="D1510" s="2" t="str">
        <f t="shared" si="22"/>
        <v>Error?</v>
      </c>
    </row>
    <row r="1511" spans="1:4" x14ac:dyDescent="0.2">
      <c r="A1511" s="5">
        <v>1450</v>
      </c>
      <c r="B1511" s="138">
        <f>'Expenditures 15-22'!K280</f>
        <v>13815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247698</v>
      </c>
      <c r="C1517" s="2" t="s">
        <v>573</v>
      </c>
      <c r="D1517" s="2" t="str">
        <f t="shared" si="22"/>
        <v>Error?</v>
      </c>
    </row>
    <row r="1518" spans="1:4" x14ac:dyDescent="0.2">
      <c r="A1518" s="5">
        <v>1457</v>
      </c>
      <c r="B1518" s="138">
        <f>'Expenditures 15-22'!K296</f>
        <v>163068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4240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4240</v>
      </c>
      <c r="C1535" s="2" t="s">
        <v>573</v>
      </c>
      <c r="D1535" s="2" t="str">
        <f t="shared" ref="D1535:D1598" si="23">IF(ISBLANK(B1535),"OK",IF(A1535-B1535=0,"OK","Error?"))</f>
        <v>Error?</v>
      </c>
    </row>
    <row r="1536" spans="1:4" x14ac:dyDescent="0.2">
      <c r="A1536" s="5">
        <v>1475</v>
      </c>
      <c r="B1536" s="138">
        <f>'Expenditures 15-22'!E312</f>
        <v>4240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418637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418637</v>
      </c>
      <c r="C1547" s="2" t="s">
        <v>573</v>
      </c>
      <c r="D1547" s="2" t="str">
        <f t="shared" si="23"/>
        <v>Error?</v>
      </c>
    </row>
    <row r="1548" spans="1:4" x14ac:dyDescent="0.2">
      <c r="A1548" s="5">
        <v>1487</v>
      </c>
      <c r="B1548" s="138">
        <f>'Expenditures 15-22'!G312</f>
        <v>418637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422877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422877</v>
      </c>
      <c r="C1559" s="2" t="s">
        <v>573</v>
      </c>
      <c r="D1559" s="2" t="str">
        <f t="shared" si="23"/>
        <v>Error?</v>
      </c>
    </row>
    <row r="1560" spans="1:4" x14ac:dyDescent="0.2">
      <c r="A1560" s="5">
        <v>1499</v>
      </c>
      <c r="B1560" s="138">
        <f>'Expenditures 15-22'!K312</f>
        <v>422877</v>
      </c>
      <c r="C1560" s="2" t="s">
        <v>573</v>
      </c>
      <c r="D1560" s="2" t="str">
        <f t="shared" si="23"/>
        <v>Error?</v>
      </c>
    </row>
    <row r="1561" spans="1:4" x14ac:dyDescent="0.2">
      <c r="A1561" s="5">
        <v>1500</v>
      </c>
      <c r="B1561" s="138">
        <f>'Expenditures 15-22'!K313</f>
        <v>-421510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1271577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1390272</v>
      </c>
      <c r="C1630" s="2" t="s">
        <v>573</v>
      </c>
      <c r="D1630" s="2" t="str">
        <f t="shared" si="24"/>
        <v>Error?</v>
      </c>
    </row>
    <row r="1631" spans="1:4" x14ac:dyDescent="0.2">
      <c r="A1631" s="5">
        <v>1570</v>
      </c>
      <c r="B1631" s="138">
        <f>'Acct Summary 7-8'!D79</f>
        <v>1214672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967209</v>
      </c>
      <c r="C1644" s="2" t="s">
        <v>573</v>
      </c>
      <c r="D1644" s="2" t="str">
        <f t="shared" si="24"/>
        <v>Error?</v>
      </c>
    </row>
    <row r="1645" spans="1:4" x14ac:dyDescent="0.2">
      <c r="A1645" s="5">
        <v>1584</v>
      </c>
      <c r="B1645" s="138">
        <f>'Acct Summary 7-8'!E79</f>
        <v>260199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272647</v>
      </c>
      <c r="C1658" s="2" t="s">
        <v>573</v>
      </c>
      <c r="D1658" s="2" t="str">
        <f t="shared" si="24"/>
        <v>Error?</v>
      </c>
    </row>
    <row r="1659" spans="1:4" x14ac:dyDescent="0.2">
      <c r="A1659" s="5">
        <v>1598</v>
      </c>
      <c r="B1659" s="138">
        <f>'Acct Summary 7-8'!F79</f>
        <v>521632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531641</v>
      </c>
      <c r="C1672" s="2" t="s">
        <v>573</v>
      </c>
      <c r="D1672" s="2" t="str">
        <f t="shared" si="25"/>
        <v>Error?</v>
      </c>
    </row>
    <row r="1673" spans="1:4" x14ac:dyDescent="0.2">
      <c r="A1673" s="5">
        <v>1612</v>
      </c>
      <c r="B1673" s="138">
        <f>'Acct Summary 7-8'!G79</f>
        <v>539733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702801</v>
      </c>
      <c r="C1686" s="2" t="s">
        <v>573</v>
      </c>
      <c r="D1686" s="2" t="str">
        <f t="shared" si="25"/>
        <v>Error?</v>
      </c>
    </row>
    <row r="1687" spans="1:4" x14ac:dyDescent="0.2">
      <c r="A1687" s="5">
        <v>1626</v>
      </c>
      <c r="B1687" s="138">
        <f>'Acct Summary 7-8'!H79</f>
        <v>94796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173786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3949864</v>
      </c>
      <c r="C1744" s="2" t="s">
        <v>573</v>
      </c>
      <c r="D1744" s="2" t="str">
        <f t="shared" si="26"/>
        <v>Error?</v>
      </c>
    </row>
    <row r="1745" spans="1:5" x14ac:dyDescent="0.2">
      <c r="A1745" s="5">
        <v>1684</v>
      </c>
      <c r="B1745" s="138">
        <f>'Tax Sched 23'!B5</f>
        <v>628957</v>
      </c>
      <c r="C1745" s="2" t="s">
        <v>573</v>
      </c>
      <c r="D1745" s="2" t="str">
        <f t="shared" si="26"/>
        <v>Error?</v>
      </c>
    </row>
    <row r="1746" spans="1:5" x14ac:dyDescent="0.2">
      <c r="A1746" s="5">
        <v>1685</v>
      </c>
      <c r="B1746" s="138">
        <f>'Tax Sched 23'!B6</f>
        <v>768083</v>
      </c>
      <c r="C1746" s="2" t="s">
        <v>573</v>
      </c>
      <c r="D1746" s="2" t="str">
        <f t="shared" si="26"/>
        <v>Error?</v>
      </c>
    </row>
    <row r="1747" spans="1:5" x14ac:dyDescent="0.2">
      <c r="A1747" s="5">
        <v>1686</v>
      </c>
      <c r="B1747" s="138">
        <f>'Tax Sched 23'!B7</f>
        <v>301902</v>
      </c>
      <c r="C1747" s="2" t="s">
        <v>573</v>
      </c>
      <c r="D1747" s="2" t="str">
        <f t="shared" si="26"/>
        <v>Error?</v>
      </c>
    </row>
    <row r="1748" spans="1:5" x14ac:dyDescent="0.2">
      <c r="A1748" s="5">
        <v>1687</v>
      </c>
      <c r="B1748" s="138">
        <f>'Tax Sched 23'!B8</f>
        <v>204200</v>
      </c>
      <c r="C1748" s="2" t="s">
        <v>573</v>
      </c>
      <c r="D1748" s="2" t="str">
        <f t="shared" si="26"/>
        <v>Error?</v>
      </c>
    </row>
    <row r="1749" spans="1:5" x14ac:dyDescent="0.2">
      <c r="A1749" s="5">
        <v>1688</v>
      </c>
      <c r="B1749" s="138">
        <f>'Tax Sched 23'!B10</f>
        <v>125789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739991</v>
      </c>
      <c r="C1752" s="2" t="s">
        <v>573</v>
      </c>
      <c r="D1752" s="2" t="str">
        <f t="shared" si="26"/>
        <v>Error?</v>
      </c>
    </row>
    <row r="1753" spans="1:5" x14ac:dyDescent="0.2">
      <c r="A1753" s="5">
        <v>1692</v>
      </c>
      <c r="B1753" s="138">
        <f>'Tax Sched 23'!B12</f>
        <v>125789</v>
      </c>
      <c r="C1753" s="2" t="s">
        <v>573</v>
      </c>
      <c r="D1753" s="2" t="str">
        <f t="shared" si="26"/>
        <v>Error?</v>
      </c>
    </row>
    <row r="1754" spans="1:5" x14ac:dyDescent="0.2">
      <c r="A1754" s="5">
        <v>1693</v>
      </c>
      <c r="B1754" s="138">
        <f>'Tax Sched 23'!B14</f>
        <v>50317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7187003</v>
      </c>
      <c r="C1759" s="2" t="s">
        <v>573</v>
      </c>
      <c r="D1759" s="2" t="str">
        <f t="shared" si="26"/>
        <v>Error?</v>
      </c>
    </row>
    <row r="1760" spans="1:5" x14ac:dyDescent="0.2">
      <c r="A1760" s="5">
        <v>1699</v>
      </c>
      <c r="B1760" s="138">
        <f>'Tax Sched 23'!D4</f>
        <v>2797371</v>
      </c>
      <c r="C1760" s="2" t="s">
        <v>573</v>
      </c>
      <c r="D1760" s="2" t="str">
        <f t="shared" si="26"/>
        <v>Error?</v>
      </c>
    </row>
    <row r="1761" spans="1:5" x14ac:dyDescent="0.2">
      <c r="A1761" s="5">
        <v>1700</v>
      </c>
      <c r="B1761" s="138">
        <f>'Tax Sched 23'!D5</f>
        <v>445439</v>
      </c>
      <c r="C1761" s="2" t="s">
        <v>573</v>
      </c>
      <c r="D1761" s="2" t="str">
        <f t="shared" si="26"/>
        <v>Error?</v>
      </c>
    </row>
    <row r="1762" spans="1:5" s="8" customFormat="1" x14ac:dyDescent="0.2">
      <c r="A1762" s="5">
        <v>1701</v>
      </c>
      <c r="B1762" s="138">
        <f>'Tax Sched 23'!D6</f>
        <v>546466</v>
      </c>
      <c r="C1762" s="2" t="s">
        <v>573</v>
      </c>
      <c r="D1762" s="2" t="str">
        <f t="shared" si="26"/>
        <v>Error?</v>
      </c>
      <c r="E1762" s="9"/>
    </row>
    <row r="1763" spans="1:5" x14ac:dyDescent="0.2">
      <c r="A1763" s="5">
        <v>1702</v>
      </c>
      <c r="B1763" s="138">
        <f>'Tax Sched 23'!D7</f>
        <v>213813</v>
      </c>
      <c r="C1763" s="2" t="s">
        <v>573</v>
      </c>
      <c r="D1763" s="2" t="str">
        <f t="shared" si="26"/>
        <v>Error?</v>
      </c>
    </row>
    <row r="1764" spans="1:5" x14ac:dyDescent="0.2">
      <c r="A1764" s="5">
        <v>1703</v>
      </c>
      <c r="B1764" s="138">
        <f>'Tax Sched 23'!D8</f>
        <v>143786</v>
      </c>
      <c r="C1764" s="2" t="s">
        <v>573</v>
      </c>
      <c r="D1764" s="2" t="str">
        <f t="shared" si="26"/>
        <v>Error?</v>
      </c>
    </row>
    <row r="1765" spans="1:5" x14ac:dyDescent="0.2">
      <c r="A1765" s="5">
        <v>1704</v>
      </c>
      <c r="B1765" s="138">
        <f>'Tax Sched 23'!D10</f>
        <v>89086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521163</v>
      </c>
      <c r="C1768" s="2" t="s">
        <v>573</v>
      </c>
      <c r="D1768" s="2" t="str">
        <f t="shared" si="26"/>
        <v>Error?</v>
      </c>
    </row>
    <row r="1769" spans="1:5" x14ac:dyDescent="0.2">
      <c r="A1769" s="5">
        <v>1708</v>
      </c>
      <c r="B1769" s="138">
        <f>'Tax Sched 23'!D12</f>
        <v>89086</v>
      </c>
      <c r="C1769" s="2" t="s">
        <v>573</v>
      </c>
      <c r="D1769" s="2" t="str">
        <f t="shared" si="26"/>
        <v>Error?</v>
      </c>
    </row>
    <row r="1770" spans="1:5" x14ac:dyDescent="0.2">
      <c r="A1770" s="5">
        <v>1709</v>
      </c>
      <c r="B1770" s="138">
        <f>'Tax Sched 23'!D14</f>
        <v>35637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5087997</v>
      </c>
      <c r="C1775" s="2" t="s">
        <v>573</v>
      </c>
      <c r="D1775" s="2" t="str">
        <f t="shared" si="26"/>
        <v>Error?</v>
      </c>
    </row>
    <row r="1776" spans="1:5" x14ac:dyDescent="0.2">
      <c r="A1776" s="5">
        <v>1715</v>
      </c>
      <c r="B1776" s="138">
        <f>'Tax Sched 23'!C4</f>
        <v>1152493</v>
      </c>
      <c r="D1776" s="2" t="str">
        <f t="shared" si="26"/>
        <v>Error?</v>
      </c>
    </row>
    <row r="1777" spans="1:4" x14ac:dyDescent="0.2">
      <c r="A1777" s="5">
        <v>1716</v>
      </c>
      <c r="B1777" s="138">
        <f>'Tax Sched 23'!C5</f>
        <v>183518</v>
      </c>
      <c r="D1777" s="2" t="str">
        <f t="shared" si="26"/>
        <v>Error?</v>
      </c>
    </row>
    <row r="1778" spans="1:4" x14ac:dyDescent="0.2">
      <c r="A1778" s="5">
        <v>1717</v>
      </c>
      <c r="B1778" s="138">
        <f>'Tax Sched 23'!C6</f>
        <v>221617</v>
      </c>
      <c r="D1778" s="2" t="str">
        <f t="shared" si="26"/>
        <v>Error?</v>
      </c>
    </row>
    <row r="1779" spans="1:4" x14ac:dyDescent="0.2">
      <c r="A1779" s="5">
        <v>1718</v>
      </c>
      <c r="B1779" s="138">
        <f>'Tax Sched 23'!C7</f>
        <v>88089</v>
      </c>
      <c r="D1779" s="2" t="str">
        <f t="shared" si="26"/>
        <v>Error?</v>
      </c>
    </row>
    <row r="1780" spans="1:4" x14ac:dyDescent="0.2">
      <c r="A1780" s="5">
        <v>1719</v>
      </c>
      <c r="B1780" s="138">
        <f>'Tax Sched 23'!C8</f>
        <v>60414</v>
      </c>
      <c r="D1780" s="2" t="str">
        <f t="shared" si="26"/>
        <v>Error?</v>
      </c>
    </row>
    <row r="1781" spans="1:4" x14ac:dyDescent="0.2">
      <c r="A1781" s="5">
        <v>1720</v>
      </c>
      <c r="B1781" s="138">
        <f>'Tax Sched 23'!C10</f>
        <v>36703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218828</v>
      </c>
      <c r="D1784" s="2" t="str">
        <f t="shared" si="26"/>
        <v>Error?</v>
      </c>
    </row>
    <row r="1785" spans="1:4" x14ac:dyDescent="0.2">
      <c r="A1785" s="5">
        <v>1724</v>
      </c>
      <c r="B1785" s="138">
        <f>'Tax Sched 23'!C12</f>
        <v>36703</v>
      </c>
      <c r="D1785" s="2" t="str">
        <f t="shared" si="26"/>
        <v>Error?</v>
      </c>
    </row>
    <row r="1786" spans="1:4" x14ac:dyDescent="0.2">
      <c r="A1786" s="5">
        <v>1725</v>
      </c>
      <c r="B1786" s="138">
        <f>'Tax Sched 23'!C14</f>
        <v>14680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2099006</v>
      </c>
      <c r="C1791" s="2" t="s">
        <v>573</v>
      </c>
      <c r="D1791" s="2" t="str">
        <f t="shared" ref="D1791:D1854" si="27">IF(ISBLANK(B1791),"OK",IF(A1791-B1791=0,"OK","Error?"))</f>
        <v>Error?</v>
      </c>
    </row>
    <row r="1792" spans="1:4" x14ac:dyDescent="0.2">
      <c r="A1792" s="5">
        <v>1731</v>
      </c>
      <c r="B1792" s="138">
        <f>'Tax Sched 23'!F4</f>
        <v>2797111</v>
      </c>
      <c r="C1792" s="2" t="s">
        <v>573</v>
      </c>
      <c r="D1792" s="2" t="str">
        <f t="shared" si="27"/>
        <v>Error?</v>
      </c>
    </row>
    <row r="1793" spans="1:4" x14ac:dyDescent="0.2">
      <c r="A1793" s="5">
        <v>1732</v>
      </c>
      <c r="B1793" s="138">
        <f>'Tax Sched 23'!F5</f>
        <v>445400</v>
      </c>
      <c r="C1793" s="2" t="s">
        <v>573</v>
      </c>
      <c r="D1793" s="2" t="str">
        <f t="shared" si="27"/>
        <v>Error?</v>
      </c>
    </row>
    <row r="1794" spans="1:4" x14ac:dyDescent="0.2">
      <c r="A1794" s="5">
        <v>1733</v>
      </c>
      <c r="B1794" s="138">
        <f>'Tax Sched 23'!F6</f>
        <v>537864</v>
      </c>
      <c r="C1794" s="2" t="s">
        <v>573</v>
      </c>
      <c r="D1794" s="2" t="str">
        <f t="shared" si="27"/>
        <v>Error?</v>
      </c>
    </row>
    <row r="1795" spans="1:4" x14ac:dyDescent="0.2">
      <c r="A1795" s="5">
        <v>1734</v>
      </c>
      <c r="B1795" s="138">
        <f>'Tax Sched 23'!F7</f>
        <v>213792</v>
      </c>
      <c r="C1795" s="2" t="s">
        <v>573</v>
      </c>
      <c r="D1795" s="2" t="str">
        <f t="shared" si="27"/>
        <v>Error?</v>
      </c>
    </row>
    <row r="1796" spans="1:4" x14ac:dyDescent="0.2">
      <c r="A1796" s="5">
        <v>1735</v>
      </c>
      <c r="B1796" s="138">
        <f>'Tax Sched 23'!F8</f>
        <v>146626</v>
      </c>
      <c r="C1796" s="2" t="s">
        <v>573</v>
      </c>
      <c r="D1796" s="2" t="str">
        <f t="shared" si="27"/>
        <v>Error?</v>
      </c>
    </row>
    <row r="1797" spans="1:4" x14ac:dyDescent="0.2">
      <c r="A1797" s="5">
        <v>1736</v>
      </c>
      <c r="B1797" s="138">
        <f>'Tax Sched 23'!F10</f>
        <v>89081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531094</v>
      </c>
      <c r="C1800" s="2" t="s">
        <v>573</v>
      </c>
      <c r="D1800" s="2" t="str">
        <f t="shared" si="27"/>
        <v>Error?</v>
      </c>
    </row>
    <row r="1801" spans="1:4" x14ac:dyDescent="0.2">
      <c r="A1801" s="5">
        <v>1740</v>
      </c>
      <c r="B1801" s="138">
        <f>'Tax Sched 23'!F12</f>
        <v>89081</v>
      </c>
      <c r="C1801" s="2" t="s">
        <v>573</v>
      </c>
      <c r="D1801" s="2" t="str">
        <f t="shared" si="27"/>
        <v>Error?</v>
      </c>
    </row>
    <row r="1802" spans="1:4" x14ac:dyDescent="0.2">
      <c r="A1802" s="5">
        <v>1741</v>
      </c>
      <c r="B1802" s="138">
        <f>'Tax Sched 23'!F14</f>
        <v>35633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5094306</v>
      </c>
      <c r="C1807" s="2" t="s">
        <v>573</v>
      </c>
      <c r="D1807" s="2" t="str">
        <f t="shared" si="27"/>
        <v>Error?</v>
      </c>
    </row>
    <row r="1808" spans="1:4" x14ac:dyDescent="0.2">
      <c r="A1808" s="5">
        <v>1747</v>
      </c>
      <c r="B1808" s="138">
        <f>'Tax Sched 23'!E4</f>
        <v>3949604</v>
      </c>
      <c r="D1808" s="2" t="str">
        <f t="shared" si="27"/>
        <v>Error?</v>
      </c>
    </row>
    <row r="1809" spans="1:4" x14ac:dyDescent="0.2">
      <c r="A1809" s="5">
        <v>1748</v>
      </c>
      <c r="B1809" s="138">
        <f>'Tax Sched 23'!E5</f>
        <v>628918</v>
      </c>
      <c r="D1809" s="2" t="str">
        <f t="shared" si="27"/>
        <v>Error?</v>
      </c>
    </row>
    <row r="1810" spans="1:4" x14ac:dyDescent="0.2">
      <c r="A1810" s="5">
        <v>1749</v>
      </c>
      <c r="B1810" s="138">
        <f>'Tax Sched 23'!E6</f>
        <v>759481</v>
      </c>
      <c r="D1810" s="2" t="str">
        <f t="shared" si="27"/>
        <v>Error?</v>
      </c>
    </row>
    <row r="1811" spans="1:4" x14ac:dyDescent="0.2">
      <c r="A1811" s="5">
        <v>1750</v>
      </c>
      <c r="B1811" s="138">
        <f>'Tax Sched 23'!E7</f>
        <v>301881</v>
      </c>
      <c r="D1811" s="2" t="str">
        <f t="shared" si="27"/>
        <v>Error?</v>
      </c>
    </row>
    <row r="1812" spans="1:4" x14ac:dyDescent="0.2">
      <c r="A1812" s="5">
        <v>1751</v>
      </c>
      <c r="B1812" s="138">
        <f>'Tax Sched 23'!E8</f>
        <v>207040</v>
      </c>
      <c r="D1812" s="2" t="str">
        <f t="shared" si="27"/>
        <v>Error?</v>
      </c>
    </row>
    <row r="1813" spans="1:4" x14ac:dyDescent="0.2">
      <c r="A1813" s="5">
        <v>1752</v>
      </c>
      <c r="B1813" s="138">
        <f>'Tax Sched 23'!E10</f>
        <v>125784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749922</v>
      </c>
      <c r="D1816" s="2" t="str">
        <f t="shared" si="27"/>
        <v>Error?</v>
      </c>
    </row>
    <row r="1817" spans="1:4" x14ac:dyDescent="0.2">
      <c r="A1817" s="5">
        <v>1756</v>
      </c>
      <c r="B1817" s="138">
        <f>'Tax Sched 23'!E12</f>
        <v>125784</v>
      </c>
      <c r="D1817" s="2" t="str">
        <f t="shared" si="27"/>
        <v>Error?</v>
      </c>
    </row>
    <row r="1818" spans="1:4" x14ac:dyDescent="0.2">
      <c r="A1818" s="5">
        <v>1757</v>
      </c>
      <c r="B1818" s="138">
        <f>'Tax Sched 23'!E14</f>
        <v>50313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7193312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1515233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50317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50317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50317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60065</v>
      </c>
      <c r="D2008" s="2" t="str">
        <f t="shared" si="30"/>
        <v>Error?</v>
      </c>
    </row>
    <row r="2009" spans="1:4" x14ac:dyDescent="0.2">
      <c r="A2009" s="5">
        <v>1948</v>
      </c>
      <c r="B2009" s="138">
        <f>'Cap Outlay Deprec 26'!C8</f>
        <v>13219824</v>
      </c>
      <c r="D2009" s="2" t="str">
        <f t="shared" si="30"/>
        <v>Error?</v>
      </c>
    </row>
    <row r="2010" spans="1:4" x14ac:dyDescent="0.2">
      <c r="A2010" s="5">
        <v>1949</v>
      </c>
      <c r="B2010" s="138">
        <f>'Cap Outlay Deprec 26'!C10</f>
        <v>108569</v>
      </c>
      <c r="D2010" s="2" t="str">
        <f t="shared" si="30"/>
        <v>Error?</v>
      </c>
    </row>
    <row r="2011" spans="1:4" x14ac:dyDescent="0.2">
      <c r="A2011" s="5">
        <v>1950</v>
      </c>
      <c r="B2011" s="138">
        <f>'Cap Outlay Deprec 26'!C12</f>
        <v>564180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13952638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318863</v>
      </c>
      <c r="D2016" s="2" t="str">
        <f t="shared" si="30"/>
        <v>Error?</v>
      </c>
    </row>
    <row r="2017" spans="1:4" x14ac:dyDescent="0.2">
      <c r="A2017" s="5">
        <v>1956</v>
      </c>
      <c r="B2017" s="138">
        <f>'Cap Outlay Deprec 26'!D12</f>
        <v>215692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534555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93890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93890</v>
      </c>
      <c r="C2025" s="2" t="s">
        <v>573</v>
      </c>
      <c r="D2025" s="2" t="str">
        <f t="shared" si="30"/>
        <v>Error?</v>
      </c>
    </row>
    <row r="2026" spans="1:4" x14ac:dyDescent="0.2">
      <c r="A2026" s="5">
        <v>1965</v>
      </c>
      <c r="B2026" s="138">
        <f>'Cap Outlay Deprec 26'!F5</f>
        <v>60065</v>
      </c>
      <c r="C2026" s="2" t="s">
        <v>573</v>
      </c>
      <c r="D2026" s="2" t="str">
        <f t="shared" si="30"/>
        <v>Error?</v>
      </c>
    </row>
    <row r="2027" spans="1:4" x14ac:dyDescent="0.2">
      <c r="A2027" s="5">
        <v>1966</v>
      </c>
      <c r="B2027" s="138">
        <f>'Cap Outlay Deprec 26'!F8</f>
        <v>13219824</v>
      </c>
      <c r="C2027" s="2" t="s">
        <v>573</v>
      </c>
      <c r="D2027" s="2" t="str">
        <f t="shared" si="30"/>
        <v>Error?</v>
      </c>
    </row>
    <row r="2028" spans="1:4" x14ac:dyDescent="0.2">
      <c r="A2028" s="5">
        <v>1967</v>
      </c>
      <c r="B2028" s="138">
        <f>'Cap Outlay Deprec 26'!F10</f>
        <v>427432</v>
      </c>
      <c r="C2028" s="2" t="s">
        <v>573</v>
      </c>
      <c r="D2028" s="2" t="str">
        <f t="shared" si="30"/>
        <v>Error?</v>
      </c>
    </row>
    <row r="2029" spans="1:4" x14ac:dyDescent="0.2">
      <c r="A2029" s="5">
        <v>1968</v>
      </c>
      <c r="B2029" s="138">
        <f>'Cap Outlay Deprec 26'!F12</f>
        <v>685982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14393303</v>
      </c>
      <c r="C2031" s="2" t="s">
        <v>573</v>
      </c>
      <c r="D2031" s="2" t="str">
        <f t="shared" si="30"/>
        <v>Error?</v>
      </c>
    </row>
    <row r="2032" spans="1:4" x14ac:dyDescent="0.2">
      <c r="A2032" s="10">
        <v>1971</v>
      </c>
      <c r="D2032" s="2" t="str">
        <f t="shared" si="30"/>
        <v>OK</v>
      </c>
    </row>
    <row r="2033" spans="1:4" x14ac:dyDescent="0.2">
      <c r="A2033" s="5">
        <v>1972</v>
      </c>
      <c r="B2033" s="138">
        <f>'Cap Outlay Deprec 26'!H8</f>
        <v>4785706</v>
      </c>
      <c r="D2033" s="2" t="str">
        <f t="shared" si="30"/>
        <v>Error?</v>
      </c>
    </row>
    <row r="2034" spans="1:4" x14ac:dyDescent="0.2">
      <c r="A2034" s="5">
        <v>1973</v>
      </c>
      <c r="B2034" s="138">
        <f>'Cap Outlay Deprec 26'!H10</f>
        <v>99598</v>
      </c>
      <c r="D2034" s="2" t="str">
        <f t="shared" si="30"/>
        <v>Error?</v>
      </c>
    </row>
    <row r="2035" spans="1:4" x14ac:dyDescent="0.2">
      <c r="A2035" s="5">
        <v>1974</v>
      </c>
      <c r="B2035" s="138">
        <f>'Cap Outlay Deprec 26'!H12</f>
        <v>398245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5283549</v>
      </c>
      <c r="C2037" s="2" t="s">
        <v>573</v>
      </c>
      <c r="D2037" s="2" t="str">
        <f t="shared" si="30"/>
        <v>Error?</v>
      </c>
    </row>
    <row r="2038" spans="1:4" x14ac:dyDescent="0.2">
      <c r="A2038" s="10">
        <v>1977</v>
      </c>
      <c r="D2038" s="2" t="str">
        <f t="shared" si="30"/>
        <v>OK</v>
      </c>
    </row>
    <row r="2039" spans="1:4" x14ac:dyDescent="0.2">
      <c r="A2039" s="5">
        <v>1978</v>
      </c>
      <c r="B2039" s="138">
        <f>'Cap Outlay Deprec 26'!I8</f>
        <v>242395</v>
      </c>
      <c r="D2039" s="2" t="str">
        <f t="shared" si="30"/>
        <v>Error?</v>
      </c>
    </row>
    <row r="2040" spans="1:4" x14ac:dyDescent="0.2">
      <c r="A2040" s="5">
        <v>1979</v>
      </c>
      <c r="B2040" s="138">
        <f>'Cap Outlay Deprec 26'!I10</f>
        <v>18613</v>
      </c>
      <c r="D2040" s="2" t="str">
        <f t="shared" si="30"/>
        <v>Error?</v>
      </c>
    </row>
    <row r="2041" spans="1:4" x14ac:dyDescent="0.2">
      <c r="A2041" s="5">
        <v>1980</v>
      </c>
      <c r="B2041" s="138">
        <f>'Cap Outlay Deprec 26'!I12</f>
        <v>78287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339295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93890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93890</v>
      </c>
      <c r="C2049" s="2" t="s">
        <v>573</v>
      </c>
      <c r="D2049" s="2" t="str">
        <f t="shared" si="31"/>
        <v>Error?</v>
      </c>
    </row>
    <row r="2050" spans="1:4" x14ac:dyDescent="0.2">
      <c r="A2050" s="10">
        <v>1989</v>
      </c>
      <c r="D2050" s="2" t="str">
        <f t="shared" si="31"/>
        <v>OK</v>
      </c>
    </row>
    <row r="2051" spans="1:4" x14ac:dyDescent="0.2">
      <c r="A2051" s="5">
        <v>1990</v>
      </c>
      <c r="B2051" s="138">
        <f>'Cap Outlay Deprec 26'!K8</f>
        <v>5028101</v>
      </c>
      <c r="C2051" s="2" t="s">
        <v>573</v>
      </c>
      <c r="D2051" s="2" t="str">
        <f t="shared" si="31"/>
        <v>Error?</v>
      </c>
    </row>
    <row r="2052" spans="1:4" x14ac:dyDescent="0.2">
      <c r="A2052" s="5">
        <v>1991</v>
      </c>
      <c r="B2052" s="138">
        <f>'Cap Outlay Deprec 26'!K10</f>
        <v>118211</v>
      </c>
      <c r="C2052" s="2" t="s">
        <v>573</v>
      </c>
      <c r="D2052" s="2" t="str">
        <f t="shared" si="31"/>
        <v>Error?</v>
      </c>
    </row>
    <row r="2053" spans="1:4" x14ac:dyDescent="0.2">
      <c r="A2053" s="5">
        <v>1992</v>
      </c>
      <c r="B2053" s="138">
        <f>'Cap Outlay Deprec 26'!K12</f>
        <v>382642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5528954</v>
      </c>
      <c r="C2055" s="2" t="s">
        <v>573</v>
      </c>
      <c r="D2055" s="2" t="str">
        <f t="shared" si="31"/>
        <v>Error?</v>
      </c>
    </row>
    <row r="2056" spans="1:4" x14ac:dyDescent="0.2">
      <c r="A2056" s="5">
        <v>1995</v>
      </c>
      <c r="B2056" s="138">
        <f>'Cap Outlay Deprec 26'!L5</f>
        <v>60065</v>
      </c>
      <c r="C2056" s="2" t="s">
        <v>573</v>
      </c>
      <c r="D2056" s="2" t="str">
        <f t="shared" si="31"/>
        <v>Error?</v>
      </c>
    </row>
    <row r="2057" spans="1:4" x14ac:dyDescent="0.2">
      <c r="A2057" s="5">
        <v>1996</v>
      </c>
      <c r="B2057" s="138">
        <f>'Cap Outlay Deprec 26'!L8</f>
        <v>8191723</v>
      </c>
      <c r="C2057" s="2" t="s">
        <v>573</v>
      </c>
      <c r="D2057" s="2" t="str">
        <f t="shared" si="31"/>
        <v>Error?</v>
      </c>
    </row>
    <row r="2058" spans="1:4" x14ac:dyDescent="0.2">
      <c r="A2058" s="5">
        <v>1997</v>
      </c>
      <c r="B2058" s="138">
        <f>'Cap Outlay Deprec 26'!L10</f>
        <v>309221</v>
      </c>
      <c r="C2058" s="2" t="s">
        <v>573</v>
      </c>
      <c r="D2058" s="2" t="str">
        <f t="shared" si="31"/>
        <v>Error?</v>
      </c>
    </row>
    <row r="2059" spans="1:4" x14ac:dyDescent="0.2">
      <c r="A2059" s="5">
        <v>1998</v>
      </c>
      <c r="B2059" s="138">
        <f>'Cap Outlay Deprec 26'!L12</f>
        <v>303340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8864349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468954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498834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300500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328893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4605980</v>
      </c>
      <c r="C2551" s="2" t="s">
        <v>573</v>
      </c>
      <c r="D2551" s="2" t="str">
        <f t="shared" si="38"/>
        <v>Error?</v>
      </c>
    </row>
    <row r="2552" spans="1:4" x14ac:dyDescent="0.2">
      <c r="A2552" s="10">
        <v>2491</v>
      </c>
      <c r="D2552" s="2" t="str">
        <f t="shared" si="38"/>
        <v>OK</v>
      </c>
    </row>
    <row r="2553" spans="1:4" x14ac:dyDescent="0.2">
      <c r="A2553" s="5">
        <v>2492</v>
      </c>
      <c r="B2553" s="138">
        <f>'Acct Summary 7-8'!C6</f>
        <v>1089049</v>
      </c>
      <c r="C2553" s="2" t="s">
        <v>573</v>
      </c>
      <c r="D2553" s="2" t="str">
        <f t="shared" si="38"/>
        <v>Error?</v>
      </c>
    </row>
    <row r="2554" spans="1:4" x14ac:dyDescent="0.2">
      <c r="A2554" s="5">
        <v>2493</v>
      </c>
      <c r="B2554" s="138">
        <f>'Acct Summary 7-8'!C7</f>
        <v>555878</v>
      </c>
      <c r="C2554" s="2" t="s">
        <v>573</v>
      </c>
      <c r="D2554" s="2" t="str">
        <f t="shared" si="38"/>
        <v>Error?</v>
      </c>
    </row>
    <row r="2555" spans="1:4" x14ac:dyDescent="0.2">
      <c r="A2555" s="5">
        <v>2494</v>
      </c>
      <c r="B2555" s="138">
        <f>'Acct Summary 7-8'!C8</f>
        <v>6250907</v>
      </c>
      <c r="C2555" s="2" t="s">
        <v>573</v>
      </c>
      <c r="D2555" s="2" t="str">
        <f t="shared" si="38"/>
        <v>Error?</v>
      </c>
    </row>
    <row r="2556" spans="1:4" x14ac:dyDescent="0.2">
      <c r="A2556" s="5">
        <v>2495</v>
      </c>
      <c r="B2556" s="138">
        <f>'Acct Summary 7-8'!C12</f>
        <v>4202973</v>
      </c>
      <c r="C2556" s="2" t="s">
        <v>573</v>
      </c>
      <c r="D2556" s="2" t="str">
        <f t="shared" si="38"/>
        <v>Error?</v>
      </c>
    </row>
    <row r="2557" spans="1:4" x14ac:dyDescent="0.2">
      <c r="A2557" s="5">
        <v>2496</v>
      </c>
      <c r="B2557" s="138">
        <f>'Acct Summary 7-8'!C13</f>
        <v>1294286</v>
      </c>
      <c r="C2557" s="2" t="s">
        <v>573</v>
      </c>
      <c r="D2557" s="2" t="str">
        <f t="shared" si="38"/>
        <v>Error?</v>
      </c>
    </row>
    <row r="2558" spans="1:4" x14ac:dyDescent="0.2">
      <c r="A2558" s="5">
        <v>2497</v>
      </c>
      <c r="B2558" s="138">
        <f>'Acct Summary 7-8'!C14</f>
        <v>117476</v>
      </c>
      <c r="C2558" s="2" t="s">
        <v>573</v>
      </c>
      <c r="D2558" s="2" t="str">
        <f t="shared" si="38"/>
        <v>Error?</v>
      </c>
    </row>
    <row r="2559" spans="1:4" x14ac:dyDescent="0.2">
      <c r="A2559" s="5">
        <v>2498</v>
      </c>
      <c r="B2559" s="138">
        <f>'Acct Summary 7-8'!C15</f>
        <v>498834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6113569</v>
      </c>
      <c r="C2561" s="2" t="s">
        <v>573</v>
      </c>
      <c r="D2561" s="2" t="str">
        <f t="shared" si="39"/>
        <v>Error?</v>
      </c>
    </row>
    <row r="2562" spans="1:4" x14ac:dyDescent="0.2">
      <c r="A2562" s="5">
        <v>2501</v>
      </c>
      <c r="B2562" s="138">
        <f>'Acct Summary 7-8'!C20</f>
        <v>137338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707281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707281</v>
      </c>
      <c r="C2568" s="2" t="s">
        <v>573</v>
      </c>
      <c r="D2568" s="2" t="str">
        <f t="shared" si="39"/>
        <v>Error?</v>
      </c>
    </row>
    <row r="2569" spans="1:4" x14ac:dyDescent="0.2">
      <c r="A2569" s="5">
        <v>2508</v>
      </c>
      <c r="B2569" s="138">
        <f>'Acct Summary 7-8'!D13</f>
        <v>754744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754744</v>
      </c>
      <c r="C2573" s="2" t="s">
        <v>573</v>
      </c>
      <c r="D2573" s="2" t="str">
        <f t="shared" si="39"/>
        <v>Error?</v>
      </c>
    </row>
    <row r="2574" spans="1:4" x14ac:dyDescent="0.2">
      <c r="A2574" s="5">
        <v>2513</v>
      </c>
      <c r="B2574" s="138">
        <f>'Acct Summary 7-8'!D20</f>
        <v>-47463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305458</v>
      </c>
      <c r="C2591" s="2" t="s">
        <v>573</v>
      </c>
      <c r="D2591" s="2" t="str">
        <f t="shared" si="39"/>
        <v>Error?</v>
      </c>
    </row>
    <row r="2592" spans="1:4" x14ac:dyDescent="0.2">
      <c r="A2592" s="10">
        <v>2531</v>
      </c>
      <c r="D2592" s="2" t="str">
        <f t="shared" si="39"/>
        <v>OK</v>
      </c>
    </row>
    <row r="2593" spans="1:4" x14ac:dyDescent="0.2">
      <c r="A2593" s="5">
        <v>2532</v>
      </c>
      <c r="B2593" s="138">
        <f>'Acct Summary 7-8'!F6</f>
        <v>155898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461356</v>
      </c>
      <c r="C2595" s="2" t="s">
        <v>573</v>
      </c>
      <c r="D2595" s="2" t="str">
        <f t="shared" si="39"/>
        <v>Error?</v>
      </c>
    </row>
    <row r="2596" spans="1:4" x14ac:dyDescent="0.2">
      <c r="A2596" s="5">
        <v>2535</v>
      </c>
      <c r="B2596" s="138">
        <f>'Acct Summary 7-8'!F13</f>
        <v>451347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451347</v>
      </c>
      <c r="C2600" s="2" t="s">
        <v>573</v>
      </c>
      <c r="D2600" s="2" t="str">
        <f t="shared" si="39"/>
        <v>Error?</v>
      </c>
    </row>
    <row r="2601" spans="1:4" x14ac:dyDescent="0.2">
      <c r="A2601" s="5">
        <v>2540</v>
      </c>
      <c r="B2601" s="138">
        <f>'Acct Summary 7-8'!F20</f>
        <v>10009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410766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410766</v>
      </c>
      <c r="C2606" s="2" t="s">
        <v>573</v>
      </c>
      <c r="D2606" s="2" t="str">
        <f t="shared" si="39"/>
        <v>Error?</v>
      </c>
    </row>
    <row r="2607" spans="1:4" x14ac:dyDescent="0.2">
      <c r="A2607" s="5">
        <v>2546</v>
      </c>
      <c r="B2607" s="138">
        <f>'Acct Summary 7-8'!G12</f>
        <v>126449</v>
      </c>
      <c r="C2607" s="2" t="s">
        <v>573</v>
      </c>
      <c r="D2607" s="2" t="str">
        <f t="shared" si="39"/>
        <v>Error?</v>
      </c>
    </row>
    <row r="2608" spans="1:4" x14ac:dyDescent="0.2">
      <c r="A2608" s="5">
        <v>2547</v>
      </c>
      <c r="B2608" s="138">
        <f>'Acct Summary 7-8'!G13</f>
        <v>107200</v>
      </c>
      <c r="C2608" s="2" t="s">
        <v>573</v>
      </c>
      <c r="D2608" s="2" t="str">
        <f t="shared" si="39"/>
        <v>Error?</v>
      </c>
    </row>
    <row r="2609" spans="1:4" x14ac:dyDescent="0.2">
      <c r="A2609" s="5">
        <v>2548</v>
      </c>
      <c r="B2609" s="138">
        <f>'Acct Summary 7-8'!G14</f>
        <v>13815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247698</v>
      </c>
      <c r="C2612" s="2" t="s">
        <v>573</v>
      </c>
      <c r="D2612" s="2" t="str">
        <f t="shared" si="39"/>
        <v>Error?</v>
      </c>
    </row>
    <row r="2613" spans="1:4" x14ac:dyDescent="0.2">
      <c r="A2613" s="5">
        <v>2552</v>
      </c>
      <c r="B2613" s="138">
        <f>'Acct Summary 7-8'!G20</f>
        <v>163068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769268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769268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775463</v>
      </c>
      <c r="C2634" s="2" t="s">
        <v>573</v>
      </c>
      <c r="D2634" s="2" t="str">
        <f t="shared" si="40"/>
        <v>Error?</v>
      </c>
    </row>
    <row r="2635" spans="1:4" x14ac:dyDescent="0.2">
      <c r="A2635" s="5">
        <v>2574</v>
      </c>
      <c r="B2635" s="138">
        <f>'Acct Summary 7-8'!E17</f>
        <v>775463</v>
      </c>
      <c r="C2635" s="2" t="s">
        <v>573</v>
      </c>
      <c r="D2635" s="2" t="str">
        <f t="shared" si="40"/>
        <v>Error?</v>
      </c>
    </row>
    <row r="2636" spans="1:4" x14ac:dyDescent="0.2">
      <c r="A2636" s="5">
        <v>2575</v>
      </c>
      <c r="B2636" s="138">
        <f>'Acct Summary 7-8'!E20</f>
        <v>-6195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1367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1367</v>
      </c>
      <c r="C2658" s="2" t="s">
        <v>573</v>
      </c>
      <c r="D2658" s="2" t="str">
        <f t="shared" si="40"/>
        <v>Error?</v>
      </c>
    </row>
    <row r="2659" spans="1:4" x14ac:dyDescent="0.2">
      <c r="A2659" s="5">
        <v>2598</v>
      </c>
      <c r="B2659" s="138">
        <f>'Acct Summary 7-8'!H13</f>
        <v>422877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422877</v>
      </c>
      <c r="C2661" s="2" t="s">
        <v>573</v>
      </c>
      <c r="D2661" s="2" t="str">
        <f t="shared" si="40"/>
        <v>Error?</v>
      </c>
    </row>
    <row r="2662" spans="1:4" x14ac:dyDescent="0.2">
      <c r="A2662" s="5">
        <v>2601</v>
      </c>
      <c r="B2662" s="138">
        <f>'Acct Summary 7-8'!H20</f>
        <v>-421510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29880</v>
      </c>
      <c r="C2789" s="2" t="s">
        <v>573</v>
      </c>
      <c r="D2789" s="2" t="str">
        <f t="shared" si="42"/>
        <v>Error?</v>
      </c>
    </row>
    <row r="2790" spans="1:4" x14ac:dyDescent="0.2">
      <c r="A2790" s="5">
        <v>2729</v>
      </c>
      <c r="B2790" s="138">
        <f>'Expenditures 15-22'!E102</f>
        <v>29880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2535111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52480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2535111</v>
      </c>
      <c r="D2912" s="2" t="str">
        <f t="shared" si="44"/>
        <v>Error?</v>
      </c>
    </row>
    <row r="2913" spans="1:4" x14ac:dyDescent="0.2">
      <c r="A2913" s="5">
        <v>2852</v>
      </c>
      <c r="B2913" s="138">
        <f>'Assets-Liab 5-6'!I41</f>
        <v>2535111</v>
      </c>
      <c r="C2913" s="2" t="s">
        <v>573</v>
      </c>
      <c r="D2913" s="2" t="str">
        <f t="shared" si="44"/>
        <v>Error?</v>
      </c>
    </row>
    <row r="2914" spans="1:4" x14ac:dyDescent="0.2">
      <c r="A2914" s="5">
        <v>2853</v>
      </c>
      <c r="B2914" s="138">
        <f>'Assets-Liab 5-6'!L33</f>
        <v>52480</v>
      </c>
      <c r="D2914" s="2" t="str">
        <f t="shared" si="44"/>
        <v>Error?</v>
      </c>
    </row>
    <row r="2915" spans="1:4" x14ac:dyDescent="0.2">
      <c r="A2915" s="10">
        <v>2854</v>
      </c>
      <c r="D2915" s="2" t="str">
        <f t="shared" si="44"/>
        <v>OK</v>
      </c>
    </row>
    <row r="2916" spans="1:4" x14ac:dyDescent="0.2">
      <c r="A2916" s="5">
        <v>2855</v>
      </c>
      <c r="B2916" s="138">
        <f>'Assets-Liab 5-6'!L34</f>
        <v>52480</v>
      </c>
      <c r="C2916" s="2" t="s">
        <v>573</v>
      </c>
      <c r="D2916" s="2" t="str">
        <f t="shared" si="44"/>
        <v>Error?</v>
      </c>
    </row>
    <row r="2917" spans="1:4" x14ac:dyDescent="0.2">
      <c r="A2917" s="5">
        <v>2856</v>
      </c>
      <c r="B2917" s="138">
        <f>'Assets-Liab 5-6'!L41</f>
        <v>52480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29880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468954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498834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162659</v>
      </c>
      <c r="D3055" s="2" t="str">
        <f t="shared" si="46"/>
        <v>Error?</v>
      </c>
    </row>
    <row r="3056" spans="1:4" x14ac:dyDescent="0.2">
      <c r="A3056" s="5">
        <v>2995</v>
      </c>
      <c r="B3056" s="138">
        <f>'Expenditures 15-22'!D10</f>
        <v>51441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9217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223317</v>
      </c>
      <c r="C3062" s="2" t="s">
        <v>573</v>
      </c>
      <c r="D3062" s="2" t="str">
        <f t="shared" si="46"/>
        <v>Error?</v>
      </c>
    </row>
    <row r="3063" spans="1:4" x14ac:dyDescent="0.2">
      <c r="A3063" s="10">
        <v>3002</v>
      </c>
      <c r="D3063" s="2" t="str">
        <f t="shared" si="46"/>
        <v>OK</v>
      </c>
    </row>
    <row r="3064" spans="1:4" x14ac:dyDescent="0.2">
      <c r="A3064" s="5">
        <v>3003</v>
      </c>
      <c r="B3064" s="138">
        <f>'Expenditures 15-22'!D219</f>
        <v>3496</v>
      </c>
      <c r="D3064" s="2" t="str">
        <f t="shared" si="46"/>
        <v>Error?</v>
      </c>
    </row>
    <row r="3065" spans="1:4" x14ac:dyDescent="0.2">
      <c r="A3065" s="5">
        <v>3004</v>
      </c>
      <c r="B3065" s="138">
        <f>'Expenditures 15-22'!K219</f>
        <v>3496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143261</v>
      </c>
      <c r="C3225" s="2" t="s">
        <v>573</v>
      </c>
      <c r="D3225" s="2" t="str">
        <f t="shared" si="49"/>
        <v>Error?</v>
      </c>
    </row>
    <row r="3226" spans="1:4" x14ac:dyDescent="0.2">
      <c r="A3226" s="5">
        <v>3165</v>
      </c>
      <c r="B3226" s="138">
        <f>'Acct Summary 7-8'!I8</f>
        <v>143261</v>
      </c>
      <c r="C3226" s="2" t="s">
        <v>573</v>
      </c>
      <c r="D3226" s="2" t="str">
        <f t="shared" si="49"/>
        <v>Error?</v>
      </c>
    </row>
    <row r="3227" spans="1:4" x14ac:dyDescent="0.2">
      <c r="A3227" s="5">
        <v>3166</v>
      </c>
      <c r="B3227" s="138">
        <f>'Acct Summary 7-8'!I20</f>
        <v>143261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18643</v>
      </c>
      <c r="C3231" s="2" t="s">
        <v>573</v>
      </c>
      <c r="D3231" s="2" t="str">
        <f t="shared" si="49"/>
        <v>Error?</v>
      </c>
    </row>
    <row r="3232" spans="1:4" x14ac:dyDescent="0.2">
      <c r="A3232" s="5">
        <v>3171</v>
      </c>
      <c r="B3232" s="138">
        <f>'Acct Summary 7-8'!C77</f>
        <v>-18643</v>
      </c>
      <c r="C3232" s="2" t="s">
        <v>573</v>
      </c>
      <c r="D3232" s="2" t="str">
        <f t="shared" si="49"/>
        <v>Error?</v>
      </c>
    </row>
    <row r="3233" spans="1:4" x14ac:dyDescent="0.2">
      <c r="A3233" s="5">
        <v>3172</v>
      </c>
      <c r="B3233" s="138">
        <f>'Acct Summary 7-8'!C78</f>
        <v>118695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200000</v>
      </c>
      <c r="D3236" s="2" t="str">
        <f t="shared" si="49"/>
        <v>Error?</v>
      </c>
    </row>
    <row r="3237" spans="1:4" x14ac:dyDescent="0.2">
      <c r="A3237" s="5">
        <v>3176</v>
      </c>
      <c r="B3237" s="138">
        <f>'Acct Summary 7-8'!D76</f>
        <v>200000</v>
      </c>
      <c r="C3237" s="2" t="s">
        <v>573</v>
      </c>
      <c r="D3237" s="2" t="str">
        <f t="shared" si="49"/>
        <v>Error?</v>
      </c>
    </row>
    <row r="3238" spans="1:4" x14ac:dyDescent="0.2">
      <c r="A3238" s="5">
        <v>3177</v>
      </c>
      <c r="B3238" s="138">
        <f>'Acct Summary 7-8'!D77</f>
        <v>-200000</v>
      </c>
      <c r="C3238" s="2" t="s">
        <v>573</v>
      </c>
      <c r="D3238" s="2" t="str">
        <f t="shared" si="49"/>
        <v>Error?</v>
      </c>
    </row>
    <row r="3239" spans="1:4" x14ac:dyDescent="0.2">
      <c r="A3239" s="5">
        <v>3178</v>
      </c>
      <c r="B3239" s="138">
        <f>'Acct Summary 7-8'!D78</f>
        <v>-247463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10009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163068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18643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18643</v>
      </c>
      <c r="C3277" s="2" t="s">
        <v>573</v>
      </c>
      <c r="D3277" s="2" t="str">
        <f t="shared" si="50"/>
        <v>Error?</v>
      </c>
    </row>
    <row r="3278" spans="1:4" x14ac:dyDescent="0.2">
      <c r="A3278" s="5">
        <v>3217</v>
      </c>
      <c r="B3278" s="138">
        <f>'Acct Summary 7-8'!E78</f>
        <v>12448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200000</v>
      </c>
      <c r="D3295" s="2" t="str">
        <f t="shared" si="50"/>
        <v>Error?</v>
      </c>
    </row>
    <row r="3296" spans="1:4" x14ac:dyDescent="0.2">
      <c r="A3296" s="5">
        <v>3235</v>
      </c>
      <c r="B3296" s="138">
        <f>'Acct Summary 7-8'!H44</f>
        <v>500500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500500</v>
      </c>
      <c r="C3299" s="2" t="s">
        <v>573</v>
      </c>
      <c r="D3299" s="2" t="str">
        <f t="shared" si="50"/>
        <v>Error?</v>
      </c>
    </row>
    <row r="3300" spans="1:4" x14ac:dyDescent="0.2">
      <c r="A3300" s="5">
        <v>3239</v>
      </c>
      <c r="B3300" s="138">
        <f>'Acct Summary 7-8'!H78</f>
        <v>78990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300500</v>
      </c>
      <c r="C3318" s="2" t="s">
        <v>573</v>
      </c>
      <c r="D3318" s="2" t="str">
        <f t="shared" si="50"/>
        <v>Error?</v>
      </c>
    </row>
    <row r="3319" spans="1:4" x14ac:dyDescent="0.2">
      <c r="A3319" s="5">
        <v>3258</v>
      </c>
      <c r="B3319" s="138">
        <f>'Acct Summary 7-8'!I77</f>
        <v>-300500</v>
      </c>
      <c r="C3319" s="2" t="s">
        <v>573</v>
      </c>
      <c r="D3319" s="2" t="str">
        <f t="shared" si="50"/>
        <v>Error?</v>
      </c>
    </row>
    <row r="3320" spans="1:4" x14ac:dyDescent="0.2">
      <c r="A3320" s="5">
        <v>3259</v>
      </c>
      <c r="B3320" s="138">
        <f>'Acct Summary 7-8'!I78</f>
        <v>-157239</v>
      </c>
      <c r="C3320" s="2" t="s">
        <v>573</v>
      </c>
      <c r="D3320" s="2" t="str">
        <f t="shared" si="50"/>
        <v>Error?</v>
      </c>
    </row>
    <row r="3321" spans="1:4" x14ac:dyDescent="0.2">
      <c r="A3321" s="5">
        <v>3260</v>
      </c>
      <c r="B3321" s="138">
        <f>'Acct Summary 7-8'!I79</f>
        <v>2692350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2535111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543782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125033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668815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69719</v>
      </c>
      <c r="D3387" s="2" t="str">
        <f t="shared" si="51"/>
        <v>Error?</v>
      </c>
    </row>
    <row r="3388" spans="1:4" x14ac:dyDescent="0.2">
      <c r="A3388" s="5">
        <v>3327</v>
      </c>
      <c r="B3388" s="138">
        <f>'Expenditures 15-22'!D217</f>
        <v>39498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69719</v>
      </c>
      <c r="C3390" s="2" t="s">
        <v>573</v>
      </c>
      <c r="D3390" s="2" t="str">
        <f t="shared" si="51"/>
        <v>Error?</v>
      </c>
    </row>
    <row r="3391" spans="1:4" x14ac:dyDescent="0.2">
      <c r="A3391" s="5">
        <v>3330</v>
      </c>
      <c r="B3391" s="138">
        <f>'Expenditures 15-22'!K217</f>
        <v>39498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1390272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967209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272647</v>
      </c>
      <c r="D3417" s="2" t="str">
        <f t="shared" si="52"/>
        <v>Error?</v>
      </c>
    </row>
    <row r="3418" spans="1:4" x14ac:dyDescent="0.2">
      <c r="A3418" s="10">
        <v>3357</v>
      </c>
      <c r="D3418" s="2" t="str">
        <f t="shared" si="52"/>
        <v>OK</v>
      </c>
    </row>
    <row r="3419" spans="1:4" x14ac:dyDescent="0.2">
      <c r="A3419" s="5">
        <v>3358</v>
      </c>
      <c r="B3419" s="138">
        <f>'Assets-Liab 5-6'!F4</f>
        <v>531641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702801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173786</v>
      </c>
      <c r="D3425" s="2" t="str">
        <f t="shared" si="52"/>
        <v>Error?</v>
      </c>
    </row>
    <row r="3426" spans="1:4" x14ac:dyDescent="0.2">
      <c r="A3426" s="10">
        <v>3365</v>
      </c>
      <c r="D3426" s="2" t="str">
        <f t="shared" si="52"/>
        <v>OK</v>
      </c>
    </row>
    <row r="3427" spans="1:4" x14ac:dyDescent="0.2">
      <c r="A3427" s="5">
        <v>3366</v>
      </c>
      <c r="B3427" s="138">
        <f>'Assets-Liab 5-6'!I4</f>
        <v>2535111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52480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191475</v>
      </c>
      <c r="C3446" s="2" t="s">
        <v>573</v>
      </c>
      <c r="D3446" s="2" t="str">
        <f t="shared" si="52"/>
        <v>Error?</v>
      </c>
    </row>
    <row r="3447" spans="1:4" x14ac:dyDescent="0.2">
      <c r="A3447" s="5">
        <v>3386</v>
      </c>
      <c r="B3447" s="138">
        <f>'Tax Sched 23'!D16</f>
        <v>134877</v>
      </c>
      <c r="C3447" s="2" t="s">
        <v>573</v>
      </c>
      <c r="D3447" s="2" t="str">
        <f t="shared" si="52"/>
        <v>Error?</v>
      </c>
    </row>
    <row r="3448" spans="1:4" x14ac:dyDescent="0.2">
      <c r="A3448" s="5">
        <v>3387</v>
      </c>
      <c r="B3448" s="138">
        <f>'Tax Sched 23'!C16</f>
        <v>56598</v>
      </c>
      <c r="D3448" s="2" t="str">
        <f t="shared" si="52"/>
        <v>Error?</v>
      </c>
    </row>
    <row r="3449" spans="1:4" x14ac:dyDescent="0.2">
      <c r="A3449" s="5">
        <v>3388</v>
      </c>
      <c r="B3449" s="138">
        <f>'Tax Sched 23'!F16</f>
        <v>137360</v>
      </c>
      <c r="C3449" s="2" t="s">
        <v>573</v>
      </c>
      <c r="D3449" s="2" t="str">
        <f t="shared" si="52"/>
        <v>Error?</v>
      </c>
    </row>
    <row r="3450" spans="1:4" x14ac:dyDescent="0.2">
      <c r="A3450" s="5">
        <v>3389</v>
      </c>
      <c r="B3450" s="138">
        <f>'Tax Sched 23'!E16</f>
        <v>193958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300500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1480519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1480519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1480519</v>
      </c>
      <c r="D3567" s="2" t="str">
        <f t="shared" si="54"/>
        <v>Error?</v>
      </c>
    </row>
    <row r="3568" spans="1:4" x14ac:dyDescent="0.2">
      <c r="A3568" s="5">
        <v>3507</v>
      </c>
      <c r="B3568" s="138">
        <f>'Assets-Liab 5-6'!K41</f>
        <v>1480519</v>
      </c>
      <c r="C3568" s="2" t="s">
        <v>573</v>
      </c>
      <c r="D3568" s="2" t="str">
        <f t="shared" si="54"/>
        <v>Error?</v>
      </c>
    </row>
    <row r="3569" spans="1:4" x14ac:dyDescent="0.2">
      <c r="A3569" s="5">
        <v>3508</v>
      </c>
      <c r="B3569" s="138">
        <f>'Acct Summary 7-8'!K4</f>
        <v>135431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135431</v>
      </c>
      <c r="C3571" s="2" t="s">
        <v>573</v>
      </c>
      <c r="D3571" s="2" t="str">
        <f t="shared" si="54"/>
        <v>Error?</v>
      </c>
    </row>
    <row r="3572" spans="1:4" x14ac:dyDescent="0.2">
      <c r="A3572" s="5">
        <v>3511</v>
      </c>
      <c r="B3572" s="138">
        <f>'Acct Summary 7-8'!K13</f>
        <v>71976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71976</v>
      </c>
      <c r="C3575" s="2" t="s">
        <v>573</v>
      </c>
      <c r="D3575" s="2" t="str">
        <f t="shared" si="54"/>
        <v>Error?</v>
      </c>
    </row>
    <row r="3576" spans="1:4" x14ac:dyDescent="0.2">
      <c r="A3576" s="5">
        <v>3515</v>
      </c>
      <c r="B3576" s="138">
        <f>'Acct Summary 7-8'!K20</f>
        <v>63455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63455</v>
      </c>
      <c r="C3588" s="2" t="s">
        <v>573</v>
      </c>
      <c r="D3588" s="2" t="str">
        <f t="shared" si="55"/>
        <v>Error?</v>
      </c>
    </row>
    <row r="3589" spans="1:4" x14ac:dyDescent="0.2">
      <c r="A3589" s="5">
        <v>3528</v>
      </c>
      <c r="B3589" s="138">
        <f>'Acct Summary 7-8'!K79</f>
        <v>1417064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1480519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8664</v>
      </c>
      <c r="D3632" s="2" t="str">
        <f t="shared" si="55"/>
        <v>Error?</v>
      </c>
    </row>
    <row r="3633" spans="1:4" x14ac:dyDescent="0.2">
      <c r="A3633" s="5">
        <v>3572</v>
      </c>
      <c r="B3633" s="138">
        <f>'Expenditures 15-22'!E350</f>
        <v>8664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8664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63312</v>
      </c>
      <c r="D3646" s="2" t="str">
        <f t="shared" si="55"/>
        <v>Error?</v>
      </c>
    </row>
    <row r="3647" spans="1:4" x14ac:dyDescent="0.2">
      <c r="A3647" s="5">
        <v>3586</v>
      </c>
      <c r="B3647" s="138">
        <f>'Expenditures 15-22'!G350</f>
        <v>63312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63312</v>
      </c>
      <c r="C3649" s="2" t="s">
        <v>573</v>
      </c>
      <c r="D3649" s="2" t="str">
        <f t="shared" si="56"/>
        <v>Error?</v>
      </c>
    </row>
    <row r="3650" spans="1:4" x14ac:dyDescent="0.2">
      <c r="A3650" s="5">
        <v>3589</v>
      </c>
      <c r="B3650" s="138">
        <f>'Expenditures 15-22'!G367</f>
        <v>63312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71976</v>
      </c>
      <c r="C3669" s="2" t="s">
        <v>573</v>
      </c>
      <c r="D3669" s="2" t="str">
        <f t="shared" si="56"/>
        <v>Error?</v>
      </c>
    </row>
    <row r="3670" spans="1:4" x14ac:dyDescent="0.2">
      <c r="A3670" s="5">
        <v>3609</v>
      </c>
      <c r="B3670" s="138">
        <f>'Expenditures 15-22'!K350</f>
        <v>71976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71976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71976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63455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234</v>
      </c>
      <c r="D3721" s="2" t="str">
        <f t="shared" si="57"/>
        <v>Error?</v>
      </c>
    </row>
    <row r="3722" spans="1:4" x14ac:dyDescent="0.2">
      <c r="A3722" s="5">
        <v>3661</v>
      </c>
      <c r="B3722" s="138">
        <f>'Expenditures 15-22'!D285</f>
        <v>234</v>
      </c>
      <c r="C3722" s="2" t="s">
        <v>573</v>
      </c>
      <c r="D3722" s="2" t="str">
        <f t="shared" si="57"/>
        <v>Error?</v>
      </c>
    </row>
    <row r="3723" spans="1:4" x14ac:dyDescent="0.2">
      <c r="A3723" s="5">
        <v>3662</v>
      </c>
      <c r="B3723" s="138">
        <f>'Expenditures 15-22'!K283</f>
        <v>234</v>
      </c>
      <c r="C3723" s="2" t="s">
        <v>573</v>
      </c>
      <c r="D3723" s="2" t="str">
        <f t="shared" si="57"/>
        <v>Error?</v>
      </c>
    </row>
    <row r="3724" spans="1:4" x14ac:dyDescent="0.2">
      <c r="A3724" s="5">
        <v>3663</v>
      </c>
      <c r="B3724" s="138">
        <f>'Expenditures 15-22'!K285</f>
        <v>234</v>
      </c>
      <c r="C3724" s="2" t="s">
        <v>573</v>
      </c>
      <c r="D3724" s="2" t="str">
        <f t="shared" si="57"/>
        <v>Error?</v>
      </c>
    </row>
    <row r="3725" spans="1:4" x14ac:dyDescent="0.2">
      <c r="A3725" s="5">
        <v>3664</v>
      </c>
      <c r="B3725" s="138">
        <f>'Tax Sched 23'!B13</f>
        <v>100636</v>
      </c>
      <c r="C3725" s="2" t="s">
        <v>573</v>
      </c>
      <c r="D3725" s="2" t="str">
        <f t="shared" si="57"/>
        <v>Error?</v>
      </c>
    </row>
    <row r="3726" spans="1:4" x14ac:dyDescent="0.2">
      <c r="A3726" s="5">
        <v>3665</v>
      </c>
      <c r="B3726" s="138">
        <f>'Tax Sched 23'!D13</f>
        <v>71273</v>
      </c>
      <c r="C3726" s="2" t="s">
        <v>573</v>
      </c>
      <c r="D3726" s="2" t="str">
        <f t="shared" si="57"/>
        <v>Error?</v>
      </c>
    </row>
    <row r="3727" spans="1:4" x14ac:dyDescent="0.2">
      <c r="A3727" s="5">
        <v>3666</v>
      </c>
      <c r="B3727" s="138">
        <f>'Tax Sched 23'!C13</f>
        <v>29363</v>
      </c>
      <c r="D3727" s="2" t="str">
        <f t="shared" si="57"/>
        <v>Error?</v>
      </c>
    </row>
    <row r="3728" spans="1:4" x14ac:dyDescent="0.2">
      <c r="A3728" s="5">
        <v>3667</v>
      </c>
      <c r="B3728" s="138">
        <f>'Tax Sched 23'!F13</f>
        <v>71264</v>
      </c>
      <c r="C3728" s="2" t="s">
        <v>573</v>
      </c>
      <c r="D3728" s="2" t="str">
        <f t="shared" si="57"/>
        <v>Error?</v>
      </c>
    </row>
    <row r="3729" spans="1:4" x14ac:dyDescent="0.2">
      <c r="A3729" s="5">
        <v>3668</v>
      </c>
      <c r="B3729" s="138">
        <f>'Tax Sched 23'!E13</f>
        <v>100627</v>
      </c>
      <c r="D3729" s="2" t="str">
        <f t="shared" si="57"/>
        <v>Error?</v>
      </c>
    </row>
    <row r="3730" spans="1:4" x14ac:dyDescent="0.2">
      <c r="A3730" s="5">
        <v>3669</v>
      </c>
      <c r="B3730" s="138">
        <f>'ICR Computation 30'!E10</f>
        <v>210699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7269</v>
      </c>
      <c r="D4081" s="2" t="str">
        <f t="shared" si="62"/>
        <v>Error?</v>
      </c>
    </row>
    <row r="4082" spans="1:4" x14ac:dyDescent="0.2">
      <c r="A4082" s="5">
        <v>4021</v>
      </c>
      <c r="B4082" s="138">
        <f>'Expenditures 15-22'!D180</f>
        <v>3570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10839</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2591105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8842012</v>
      </c>
      <c r="C4122" s="2" t="s">
        <v>573</v>
      </c>
      <c r="D4122" s="2" t="str">
        <f t="shared" si="63"/>
        <v>Error?</v>
      </c>
    </row>
    <row r="4123" spans="1:4" x14ac:dyDescent="0.2">
      <c r="A4123" s="5">
        <v>4062</v>
      </c>
      <c r="B4123" s="138">
        <f>'Acct Summary 7-8'!D10</f>
        <v>707281</v>
      </c>
      <c r="C4123" s="2" t="s">
        <v>573</v>
      </c>
      <c r="D4123" s="2" t="str">
        <f t="shared" si="63"/>
        <v>Error?</v>
      </c>
    </row>
    <row r="4124" spans="1:4" x14ac:dyDescent="0.2">
      <c r="A4124" s="5">
        <v>4063</v>
      </c>
      <c r="B4124" s="138">
        <f>'Acct Summary 7-8'!E10</f>
        <v>769268</v>
      </c>
      <c r="C4124" s="2" t="s">
        <v>573</v>
      </c>
      <c r="D4124" s="2" t="str">
        <f t="shared" si="63"/>
        <v>Error?</v>
      </c>
    </row>
    <row r="4125" spans="1:4" x14ac:dyDescent="0.2">
      <c r="A4125" s="5">
        <v>4064</v>
      </c>
      <c r="B4125" s="138">
        <f>'Acct Summary 7-8'!F10</f>
        <v>461356</v>
      </c>
      <c r="C4125" s="2" t="s">
        <v>573</v>
      </c>
      <c r="D4125" s="2" t="str">
        <f t="shared" si="63"/>
        <v>Error?</v>
      </c>
    </row>
    <row r="4126" spans="1:4" x14ac:dyDescent="0.2">
      <c r="A4126" s="5">
        <v>4065</v>
      </c>
      <c r="B4126" s="138">
        <f>'Acct Summary 7-8'!G10</f>
        <v>410766</v>
      </c>
      <c r="C4126" s="2" t="s">
        <v>573</v>
      </c>
      <c r="D4126" s="2" t="str">
        <f t="shared" si="63"/>
        <v>Error?</v>
      </c>
    </row>
    <row r="4127" spans="1:4" x14ac:dyDescent="0.2">
      <c r="A4127" s="5">
        <v>4066</v>
      </c>
      <c r="B4127" s="138">
        <f>'Acct Summary 7-8'!H10</f>
        <v>1367</v>
      </c>
      <c r="C4127" s="2" t="s">
        <v>573</v>
      </c>
      <c r="D4127" s="2" t="str">
        <f t="shared" si="63"/>
        <v>Error?</v>
      </c>
    </row>
    <row r="4128" spans="1:4" x14ac:dyDescent="0.2">
      <c r="A4128" s="5">
        <v>4067</v>
      </c>
      <c r="B4128" s="138">
        <f>'Acct Summary 7-8'!I10</f>
        <v>143261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135431</v>
      </c>
      <c r="C4130" s="2" t="s">
        <v>573</v>
      </c>
      <c r="D4130" s="2" t="str">
        <f t="shared" si="63"/>
        <v>Error?</v>
      </c>
    </row>
    <row r="4131" spans="1:4" x14ac:dyDescent="0.2">
      <c r="A4131" s="5">
        <v>4070</v>
      </c>
      <c r="B4131" s="138">
        <f>'Acct Summary 7-8'!C18</f>
        <v>2591105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8704674</v>
      </c>
      <c r="C4136" s="2" t="s">
        <v>573</v>
      </c>
      <c r="D4136" s="2" t="str">
        <f t="shared" si="63"/>
        <v>Error?</v>
      </c>
    </row>
    <row r="4137" spans="1:4" x14ac:dyDescent="0.2">
      <c r="A4137" s="5">
        <v>4076</v>
      </c>
      <c r="B4137" s="138">
        <f>'Acct Summary 7-8'!D19</f>
        <v>754744</v>
      </c>
      <c r="C4137" s="2" t="s">
        <v>573</v>
      </c>
      <c r="D4137" s="2" t="str">
        <f t="shared" si="63"/>
        <v>Error?</v>
      </c>
    </row>
    <row r="4138" spans="1:4" x14ac:dyDescent="0.2">
      <c r="A4138" s="5">
        <v>4077</v>
      </c>
      <c r="B4138" s="138">
        <f>'Acct Summary 7-8'!E19</f>
        <v>775463</v>
      </c>
      <c r="C4138" s="2" t="s">
        <v>573</v>
      </c>
      <c r="D4138" s="2" t="str">
        <f t="shared" si="63"/>
        <v>Error?</v>
      </c>
    </row>
    <row r="4139" spans="1:4" x14ac:dyDescent="0.2">
      <c r="A4139" s="5">
        <v>4078</v>
      </c>
      <c r="B4139" s="138">
        <f>'Acct Summary 7-8'!F19</f>
        <v>451347</v>
      </c>
      <c r="C4139" s="2" t="s">
        <v>573</v>
      </c>
      <c r="D4139" s="2" t="str">
        <f t="shared" si="63"/>
        <v>Error?</v>
      </c>
    </row>
    <row r="4140" spans="1:4" x14ac:dyDescent="0.2">
      <c r="A4140" s="5">
        <v>4079</v>
      </c>
      <c r="B4140" s="138">
        <f>'Acct Summary 7-8'!G19</f>
        <v>247698</v>
      </c>
      <c r="C4140" s="2" t="s">
        <v>573</v>
      </c>
      <c r="D4140" s="2" t="str">
        <f t="shared" si="63"/>
        <v>Error?</v>
      </c>
    </row>
    <row r="4141" spans="1:4" x14ac:dyDescent="0.2">
      <c r="A4141" s="5">
        <v>4080</v>
      </c>
      <c r="B4141" s="138">
        <f>'Acct Summary 7-8'!H19</f>
        <v>422877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71976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768291</v>
      </c>
      <c r="C4171" s="2" t="s">
        <v>573</v>
      </c>
      <c r="D4171" s="2" t="str">
        <f t="shared" si="64"/>
        <v>Error?</v>
      </c>
    </row>
    <row r="4172" spans="1:4" x14ac:dyDescent="0.2">
      <c r="A4172" s="5">
        <v>4111</v>
      </c>
      <c r="B4172" s="138">
        <f>'Short-Term Long-Term Debt 24'!J49</f>
        <v>495644</v>
      </c>
      <c r="C4172" s="2" t="s">
        <v>573</v>
      </c>
      <c r="D4172" s="2" t="str">
        <f t="shared" si="64"/>
        <v>Error?</v>
      </c>
    </row>
    <row r="4173" spans="1:4" x14ac:dyDescent="0.2">
      <c r="A4173" s="5">
        <v>4112</v>
      </c>
      <c r="B4173" s="138">
        <f>'Short-Term Long-Term Debt 24'!H49</f>
        <v>746942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25918</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1569.9999999999998</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1940</v>
      </c>
      <c r="C4268" s="2" t="s">
        <v>573</v>
      </c>
      <c r="D4268" s="2" t="str">
        <f t="shared" si="65"/>
        <v>Error?</v>
      </c>
    </row>
    <row r="4269" spans="1:5" x14ac:dyDescent="0.2">
      <c r="A4269" s="12">
        <v>4208</v>
      </c>
      <c r="B4269" s="138">
        <f>'FP Info 3'!J16</f>
        <v>5424233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21264</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7701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24803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29284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251567134</v>
      </c>
      <c r="D4995" s="2" t="str">
        <f t="shared" si="77"/>
        <v>Error?</v>
      </c>
    </row>
    <row r="4996" spans="1:4" x14ac:dyDescent="0.2">
      <c r="A4996" s="12">
        <v>4935</v>
      </c>
      <c r="B4996" s="138">
        <f>'FP Info 3'!H31</f>
        <v>17358132.246000003</v>
      </c>
      <c r="D4996" s="2" t="str">
        <f t="shared" si="77"/>
        <v>Error?</v>
      </c>
    </row>
    <row r="4997" spans="1:4" x14ac:dyDescent="0.2">
      <c r="A4997" s="12">
        <v>4936</v>
      </c>
      <c r="B4997" s="138">
        <f>'FP Info 3'!H37</f>
        <v>768291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30000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3949864</v>
      </c>
      <c r="D5061" s="2" t="str">
        <f t="shared" si="78"/>
        <v>Error?</v>
      </c>
    </row>
    <row r="5062" spans="1:4" x14ac:dyDescent="0.2">
      <c r="A5062" s="10">
        <v>5001</v>
      </c>
      <c r="D5062" s="2" t="str">
        <f t="shared" si="78"/>
        <v>OK</v>
      </c>
    </row>
    <row r="5063" spans="1:4" x14ac:dyDescent="0.2">
      <c r="A5063" s="5">
        <v>5002</v>
      </c>
      <c r="B5063" s="138">
        <f>'Revenues 9-14'!C7</f>
        <v>50317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4030181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252425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252425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11530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11530</v>
      </c>
      <c r="C5087" s="2" t="s">
        <v>573</v>
      </c>
      <c r="D5087" s="2" t="str">
        <f t="shared" si="78"/>
        <v>Error?</v>
      </c>
    </row>
    <row r="5088" spans="1:4" x14ac:dyDescent="0.2">
      <c r="A5088" s="5">
        <v>5027</v>
      </c>
      <c r="B5088" s="138">
        <f>'Revenues 9-14'!C65</f>
        <v>11124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11124</v>
      </c>
      <c r="C5090" s="2" t="s">
        <v>573</v>
      </c>
      <c r="D5090" s="2" t="str">
        <f t="shared" si="78"/>
        <v>Error?</v>
      </c>
    </row>
    <row r="5091" spans="1:4" x14ac:dyDescent="0.2">
      <c r="A5091" s="5">
        <v>5030</v>
      </c>
      <c r="B5091" s="138">
        <f>'Revenues 9-14'!C70</f>
        <v>9294</v>
      </c>
      <c r="D5091" s="2" t="str">
        <f t="shared" si="78"/>
        <v>Error?</v>
      </c>
    </row>
    <row r="5092" spans="1:4" x14ac:dyDescent="0.2">
      <c r="A5092" s="5">
        <v>5031</v>
      </c>
      <c r="B5092" s="138">
        <f>'Revenues 9-14'!C71</f>
        <v>14236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6169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111519</v>
      </c>
      <c r="C5096" s="2" t="s">
        <v>573</v>
      </c>
      <c r="D5096" s="2" t="str">
        <f t="shared" si="78"/>
        <v>Error?</v>
      </c>
    </row>
    <row r="5097" spans="1:4" x14ac:dyDescent="0.2">
      <c r="A5097" s="5">
        <v>5036</v>
      </c>
      <c r="B5097" s="138">
        <f>'Revenues 9-14'!C77</f>
        <v>12207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2011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14218</v>
      </c>
      <c r="C5102" s="2" t="s">
        <v>573</v>
      </c>
      <c r="D5102" s="2" t="str">
        <f t="shared" si="78"/>
        <v>Error?</v>
      </c>
    </row>
    <row r="5103" spans="1:4" x14ac:dyDescent="0.2">
      <c r="A5103" s="5">
        <v>5042</v>
      </c>
      <c r="B5103" s="138">
        <f>'Revenues 9-14'!C84</f>
        <v>30553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30553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707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93242</v>
      </c>
      <c r="D5118" s="2" t="str">
        <f t="shared" si="78"/>
        <v>Error?</v>
      </c>
    </row>
    <row r="5119" spans="1:4" x14ac:dyDescent="0.2">
      <c r="A5119" s="5">
        <v>5058</v>
      </c>
      <c r="B5119" s="138">
        <f>'Revenues 9-14'!C107</f>
        <v>50406</v>
      </c>
      <c r="D5119" s="2" t="str">
        <f t="shared" ref="D5119:D5182" si="79">IF(ISBLANK(B5119),"OK",IF(A5119-B5119=0,"OK","Error?"))</f>
        <v>Error?</v>
      </c>
    </row>
    <row r="5120" spans="1:4" x14ac:dyDescent="0.2">
      <c r="A5120" s="5">
        <v>5059</v>
      </c>
      <c r="B5120" s="138">
        <f>'Revenues 9-14'!C108</f>
        <v>144430</v>
      </c>
      <c r="C5120" s="2" t="s">
        <v>573</v>
      </c>
      <c r="D5120" s="2" t="str">
        <f t="shared" si="79"/>
        <v>Error?</v>
      </c>
    </row>
    <row r="5121" spans="1:4" x14ac:dyDescent="0.2">
      <c r="A5121" s="5">
        <v>5060</v>
      </c>
      <c r="B5121" s="138">
        <f>'Revenues 9-14'!C109</f>
        <v>4605980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675433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675433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9266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9266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25918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3011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375421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413616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1089049</v>
      </c>
      <c r="C5223" s="2" t="s">
        <v>573</v>
      </c>
      <c r="D5223" s="2" t="str">
        <f t="shared" si="80"/>
        <v>Error?</v>
      </c>
    </row>
    <row r="5224" spans="1:4" x14ac:dyDescent="0.2">
      <c r="A5224" s="5">
        <v>5163</v>
      </c>
      <c r="B5224" s="138">
        <f>'Revenues 9-14'!C173</f>
        <v>29517</v>
      </c>
      <c r="D5224" s="2" t="str">
        <f t="shared" si="80"/>
        <v>Error?</v>
      </c>
    </row>
    <row r="5225" spans="1:4" x14ac:dyDescent="0.2">
      <c r="A5225" s="5">
        <v>5164</v>
      </c>
      <c r="B5225" s="138">
        <f>'Revenues 9-14'!C175</f>
        <v>29517</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165894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36534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223692</v>
      </c>
      <c r="C5246" s="2" t="s">
        <v>573</v>
      </c>
      <c r="D5246" s="2" t="str">
        <f t="shared" si="80"/>
        <v>Error?</v>
      </c>
    </row>
    <row r="5247" spans="1:4" x14ac:dyDescent="0.2">
      <c r="A5247" s="5">
        <v>5186</v>
      </c>
      <c r="B5247" s="138">
        <f>'Revenues 9-14'!C200</f>
        <v>115513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115513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122024</v>
      </c>
      <c r="D5278" s="2" t="str">
        <f t="shared" si="81"/>
        <v>Error?</v>
      </c>
    </row>
    <row r="5279" spans="1:4" x14ac:dyDescent="0.2">
      <c r="A5279" s="5">
        <v>5218</v>
      </c>
      <c r="B5279" s="138">
        <f>'Revenues 9-14'!C214</f>
        <v>3344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125368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526361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555878</v>
      </c>
      <c r="C5326" s="2" t="s">
        <v>573</v>
      </c>
      <c r="D5326" s="2" t="str">
        <f t="shared" si="82"/>
        <v>Error?</v>
      </c>
    </row>
    <row r="5327" spans="1:5" x14ac:dyDescent="0.2">
      <c r="A5327" s="5">
        <v>5266</v>
      </c>
      <c r="B5327" s="138">
        <f>'Revenues 9-14'!C268</f>
        <v>6250907</v>
      </c>
      <c r="C5327" s="2" t="s">
        <v>573</v>
      </c>
      <c r="D5327" s="2" t="str">
        <f t="shared" si="82"/>
        <v>Error?</v>
      </c>
    </row>
    <row r="5328" spans="1:5" x14ac:dyDescent="0.2">
      <c r="A5328" s="5">
        <v>5267</v>
      </c>
      <c r="B5328" s="138">
        <f>'Revenues 9-14'!D5</f>
        <v>628957</v>
      </c>
      <c r="D5328" s="2" t="str">
        <f t="shared" si="82"/>
        <v>Error?</v>
      </c>
    </row>
    <row r="5329" spans="1:4" x14ac:dyDescent="0.2">
      <c r="A5329" s="10">
        <v>5268</v>
      </c>
      <c r="D5329" s="2" t="str">
        <f t="shared" si="82"/>
        <v>OK</v>
      </c>
    </row>
    <row r="5330" spans="1:4" x14ac:dyDescent="0.2">
      <c r="A5330" s="5">
        <v>5269</v>
      </c>
      <c r="B5330" s="138">
        <f>'Revenues 9-14'!D6</f>
        <v>70636</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699593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7088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7088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600</v>
      </c>
      <c r="C5355" s="2" t="s">
        <v>573</v>
      </c>
      <c r="D5355" s="2" t="str">
        <f t="shared" si="82"/>
        <v>Error?</v>
      </c>
    </row>
    <row r="5356" spans="1:4" x14ac:dyDescent="0.2">
      <c r="A5356" s="5">
        <v>5295</v>
      </c>
      <c r="B5356" s="138">
        <f>'Revenues 9-14'!D109</f>
        <v>707281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707281</v>
      </c>
      <c r="C5508" s="2" t="s">
        <v>573</v>
      </c>
      <c r="D5508" s="2" t="str">
        <f t="shared" si="85"/>
        <v>Error?</v>
      </c>
    </row>
    <row r="5509" spans="1:4" x14ac:dyDescent="0.2">
      <c r="A5509" s="5">
        <v>5448</v>
      </c>
      <c r="B5509" s="138">
        <f>'Revenues 9-14'!E5</f>
        <v>768083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768083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1185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1185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769268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769268</v>
      </c>
      <c r="C5552" s="2" t="s">
        <v>573</v>
      </c>
      <c r="D5552" s="2" t="str">
        <f t="shared" si="85"/>
        <v>Error?</v>
      </c>
    </row>
    <row r="5553" spans="1:4" x14ac:dyDescent="0.2">
      <c r="A5553" s="5">
        <v>5492</v>
      </c>
      <c r="B5553" s="138">
        <f>'Revenues 9-14'!F5</f>
        <v>301902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301902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3556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3556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305458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15562</v>
      </c>
      <c r="D5615" s="2" t="str">
        <f t="shared" si="86"/>
        <v>Error?</v>
      </c>
    </row>
    <row r="5616" spans="1:4" x14ac:dyDescent="0.2">
      <c r="A5616" s="10">
        <v>5555</v>
      </c>
      <c r="D5616" s="2" t="str">
        <f t="shared" si="86"/>
        <v>OK</v>
      </c>
    </row>
    <row r="5617" spans="1:5" x14ac:dyDescent="0.2">
      <c r="A5617" s="5">
        <v>5556</v>
      </c>
      <c r="B5617" s="138">
        <f>'Revenues 9-14'!F153</f>
        <v>140336</v>
      </c>
      <c r="D5617" s="2" t="str">
        <f t="shared" si="86"/>
        <v>Error?</v>
      </c>
    </row>
    <row r="5618" spans="1:5" x14ac:dyDescent="0.2">
      <c r="A5618" s="5">
        <v>5557</v>
      </c>
      <c r="B5618" s="138">
        <f>'Revenues 9-14'!F155</f>
        <v>155898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155898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155898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461356</v>
      </c>
      <c r="C5720" s="2" t="s">
        <v>573</v>
      </c>
      <c r="D5720" s="2" t="str">
        <f t="shared" si="88"/>
        <v>Error?</v>
      </c>
    </row>
    <row r="5721" spans="1:4" x14ac:dyDescent="0.2">
      <c r="A5721" s="5">
        <v>5660</v>
      </c>
      <c r="B5721" s="138">
        <f>'Revenues 9-14'!G5</f>
        <v>204200</v>
      </c>
      <c r="D5721" s="2" t="str">
        <f t="shared" si="88"/>
        <v>Error?</v>
      </c>
    </row>
    <row r="5722" spans="1:4" x14ac:dyDescent="0.2">
      <c r="A5722" s="5">
        <v>5661</v>
      </c>
      <c r="B5722" s="138">
        <f>'Revenues 9-14'!G7</f>
        <v>0</v>
      </c>
      <c r="D5722" s="2" t="str">
        <f t="shared" si="88"/>
        <v>Error?</v>
      </c>
    </row>
    <row r="5723" spans="1:4" x14ac:dyDescent="0.2">
      <c r="A5723" s="5">
        <v>5662</v>
      </c>
      <c r="B5723" s="138">
        <f>'Revenues 9-14'!G8</f>
        <v>191475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395675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11000</v>
      </c>
      <c r="C5730" s="2" t="s">
        <v>573</v>
      </c>
      <c r="D5730" s="2" t="str">
        <f t="shared" si="88"/>
        <v>Error?</v>
      </c>
    </row>
    <row r="5731" spans="1:4" x14ac:dyDescent="0.2">
      <c r="A5731" s="5">
        <v>5670</v>
      </c>
      <c r="B5731" s="138">
        <f>'Revenues 9-14'!G65</f>
        <v>4091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4091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410766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1367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1367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1367</v>
      </c>
      <c r="C5915" s="2" t="s">
        <v>573</v>
      </c>
      <c r="D5915" s="2" t="str">
        <f t="shared" si="91"/>
        <v>Error?</v>
      </c>
    </row>
    <row r="5916" spans="1:4" x14ac:dyDescent="0.2">
      <c r="A5916" s="5">
        <v>5855</v>
      </c>
      <c r="B5916" s="138">
        <f>'Revenues 9-14'!I5</f>
        <v>125789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125789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17472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17472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143261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125789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125789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9642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9642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135431</v>
      </c>
      <c r="C6023" s="2" t="s">
        <v>573</v>
      </c>
      <c r="D6023" s="2" t="str">
        <f t="shared" si="93"/>
        <v>Error?</v>
      </c>
    </row>
    <row r="6024" spans="1:5" x14ac:dyDescent="0.2">
      <c r="A6024" s="5">
        <v>5963</v>
      </c>
      <c r="B6024" s="138">
        <f>'Revenues 9-14'!G109</f>
        <v>410766</v>
      </c>
      <c r="C6024" s="2" t="s">
        <v>573</v>
      </c>
      <c r="D6024" s="2" t="str">
        <f t="shared" si="93"/>
        <v>Error?</v>
      </c>
    </row>
    <row r="6025" spans="1:5" x14ac:dyDescent="0.2">
      <c r="A6025" s="5">
        <v>5964</v>
      </c>
      <c r="B6025" s="138">
        <f>'Revenues 9-14'!H109</f>
        <v>1367</v>
      </c>
      <c r="C6025" s="2" t="s">
        <v>573</v>
      </c>
      <c r="D6025" s="2" t="str">
        <f t="shared" si="93"/>
        <v>Error?</v>
      </c>
    </row>
    <row r="6026" spans="1:5" x14ac:dyDescent="0.2">
      <c r="A6026" s="5">
        <v>5965</v>
      </c>
      <c r="B6026" s="138">
        <f>'Revenues 9-14'!I109</f>
        <v>143261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135431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81820</v>
      </c>
      <c r="D6031" s="2" t="str">
        <f t="shared" si="93"/>
        <v>Error?</v>
      </c>
    </row>
    <row r="6032" spans="1:5" x14ac:dyDescent="0.2">
      <c r="A6032" s="5">
        <v>5971</v>
      </c>
      <c r="B6032" s="138">
        <f>'Acct Summary 7-8'!G15</f>
        <v>234</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21264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671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1148633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1148633</v>
      </c>
      <c r="D6215" s="2" t="str">
        <f t="shared" si="96"/>
        <v>Error?</v>
      </c>
      <c r="E6215" s="2" t="s">
        <v>190</v>
      </c>
    </row>
    <row r="6216" spans="1:5" x14ac:dyDescent="0.2">
      <c r="A6216">
        <v>6155</v>
      </c>
      <c r="B6216" s="138">
        <f>'Assets-Liab 5-6'!J41</f>
        <v>1148633</v>
      </c>
      <c r="D6216" s="2" t="str">
        <f t="shared" si="96"/>
        <v>Error?</v>
      </c>
      <c r="E6216" s="2" t="s">
        <v>190</v>
      </c>
    </row>
    <row r="6217" spans="1:5" x14ac:dyDescent="0.2">
      <c r="A6217">
        <v>6156</v>
      </c>
      <c r="B6217" s="138">
        <f>'Assets-Liab 5-6'!J4</f>
        <v>1148633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746401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746401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746401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406356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406356</v>
      </c>
      <c r="D6229" s="2" t="str">
        <f t="shared" si="96"/>
        <v>Error?</v>
      </c>
      <c r="E6229" s="2" t="s">
        <v>190</v>
      </c>
    </row>
    <row r="6230" spans="1:5" x14ac:dyDescent="0.2">
      <c r="A6230">
        <v>6169</v>
      </c>
      <c r="B6230" s="138">
        <f>'Acct Summary 7-8'!J20</f>
        <v>340045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340045</v>
      </c>
      <c r="D6263" s="2" t="str">
        <f t="shared" si="96"/>
        <v>Error?</v>
      </c>
      <c r="E6263" s="2" t="s">
        <v>190</v>
      </c>
    </row>
    <row r="6264" spans="1:5" x14ac:dyDescent="0.2">
      <c r="A6264">
        <v>6203</v>
      </c>
      <c r="B6264" s="138">
        <f>'Acct Summary 7-8'!J79</f>
        <v>808588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1148633</v>
      </c>
      <c r="D6266" s="2" t="str">
        <f t="shared" si="96"/>
        <v>Error?</v>
      </c>
      <c r="E6266" s="2" t="s">
        <v>190</v>
      </c>
    </row>
    <row r="6267" spans="1:5" x14ac:dyDescent="0.2">
      <c r="A6267">
        <v>6206</v>
      </c>
      <c r="B6267" s="138">
        <f>'Acct Summary 7-8'!C82</f>
        <v>118695</v>
      </c>
      <c r="D6267" s="2" t="str">
        <f t="shared" si="96"/>
        <v>Error?</v>
      </c>
      <c r="E6267" s="2" t="s">
        <v>190</v>
      </c>
    </row>
    <row r="6268" spans="1:5" x14ac:dyDescent="0.2">
      <c r="A6268">
        <v>6207</v>
      </c>
      <c r="B6268" s="138">
        <f>'Acct Summary 7-8'!D82</f>
        <v>-247463</v>
      </c>
      <c r="D6268" s="2" t="str">
        <f t="shared" si="96"/>
        <v>Error?</v>
      </c>
      <c r="E6268" s="2" t="s">
        <v>190</v>
      </c>
    </row>
    <row r="6269" spans="1:5" x14ac:dyDescent="0.2">
      <c r="A6269">
        <v>6208</v>
      </c>
      <c r="B6269" s="138">
        <f>'Acct Summary 7-8'!E82</f>
        <v>12448</v>
      </c>
      <c r="D6269" s="2" t="str">
        <f t="shared" si="96"/>
        <v>Error?</v>
      </c>
      <c r="E6269" s="2" t="s">
        <v>190</v>
      </c>
    </row>
    <row r="6270" spans="1:5" x14ac:dyDescent="0.2">
      <c r="A6270">
        <v>6209</v>
      </c>
      <c r="B6270" s="138">
        <f>'Acct Summary 7-8'!F82</f>
        <v>10009</v>
      </c>
      <c r="D6270" s="2" t="str">
        <f t="shared" si="96"/>
        <v>Error?</v>
      </c>
      <c r="E6270" s="2" t="s">
        <v>190</v>
      </c>
    </row>
    <row r="6271" spans="1:5" x14ac:dyDescent="0.2">
      <c r="A6271">
        <v>6210</v>
      </c>
      <c r="B6271" s="138">
        <f>'Acct Summary 7-8'!G82</f>
        <v>163068</v>
      </c>
      <c r="D6271" s="2" t="str">
        <f t="shared" ref="D6271:D6334" si="97">IF(ISBLANK(B6271),"OK",IF(A6271-B6271=0,"OK","Error?"))</f>
        <v>Error?</v>
      </c>
      <c r="E6271" s="2" t="s">
        <v>190</v>
      </c>
    </row>
    <row r="6272" spans="1:5" x14ac:dyDescent="0.2">
      <c r="A6272">
        <v>6211</v>
      </c>
      <c r="B6272" s="138">
        <f>'Acct Summary 7-8'!H82</f>
        <v>78990</v>
      </c>
      <c r="D6272" s="2" t="str">
        <f t="shared" si="97"/>
        <v>Error?</v>
      </c>
      <c r="E6272" s="2" t="s">
        <v>190</v>
      </c>
    </row>
    <row r="6273" spans="1:5" x14ac:dyDescent="0.2">
      <c r="A6273">
        <v>6212</v>
      </c>
      <c r="B6273" s="138">
        <f>'Acct Summary 7-8'!I82</f>
        <v>-157239</v>
      </c>
      <c r="D6273" s="2" t="str">
        <f t="shared" si="97"/>
        <v>Error?</v>
      </c>
      <c r="E6273" s="2" t="s">
        <v>190</v>
      </c>
    </row>
    <row r="6274" spans="1:5" x14ac:dyDescent="0.2">
      <c r="A6274">
        <v>6213</v>
      </c>
      <c r="B6274" s="138">
        <f>'Acct Summary 7-8'!J82</f>
        <v>340045</v>
      </c>
      <c r="D6274" s="2" t="str">
        <f t="shared" si="97"/>
        <v>Error?</v>
      </c>
      <c r="E6274" s="2" t="s">
        <v>190</v>
      </c>
    </row>
    <row r="6275" spans="1:5" x14ac:dyDescent="0.2">
      <c r="A6275">
        <v>6214</v>
      </c>
      <c r="B6275" s="138">
        <f>'Acct Summary 7-8'!K82</f>
        <v>63455</v>
      </c>
      <c r="D6275" s="2" t="str">
        <f t="shared" si="97"/>
        <v>Error?</v>
      </c>
      <c r="E6275" s="2" t="s">
        <v>190</v>
      </c>
    </row>
    <row r="6276" spans="1:5" x14ac:dyDescent="0.2">
      <c r="A6276">
        <v>6215</v>
      </c>
      <c r="B6276" s="138">
        <f>'Acct Summary 7-8'!C83</f>
        <v>8.53753797817981E-2</v>
      </c>
      <c r="D6276" s="2" t="str">
        <f t="shared" si="97"/>
        <v>Error?</v>
      </c>
      <c r="E6276" s="2" t="s">
        <v>190</v>
      </c>
    </row>
    <row r="6277" spans="1:5" x14ac:dyDescent="0.2">
      <c r="A6277">
        <v>6216</v>
      </c>
      <c r="B6277" s="138">
        <f>'Acct Summary 7-8'!D83</f>
        <v>-0.25585266472913298</v>
      </c>
      <c r="D6277" s="2" t="str">
        <f t="shared" si="97"/>
        <v>Error?</v>
      </c>
      <c r="E6277" s="2" t="s">
        <v>190</v>
      </c>
    </row>
    <row r="6278" spans="1:5" x14ac:dyDescent="0.2">
      <c r="A6278">
        <v>6217</v>
      </c>
      <c r="B6278" s="138">
        <f>'Acct Summary 7-8'!E83</f>
        <v>4.565610478017363E-2</v>
      </c>
      <c r="D6278" s="2" t="str">
        <f t="shared" si="97"/>
        <v>Error?</v>
      </c>
      <c r="E6278" s="2" t="s">
        <v>190</v>
      </c>
    </row>
    <row r="6279" spans="1:5" x14ac:dyDescent="0.2">
      <c r="A6279">
        <v>6218</v>
      </c>
      <c r="B6279" s="138">
        <f>'Acct Summary 7-8'!F83</f>
        <v>1.8826614200183958E-2</v>
      </c>
      <c r="D6279" s="2" t="str">
        <f t="shared" si="97"/>
        <v>Error?</v>
      </c>
      <c r="E6279" s="2" t="s">
        <v>190</v>
      </c>
    </row>
    <row r="6280" spans="1:5" x14ac:dyDescent="0.2">
      <c r="A6280">
        <v>6219</v>
      </c>
      <c r="B6280" s="138">
        <f>'Acct Summary 7-8'!G83</f>
        <v>0.23202585084540289</v>
      </c>
      <c r="D6280" s="2" t="str">
        <f t="shared" si="97"/>
        <v>Error?</v>
      </c>
      <c r="E6280" s="2" t="s">
        <v>190</v>
      </c>
    </row>
    <row r="6281" spans="1:5" x14ac:dyDescent="0.2">
      <c r="A6281">
        <v>6220</v>
      </c>
      <c r="B6281" s="138">
        <f>'Acct Summary 7-8'!H83</f>
        <v>0.45452453016928868</v>
      </c>
      <c r="D6281" s="2" t="str">
        <f t="shared" si="97"/>
        <v>Error?</v>
      </c>
      <c r="E6281" s="2" t="s">
        <v>190</v>
      </c>
    </row>
    <row r="6282" spans="1:5" x14ac:dyDescent="0.2">
      <c r="A6282">
        <v>6221</v>
      </c>
      <c r="B6282" s="138">
        <f>'Acct Summary 7-8'!I83</f>
        <v>-6.2024503069096383E-2</v>
      </c>
      <c r="D6282" s="2" t="str">
        <f t="shared" si="97"/>
        <v>Error?</v>
      </c>
      <c r="E6282" s="2" t="s">
        <v>190</v>
      </c>
    </row>
    <row r="6283" spans="1:5" x14ac:dyDescent="0.2">
      <c r="A6283">
        <v>6222</v>
      </c>
      <c r="B6283" s="138">
        <f>'Acct Summary 7-8'!J83</f>
        <v>0.29604320962396169</v>
      </c>
      <c r="D6283" s="2" t="str">
        <f t="shared" si="97"/>
        <v>Error?</v>
      </c>
      <c r="E6283" s="2" t="s">
        <v>190</v>
      </c>
    </row>
    <row r="6284" spans="1:5" x14ac:dyDescent="0.2">
      <c r="A6284">
        <v>6223</v>
      </c>
      <c r="B6284" s="138">
        <f>'Acct Summary 7-8'!K83</f>
        <v>4.285997005104291E-2</v>
      </c>
      <c r="D6284" s="2" t="str">
        <f t="shared" si="97"/>
        <v>Error?</v>
      </c>
      <c r="E6284" s="2" t="s">
        <v>190</v>
      </c>
    </row>
    <row r="6285" spans="1:5" x14ac:dyDescent="0.2">
      <c r="A6285">
        <v>6224</v>
      </c>
      <c r="B6285" s="138">
        <f>'Acct Summary 7-8'!E37</f>
        <v>17942</v>
      </c>
      <c r="D6285" s="2" t="str">
        <f t="shared" si="97"/>
        <v>Error?</v>
      </c>
      <c r="E6285" s="2" t="s">
        <v>190</v>
      </c>
    </row>
    <row r="6286" spans="1:5" x14ac:dyDescent="0.2">
      <c r="A6286">
        <v>6225</v>
      </c>
      <c r="B6286" s="138">
        <f>'Acct Summary 7-8'!E38</f>
        <v>701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739991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739991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6410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6410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746401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171062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270192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406356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746401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12068</v>
      </c>
      <c r="D7073" s="2" t="str">
        <f t="shared" si="109"/>
        <v>Error?</v>
      </c>
    </row>
    <row r="7074" spans="1:4" x14ac:dyDescent="0.2">
      <c r="A7074">
        <v>7013</v>
      </c>
      <c r="B7074" s="138">
        <f>'Expenditures 15-22'!K216</f>
        <v>12068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28125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28125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166371</v>
      </c>
      <c r="D7172" s="2" t="str">
        <f t="shared" si="111"/>
        <v>Error?</v>
      </c>
    </row>
    <row r="7173" spans="1:4" x14ac:dyDescent="0.2">
      <c r="A7173">
        <v>7112</v>
      </c>
      <c r="B7173" s="138">
        <f>'Expenditures 15-22'!D325</f>
        <v>40731</v>
      </c>
      <c r="D7173" s="2" t="str">
        <f t="shared" si="111"/>
        <v>Error?</v>
      </c>
    </row>
    <row r="7174" spans="1:4" x14ac:dyDescent="0.2">
      <c r="A7174">
        <v>7113</v>
      </c>
      <c r="B7174" s="138">
        <f>'Expenditures 15-22'!E325</f>
        <v>84005</v>
      </c>
      <c r="D7174" s="2" t="str">
        <f t="shared" si="111"/>
        <v>Error?</v>
      </c>
    </row>
    <row r="7175" spans="1:4" x14ac:dyDescent="0.2">
      <c r="A7175">
        <v>7114</v>
      </c>
      <c r="B7175" s="138">
        <f>'Expenditures 15-22'!F325</f>
        <v>1352</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292459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25153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25153</v>
      </c>
      <c r="D7198" s="2" t="str">
        <f t="shared" si="111"/>
        <v>Error?</v>
      </c>
    </row>
    <row r="7199" spans="1:4" x14ac:dyDescent="0.2">
      <c r="A7199">
        <v>7138</v>
      </c>
      <c r="B7199" s="138">
        <f>'Expenditures 15-22'!C330</f>
        <v>166371</v>
      </c>
      <c r="D7199" s="2" t="str">
        <f t="shared" si="111"/>
        <v>Error?</v>
      </c>
    </row>
    <row r="7200" spans="1:4" x14ac:dyDescent="0.2">
      <c r="A7200">
        <v>7139</v>
      </c>
      <c r="B7200" s="138">
        <f>'Expenditures 15-22'!D330</f>
        <v>40731</v>
      </c>
      <c r="D7200" s="2" t="str">
        <f t="shared" si="111"/>
        <v>Error?</v>
      </c>
    </row>
    <row r="7201" spans="1:4" x14ac:dyDescent="0.2">
      <c r="A7201">
        <v>7140</v>
      </c>
      <c r="B7201" s="138">
        <f>'Expenditures 15-22'!E330</f>
        <v>197902</v>
      </c>
      <c r="D7201" s="2" t="str">
        <f t="shared" si="111"/>
        <v>Error?</v>
      </c>
    </row>
    <row r="7202" spans="1:4" x14ac:dyDescent="0.2">
      <c r="A7202">
        <v>7141</v>
      </c>
      <c r="B7202" s="138">
        <f>'Expenditures 15-22'!F330</f>
        <v>1352</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406356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166371</v>
      </c>
      <c r="D7216" s="2" t="str">
        <f t="shared" si="111"/>
        <v>Error?</v>
      </c>
    </row>
    <row r="7217" spans="1:4" x14ac:dyDescent="0.2">
      <c r="A7217">
        <v>7156</v>
      </c>
      <c r="B7217" s="138">
        <f>'Expenditures 15-22'!D342</f>
        <v>40731</v>
      </c>
      <c r="D7217" s="2" t="str">
        <f t="shared" si="111"/>
        <v>Error?</v>
      </c>
    </row>
    <row r="7218" spans="1:4" x14ac:dyDescent="0.2">
      <c r="A7218">
        <v>7157</v>
      </c>
      <c r="B7218" s="138">
        <f>'Expenditures 15-22'!E342</f>
        <v>197902</v>
      </c>
      <c r="D7218" s="2" t="str">
        <f t="shared" si="111"/>
        <v>Error?</v>
      </c>
    </row>
    <row r="7219" spans="1:4" x14ac:dyDescent="0.2">
      <c r="A7219">
        <v>7158</v>
      </c>
      <c r="B7219" s="138">
        <f>'Expenditures 15-22'!F342</f>
        <v>1352</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406356</v>
      </c>
      <c r="D7224" s="2" t="str">
        <f t="shared" si="111"/>
        <v>Error?</v>
      </c>
    </row>
    <row r="7225" spans="1:4" x14ac:dyDescent="0.2">
      <c r="A7225">
        <v>7164</v>
      </c>
      <c r="B7225" s="138">
        <f>'Expenditures 15-22'!K343</f>
        <v>340045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44928</v>
      </c>
      <c r="D7246" s="2" t="str">
        <f t="shared" si="112"/>
        <v>Error?</v>
      </c>
    </row>
    <row r="7247" spans="1:4" x14ac:dyDescent="0.2">
      <c r="A7247">
        <f t="shared" si="113"/>
        <v>7186</v>
      </c>
      <c r="B7247" s="138">
        <f>'Expenditures 15-22'!E7</f>
        <v>3204</v>
      </c>
      <c r="D7247" s="2" t="str">
        <f t="shared" si="112"/>
        <v>Error?</v>
      </c>
    </row>
    <row r="7248" spans="1:4" x14ac:dyDescent="0.2">
      <c r="A7248">
        <f t="shared" si="113"/>
        <v>7187</v>
      </c>
      <c r="B7248" s="138">
        <f>'Expenditures 15-22'!F7</f>
        <v>46024</v>
      </c>
      <c r="D7248" s="2" t="str">
        <f t="shared" si="112"/>
        <v>Error?</v>
      </c>
    </row>
    <row r="7249" spans="1:4" x14ac:dyDescent="0.2">
      <c r="A7249">
        <f t="shared" si="113"/>
        <v>7188</v>
      </c>
      <c r="B7249" s="138">
        <f>'Expenditures 15-22'!G7</f>
        <v>4974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339295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17942</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701</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60619</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60619</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50317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135573</v>
      </c>
      <c r="D7797" s="2" t="str">
        <f t="shared" si="127"/>
        <v>Error?</v>
      </c>
      <c r="E7797" s="4" t="s">
        <v>1903</v>
      </c>
    </row>
    <row r="7798" spans="1:5" x14ac:dyDescent="0.2">
      <c r="A7798">
        <v>7737</v>
      </c>
      <c r="B7798" s="138">
        <f>'Contracts Paid in CY 29'!F141</f>
        <v>75000</v>
      </c>
      <c r="D7798" s="2" t="str">
        <f t="shared" si="127"/>
        <v>Error?</v>
      </c>
      <c r="E7798" s="4" t="s">
        <v>1903</v>
      </c>
    </row>
    <row r="7799" spans="1:5" x14ac:dyDescent="0.2">
      <c r="A7799">
        <v>7738</v>
      </c>
      <c r="B7799" s="138">
        <f>'Contracts Paid in CY 29'!G141</f>
        <v>60573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A7" zoomScale="110" zoomScaleNormal="110" workbookViewId="0">
      <selection activeCell="V29" sqref="V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1988</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Pontiac-W Holiday SD 105</v>
      </c>
      <c r="B7" s="2383"/>
      <c r="C7" s="2383"/>
      <c r="D7" s="2420"/>
      <c r="E7" s="2421" t="str">
        <f>COVER!A13</f>
        <v>50-082-1050-02</v>
      </c>
      <c r="F7" s="2422"/>
      <c r="G7" s="2389" t="str">
        <f>COVER!T23</f>
        <v>066-005060</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DENNIS ROSE &amp; ASSOCIATES, P.C.</v>
      </c>
      <c r="H9" s="2396"/>
      <c r="I9" s="2396"/>
      <c r="J9" s="2396"/>
      <c r="K9" s="2396"/>
      <c r="L9" s="2397"/>
    </row>
    <row r="10" spans="1:29" ht="13.5" customHeight="1" x14ac:dyDescent="0.2">
      <c r="A10" s="2379">
        <f>COVER!A38</f>
        <v>0</v>
      </c>
      <c r="B10" s="2380"/>
      <c r="C10" s="2380"/>
      <c r="D10" s="2380"/>
      <c r="E10" s="2380"/>
      <c r="F10" s="2381"/>
      <c r="G10" s="2395" t="str">
        <f>COVER!T17</f>
        <v>1904 STATE STREET</v>
      </c>
      <c r="H10" s="2408"/>
      <c r="I10" s="2408"/>
      <c r="J10" s="2408"/>
      <c r="K10" s="2408"/>
      <c r="L10" s="2409"/>
    </row>
    <row r="11" spans="1:29" ht="13.5" customHeight="1" x14ac:dyDescent="0.2">
      <c r="A11" s="1184" t="s">
        <v>1519</v>
      </c>
      <c r="B11" s="1185"/>
      <c r="C11" s="1186"/>
      <c r="D11" s="1191"/>
      <c r="E11" s="1186"/>
      <c r="F11" s="1190"/>
      <c r="G11" s="2395" t="str">
        <f>COVER!T19</f>
        <v>ALTON</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DROSECPA@DRA-CPA.COM</v>
      </c>
      <c r="J13" s="2417"/>
      <c r="K13" s="2417"/>
      <c r="L13" s="2418"/>
    </row>
    <row r="14" spans="1:29" ht="13.5" customHeight="1" x14ac:dyDescent="0.2">
      <c r="A14" s="2395" t="str">
        <f>COVER!A19</f>
        <v>400 ASHLAND DR.</v>
      </c>
      <c r="B14" s="2408"/>
      <c r="C14" s="2408"/>
      <c r="D14" s="2408"/>
      <c r="E14" s="2408"/>
      <c r="F14" s="2409"/>
      <c r="G14" s="1195" t="s">
        <v>1185</v>
      </c>
      <c r="H14" s="1193"/>
      <c r="I14" s="1193"/>
      <c r="J14" s="1193"/>
      <c r="K14" s="1193"/>
      <c r="L14" s="1194"/>
    </row>
    <row r="15" spans="1:29" ht="13.5" customHeight="1" x14ac:dyDescent="0.2">
      <c r="A15" s="2395" t="str">
        <f>COVER!A21</f>
        <v>FAIRVIEW HEIGHTS</v>
      </c>
      <c r="B15" s="2408"/>
      <c r="C15" s="2408"/>
      <c r="D15" s="2408"/>
      <c r="E15" s="2408"/>
      <c r="F15" s="2409"/>
      <c r="G15" s="2405" t="str">
        <f>COVER!T15</f>
        <v>DENNIS ROSE</v>
      </c>
      <c r="H15" s="2406"/>
      <c r="I15" s="2406"/>
      <c r="J15" s="2406"/>
      <c r="K15" s="2406"/>
      <c r="L15" s="2407"/>
    </row>
    <row r="16" spans="1:29" ht="12.2" customHeight="1" x14ac:dyDescent="0.2">
      <c r="A16" s="2385">
        <f>COVER!A25</f>
        <v>62208</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618-465-4999</v>
      </c>
      <c r="H18" s="2383"/>
      <c r="I18" s="2383"/>
      <c r="J18" s="2383"/>
      <c r="K18" s="2382" t="str">
        <f>COVER!X21</f>
        <v>618-465-5050</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35" fitToHeight="0" orientation="portrait" r:id="rId1"/>
  <headerFooter>
    <oddHeader xml:space="preserve">&amp;C&amp;"Times New Roman,Regular"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V29" sqref="V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Pontiac-W Holiday SD 105</v>
      </c>
      <c r="B1" s="2419"/>
      <c r="C1" s="2419"/>
      <c r="D1" s="2419"/>
    </row>
    <row r="2" spans="1:11" s="1212" customFormat="1" ht="12.75" x14ac:dyDescent="0.2">
      <c r="A2" s="2424" t="str">
        <f>'Single Audit Cover'!E7</f>
        <v>50-082-1050-02</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75" right="0.75" top="1" bottom="0.5" header="0.5" footer="0.5"/>
  <pageSetup scale="89" firstPageNumber="36" fitToHeight="0" orientation="portrait" r:id="rId5"/>
  <headerFooter>
    <oddHeader xml:space="preserve">&amp;C&amp;"Times New Roman,Regular"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34" zoomScale="110" zoomScaleNormal="110" zoomScaleSheetLayoutView="100" workbookViewId="0">
      <selection activeCell="V29" sqref="V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Pontiac-W Holiday SD 105</v>
      </c>
      <c r="B1" s="2427"/>
      <c r="C1" s="2427"/>
      <c r="D1" s="2427"/>
      <c r="E1" s="2427"/>
    </row>
    <row r="2" spans="1:5" x14ac:dyDescent="0.2">
      <c r="A2" s="2428" t="str">
        <f>'Single Audit Cover'!E7</f>
        <v>50-082-1050-02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555878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21264</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-24803</v>
      </c>
    </row>
    <row r="19" spans="1:4" ht="13.5" thickBot="1" x14ac:dyDescent="0.25">
      <c r="A19" s="1262" t="s">
        <v>1235</v>
      </c>
      <c r="D19" s="1263">
        <f>SUM(D10:D17)</f>
        <v>552339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552339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552339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89" firstPageNumber="37" orientation="portrait" r:id="rId1"/>
  <headerFooter>
    <oddHeader xml:space="preserve">&amp;C&amp;"Times New Roman,Regular"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Pontiac-W Holiday SD 105</v>
      </c>
      <c r="C1" s="2431"/>
      <c r="D1" s="2431"/>
      <c r="E1" s="2431"/>
      <c r="F1" s="2431"/>
      <c r="G1" s="2431"/>
      <c r="H1" s="2431"/>
      <c r="I1" s="2431"/>
      <c r="J1" s="2431"/>
      <c r="K1" s="2431"/>
      <c r="L1" s="2431"/>
      <c r="M1" s="2431"/>
    </row>
    <row r="2" spans="2:14" ht="15" x14ac:dyDescent="0.2">
      <c r="B2" s="2432" t="str">
        <f>'Single Audit Cover'!E7</f>
        <v>50-082-1050-02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1733</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1838</v>
      </c>
      <c r="I8" s="1316" t="s">
        <v>1262</v>
      </c>
      <c r="J8" s="1315" t="s">
        <v>1989</v>
      </c>
      <c r="K8" s="1316" t="s">
        <v>1261</v>
      </c>
      <c r="L8" s="1317" t="s">
        <v>1257</v>
      </c>
      <c r="M8" s="1318" t="s">
        <v>30</v>
      </c>
    </row>
    <row r="9" spans="2:14" ht="14.25" x14ac:dyDescent="0.2">
      <c r="B9" s="1322" t="s">
        <v>1259</v>
      </c>
      <c r="C9" s="1310" t="s">
        <v>1734</v>
      </c>
      <c r="D9" s="1311" t="s">
        <v>1735</v>
      </c>
      <c r="E9" s="1319" t="s">
        <v>1838</v>
      </c>
      <c r="F9" s="1320" t="s">
        <v>1989</v>
      </c>
      <c r="G9" s="1321" t="s">
        <v>1838</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54" firstPageNumber="38" orientation="portrait" r:id="rId1"/>
  <headerFooter>
    <oddHeader xml:space="preserve">&amp;C&amp;"Times New Roman,Regular"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L36" sqref="L3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Pontiac-W Holiday SD 105</v>
      </c>
      <c r="B1" s="2436"/>
      <c r="C1" s="2436"/>
      <c r="D1" s="2436"/>
      <c r="E1" s="2436"/>
      <c r="F1" s="2436"/>
    </row>
    <row r="2" spans="1:7" ht="13.5" customHeight="1" x14ac:dyDescent="0.2">
      <c r="A2" s="2432" t="str">
        <f>'Single Audit Cover'!E7</f>
        <v>50-082-1050-02</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2074</v>
      </c>
      <c r="B7" s="2435"/>
      <c r="C7" s="2435"/>
      <c r="D7" s="2435"/>
      <c r="E7" s="2435"/>
      <c r="F7" s="243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8.75" customHeight="1" x14ac:dyDescent="0.2">
      <c r="A13" s="2435" t="s">
        <v>1730</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1731</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1837</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99</v>
      </c>
      <c r="D38" s="1903"/>
      <c r="E38" s="1283"/>
    </row>
    <row r="39" spans="1:6" ht="14.25" customHeight="1" x14ac:dyDescent="0.2">
      <c r="A39" s="328"/>
      <c r="B39" s="328" t="s">
        <v>1436</v>
      </c>
      <c r="C39" s="1289" t="s">
        <v>99</v>
      </c>
      <c r="D39" s="1903"/>
      <c r="E39" s="1283"/>
    </row>
    <row r="40" spans="1:6" ht="14.25" customHeight="1" x14ac:dyDescent="0.2">
      <c r="A40" s="328"/>
      <c r="B40" s="328" t="s">
        <v>1437</v>
      </c>
      <c r="C40" s="1289" t="s">
        <v>99</v>
      </c>
      <c r="D40" s="1903"/>
      <c r="E40" s="1283"/>
    </row>
    <row r="41" spans="1:6" ht="14.25" customHeight="1" x14ac:dyDescent="0.2">
      <c r="A41" s="328"/>
      <c r="B41" s="328" t="s">
        <v>1438</v>
      </c>
      <c r="C41" s="1289" t="s">
        <v>99</v>
      </c>
      <c r="D41" s="1903"/>
      <c r="E41" s="1283"/>
    </row>
    <row r="42" spans="1:6" ht="14.25" customHeight="1" x14ac:dyDescent="0.2">
      <c r="A42" s="328" t="s">
        <v>1439</v>
      </c>
      <c r="B42" s="328"/>
      <c r="C42" s="1901" t="s">
        <v>99</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1" bottom="0.5" header="0.5" footer="0.5"/>
  <pageSetup scale="82" firstPageNumber="39" orientation="portrait" r:id="rId1"/>
  <headerFooter>
    <oddHeader xml:space="preserve">&amp;C&amp;"Times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colorId="8" zoomScaleNormal="110" zoomScaleSheetLayoutView="10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2064</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0.75" bottom="0.5" header="0.5" footer="0.5"/>
  <pageSetup scale="48" firstPageNumber="3" orientation="portrait" useFirstPageNumber="1" r:id="rId1"/>
  <headerFooter>
    <oddHeader>&amp;C&amp;"Times New Roman,Regular"PONTIAC-WILLIAM HOLLIDAY SCHOOL DISTRICT NO. 105</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29" sqref="A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Pontiac-W Holiday SD 105</v>
      </c>
      <c r="C1" s="2452"/>
      <c r="D1" s="2452"/>
      <c r="E1" s="2452"/>
      <c r="F1" s="2452"/>
      <c r="G1" s="2452"/>
      <c r="H1" s="2452"/>
      <c r="I1" s="2452"/>
      <c r="J1" s="1406"/>
    </row>
    <row r="2" spans="2:10" s="317" customFormat="1" ht="12.75" customHeight="1" x14ac:dyDescent="0.2">
      <c r="B2" s="2453" t="str">
        <f>'Single Audit Cover'!E7</f>
        <v>50-082-1050-02</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59" t="s">
        <v>1750</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1840</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1" bottom="0.5" header="0.5" footer="0.5"/>
  <pageSetup scale="89" firstPageNumber="40" orientation="portrait" r:id="rId1"/>
  <headerFooter>
    <oddHeader xml:space="preserve">&amp;C&amp;"Times New Roman,Regular"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29" sqref="A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Pontiac-W Holiday SD 105</v>
      </c>
      <c r="C1" s="2451"/>
      <c r="D1" s="2451"/>
      <c r="E1" s="2451"/>
      <c r="F1" s="2451"/>
      <c r="G1" s="2451"/>
      <c r="H1" s="2451"/>
      <c r="I1" s="2451"/>
      <c r="J1" s="2451"/>
      <c r="K1" s="2451"/>
      <c r="L1" s="1371"/>
      <c r="M1" s="1371"/>
    </row>
    <row r="2" spans="1:13" ht="12" customHeight="1" x14ac:dyDescent="0.2">
      <c r="B2" s="2453" t="str">
        <f>'Single Audit Cover'!E7</f>
        <v>50-082-1050-02</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1286</v>
      </c>
      <c r="C39" s="1297"/>
      <c r="M39" s="1405"/>
    </row>
    <row r="40" spans="1:13" ht="12.6" customHeight="1" x14ac:dyDescent="0.2">
      <c r="B40" s="1404" t="s">
        <v>1746</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1"/>
  <headerFooter>
    <oddHeader xml:space="preserve">&amp;C&amp;"Times New Roman,Regular"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29" sqref="A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Pontiac-W Holiday SD 105</v>
      </c>
      <c r="C1" s="2478"/>
      <c r="D1" s="2478"/>
      <c r="E1" s="2478"/>
      <c r="F1" s="2478"/>
      <c r="G1" s="2478"/>
      <c r="H1" s="2478"/>
      <c r="I1" s="2478"/>
      <c r="J1" s="2478"/>
      <c r="K1" s="2478"/>
      <c r="L1" s="1449"/>
    </row>
    <row r="2" spans="1:12" ht="12.75" customHeight="1" x14ac:dyDescent="0.2">
      <c r="B2" s="2479" t="str">
        <f>'Single Audit Cover'!E7</f>
        <v>50-082-1050-02</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 bottom="0.5" header="0.5" footer="0.5"/>
  <pageSetup scale="89" firstPageNumber="42" orientation="portrait" r:id="rId1"/>
  <headerFooter>
    <oddHeader xml:space="preserve">&amp;C&amp;"Times New Roman,Regular"
</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Pontiac-W Holiday SD 105</v>
      </c>
      <c r="C1" s="2451"/>
      <c r="D1" s="2451"/>
      <c r="E1" s="1469"/>
    </row>
    <row r="2" spans="2:5" s="1279" customFormat="1" ht="12.75" customHeight="1" x14ac:dyDescent="0.2">
      <c r="B2" s="2453" t="str">
        <f>'Single Audit Cover'!E7</f>
        <v>50-082-1050-02</v>
      </c>
      <c r="C2" s="2453"/>
      <c r="D2" s="2453"/>
      <c r="E2" s="1470"/>
    </row>
    <row r="3" spans="2:5" ht="12.75" customHeight="1" x14ac:dyDescent="0.2">
      <c r="B3" s="2474" t="s">
        <v>1765</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1766</v>
      </c>
      <c r="C5" s="328"/>
      <c r="D5" s="328"/>
      <c r="E5" s="328"/>
    </row>
    <row r="6" spans="2:5" s="1279" customFormat="1" ht="13.5" customHeight="1" x14ac:dyDescent="0.2">
      <c r="B6" s="1473" t="s">
        <v>1315</v>
      </c>
      <c r="C6" s="1473" t="s">
        <v>1314</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1768</v>
      </c>
    </row>
    <row r="46" spans="2:5" ht="12.2" customHeight="1" x14ac:dyDescent="0.2">
      <c r="B46" s="1483" t="s">
        <v>1769</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rintOptions horizontalCentered="1"/>
  <pageMargins left="0.75" right="0.75" top="1" bottom="0.5" header="0.5" footer="0.5"/>
  <pageSetup scale="89" firstPageNumber="43" orientation="portrait" r:id="rId1"/>
  <headerFooter>
    <oddHeader xml:space="preserve">&amp;C&amp;"Times New Roman,Regular"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topLeftCell="A7" colorId="8" zoomScale="60" zoomScaleNormal="110" workbookViewId="0">
      <selection activeCell="H36" sqref="H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251567134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1.5699999999999999E-2</v>
      </c>
      <c r="E10" s="356" t="s">
        <v>1005</v>
      </c>
      <c r="F10" s="355">
        <v>2.5000000000000001E-3</v>
      </c>
      <c r="G10" s="356" t="s">
        <v>1005</v>
      </c>
      <c r="H10" s="355">
        <v>1.1999999999999999E-3</v>
      </c>
      <c r="I10" s="356" t="s">
        <v>1006</v>
      </c>
      <c r="J10" s="1732">
        <f>ROUND(D10+F10+H10,5)</f>
        <v>1.9400000000000001E-2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7562805</v>
      </c>
      <c r="E16" s="356"/>
      <c r="F16" s="1733">
        <f>SUM('Acct Summary 7-8'!C17,'Acct Summary 7-8'!D17,'Acct Summary 7-8'!F17)</f>
        <v>7319660</v>
      </c>
      <c r="G16" s="356"/>
      <c r="H16" s="1733">
        <f>SUM(D16-F16)</f>
        <v>243145</v>
      </c>
      <c r="I16" s="222"/>
      <c r="J16" s="1733">
        <f>SUM('Acct Summary 7-8'!C81,'Acct Summary 7-8'!D81,'Acct Summary 7-8'!F81,'Acct Summary 7-8'!I81)</f>
        <v>5424233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5">
        <f>IF(B31="X",(J7*0.069),IF(B32="X",(J7*0.138),"Enter x in a.or b."))</f>
        <v>17358132.246000003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768291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75" right="0.75" top="1" bottom="0.5" header="0.5" footer="0.5"/>
  <pageSetup scale="90" firstPageNumber="3" orientation="portrait" r:id="rId1"/>
  <headerFooter>
    <oddHeader>&amp;C&amp;"Times New Roman,Regular"PONTIAC-WILLIAM HOLLIDAY SCHOOL DISTRICT NO. 105</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91" zoomScaleNormal="86" zoomScaleSheetLayoutView="91" workbookViewId="0">
      <selection activeCell="A3" sqref="A3:R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Pontiac-W Holiday SD 105</v>
      </c>
      <c r="E7" s="391"/>
      <c r="G7" s="252"/>
      <c r="H7" s="387"/>
      <c r="I7" s="387"/>
      <c r="J7" s="387"/>
      <c r="K7" s="387"/>
      <c r="L7" s="329"/>
      <c r="M7" s="329"/>
      <c r="N7" s="329"/>
      <c r="O7" s="329"/>
      <c r="P7" s="329"/>
    </row>
    <row r="8" spans="1:18" ht="12.75" x14ac:dyDescent="0.2">
      <c r="A8" s="329"/>
      <c r="B8" s="329"/>
      <c r="C8" s="389" t="s">
        <v>1125</v>
      </c>
      <c r="D8" s="392" t="str">
        <f>COVER!A13</f>
        <v>50-082-1050-02</v>
      </c>
      <c r="E8" s="393"/>
      <c r="G8" s="329"/>
      <c r="H8" s="329"/>
      <c r="I8" s="329"/>
      <c r="J8" s="329"/>
      <c r="K8" s="329"/>
      <c r="L8" s="329"/>
      <c r="M8" s="329"/>
      <c r="N8" s="329"/>
      <c r="O8" s="329"/>
      <c r="P8" s="329"/>
    </row>
    <row r="9" spans="1:18" ht="12.75" x14ac:dyDescent="0.2">
      <c r="A9" s="329"/>
      <c r="B9" s="329"/>
      <c r="C9" s="389" t="s">
        <v>713</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5424233</v>
      </c>
      <c r="I12" s="404"/>
      <c r="J12" s="404"/>
      <c r="K12" s="405">
        <f>TRUNC((H12/H13*100000),5)/100000</f>
        <v>0.7172250242999999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7562805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7319660</v>
      </c>
      <c r="I17" s="404"/>
      <c r="J17" s="416"/>
      <c r="K17" s="405">
        <f>TRUNC((H17/H18*100000),5)/100000</f>
        <v>0.96784989160000001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7562805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5424233</v>
      </c>
      <c r="I24" s="422"/>
      <c r="J24" s="422"/>
      <c r="K24" s="423">
        <f>TRUNC(((H24/H25*100000)/100000),2)</f>
        <v>266.77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20332.388889999998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4148342.0396599998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768291</v>
      </c>
      <c r="I32" s="420"/>
      <c r="J32" s="420"/>
      <c r="K32" s="423">
        <f>TRUNC(100-((((H32/H33*100))*100)/100),2)</f>
        <v>95.57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17358132.246000003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75" right="0.75" top="1" bottom="0.5" header="0.5" footer="0.5"/>
  <pageSetup scale="78" firstPageNumber="4" orientation="landscape" r:id="rId3"/>
  <headerFooter>
    <oddHeader>&amp;C&amp;"Times New Roman,Regular"PONTIAC-WILLIAM HOLLIDAY SCHOOL DISTRICT NO. 105</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V29" sqref="V29"/>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1390272</v>
      </c>
      <c r="D4" s="466">
        <v>967209</v>
      </c>
      <c r="E4" s="466">
        <v>272647</v>
      </c>
      <c r="F4" s="466">
        <v>531641</v>
      </c>
      <c r="G4" s="466">
        <v>702801</v>
      </c>
      <c r="H4" s="466">
        <v>173786</v>
      </c>
      <c r="I4" s="466">
        <v>2535111</v>
      </c>
      <c r="J4" s="467">
        <v>1148633</v>
      </c>
      <c r="K4" s="466">
        <v>1480519</v>
      </c>
      <c r="L4" s="466">
        <v>52480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1390272</v>
      </c>
      <c r="D13" s="1737">
        <f t="shared" ref="D13:L13" si="0">SUM(D4:D12)</f>
        <v>967209</v>
      </c>
      <c r="E13" s="1737">
        <f t="shared" si="0"/>
        <v>272647</v>
      </c>
      <c r="F13" s="1737">
        <f t="shared" si="0"/>
        <v>531641</v>
      </c>
      <c r="G13" s="1737">
        <f t="shared" si="0"/>
        <v>702801</v>
      </c>
      <c r="H13" s="1737">
        <f t="shared" si="0"/>
        <v>173786</v>
      </c>
      <c r="I13" s="1737">
        <f t="shared" si="0"/>
        <v>2535111</v>
      </c>
      <c r="J13" s="1737">
        <f t="shared" si="0"/>
        <v>1148633</v>
      </c>
      <c r="K13" s="1737">
        <f t="shared" si="0"/>
        <v>1480519</v>
      </c>
      <c r="L13" s="1737">
        <f t="shared" si="0"/>
        <v>52480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60065</v>
      </c>
      <c r="N16" s="484"/>
    </row>
    <row r="17" spans="1:14" s="485" customFormat="1" ht="12.75" customHeight="1" x14ac:dyDescent="0.2">
      <c r="A17" s="482" t="s">
        <v>1403</v>
      </c>
      <c r="B17" s="483">
        <v>230</v>
      </c>
      <c r="C17" s="477"/>
      <c r="D17" s="477"/>
      <c r="E17" s="477"/>
      <c r="F17" s="477"/>
      <c r="G17" s="477"/>
      <c r="H17" s="477"/>
      <c r="I17" s="477"/>
      <c r="J17" s="477"/>
      <c r="K17" s="477"/>
      <c r="L17" s="477"/>
      <c r="M17" s="467">
        <v>13219824</v>
      </c>
      <c r="N17" s="484"/>
    </row>
    <row r="18" spans="1:14" s="485" customFormat="1" ht="12.75" customHeight="1" x14ac:dyDescent="0.2">
      <c r="A18" s="482" t="s">
        <v>1404</v>
      </c>
      <c r="B18" s="483">
        <v>240</v>
      </c>
      <c r="C18" s="477"/>
      <c r="D18" s="477"/>
      <c r="E18" s="477"/>
      <c r="F18" s="477"/>
      <c r="G18" s="477"/>
      <c r="H18" s="477"/>
      <c r="I18" s="477"/>
      <c r="J18" s="477"/>
      <c r="K18" s="477"/>
      <c r="L18" s="477"/>
      <c r="M18" s="467">
        <v>427432</v>
      </c>
      <c r="N18" s="484"/>
    </row>
    <row r="19" spans="1:14" s="485" customFormat="1" ht="12.75" customHeight="1" x14ac:dyDescent="0.2">
      <c r="A19" s="482" t="s">
        <v>1405</v>
      </c>
      <c r="B19" s="483">
        <v>250</v>
      </c>
      <c r="C19" s="477"/>
      <c r="D19" s="477"/>
      <c r="E19" s="477"/>
      <c r="F19" s="477"/>
      <c r="G19" s="477"/>
      <c r="H19" s="477"/>
      <c r="I19" s="477"/>
      <c r="J19" s="477"/>
      <c r="K19" s="477"/>
      <c r="L19" s="477"/>
      <c r="M19" s="467">
        <v>685982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272647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495644</v>
      </c>
    </row>
    <row r="23" spans="1:14" ht="13.5" customHeight="1" thickBot="1" x14ac:dyDescent="0.25">
      <c r="A23" s="1736" t="s">
        <v>643</v>
      </c>
      <c r="B23" s="1741"/>
      <c r="C23" s="468"/>
      <c r="D23" s="468"/>
      <c r="E23" s="468"/>
      <c r="F23" s="468"/>
      <c r="G23" s="468"/>
      <c r="H23" s="468"/>
      <c r="I23" s="468"/>
      <c r="J23" s="468"/>
      <c r="K23" s="468"/>
      <c r="L23" s="468"/>
      <c r="M23" s="1688">
        <f>SUM(M15:M22)</f>
        <v>14393303</v>
      </c>
      <c r="N23" s="1688">
        <f>SUM(N21:N22)</f>
        <v>768291</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52480</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52480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768291</v>
      </c>
    </row>
    <row r="37" spans="1:14" ht="13.5" thickBot="1" x14ac:dyDescent="0.25">
      <c r="A37" s="1736" t="s">
        <v>653</v>
      </c>
      <c r="B37" s="1741"/>
      <c r="C37" s="477"/>
      <c r="D37" s="477"/>
      <c r="E37" s="477"/>
      <c r="F37" s="477"/>
      <c r="G37" s="477"/>
      <c r="H37" s="477"/>
      <c r="I37" s="477"/>
      <c r="J37" s="477"/>
      <c r="K37" s="477"/>
      <c r="L37" s="480"/>
      <c r="M37" s="468"/>
      <c r="N37" s="1688">
        <f>SUM(N36:N36)</f>
        <v>768291</v>
      </c>
    </row>
    <row r="38" spans="1:14" s="329" customFormat="1" ht="13.5" customHeight="1" thickTop="1" x14ac:dyDescent="0.2">
      <c r="A38" s="496" t="s">
        <v>420</v>
      </c>
      <c r="B38" s="483">
        <v>714</v>
      </c>
      <c r="C38" s="466"/>
      <c r="D38" s="466"/>
      <c r="E38" s="466"/>
      <c r="F38" s="466"/>
      <c r="G38" s="466">
        <v>328893</v>
      </c>
      <c r="H38" s="466"/>
      <c r="I38" s="466"/>
      <c r="J38" s="467"/>
      <c r="K38" s="466"/>
      <c r="L38" s="481"/>
      <c r="M38" s="497"/>
      <c r="N38" s="497"/>
    </row>
    <row r="39" spans="1:14" s="329" customFormat="1" ht="13.5" customHeight="1" x14ac:dyDescent="0.2">
      <c r="A39" s="496" t="s">
        <v>342</v>
      </c>
      <c r="B39" s="483">
        <v>730</v>
      </c>
      <c r="C39" s="466">
        <v>1390272</v>
      </c>
      <c r="D39" s="466">
        <v>967209</v>
      </c>
      <c r="E39" s="466">
        <v>272647</v>
      </c>
      <c r="F39" s="466">
        <v>531641</v>
      </c>
      <c r="G39" s="466">
        <v>373908</v>
      </c>
      <c r="H39" s="466">
        <v>173786</v>
      </c>
      <c r="I39" s="466">
        <v>2535111</v>
      </c>
      <c r="J39" s="467">
        <v>1148633</v>
      </c>
      <c r="K39" s="466">
        <v>1480519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14393303</v>
      </c>
      <c r="N40" s="497"/>
    </row>
    <row r="41" spans="1:14" ht="13.5" customHeight="1" thickBot="1" x14ac:dyDescent="0.25">
      <c r="A41" s="1736" t="s">
        <v>655</v>
      </c>
      <c r="B41" s="1706"/>
      <c r="C41" s="1688">
        <f>(SUM(C34,C37,C38,C39))</f>
        <v>1390272</v>
      </c>
      <c r="D41" s="1688">
        <f t="shared" ref="D41:L41" si="2">SUM(D34,D37,D38:D39)</f>
        <v>967209</v>
      </c>
      <c r="E41" s="1688">
        <f t="shared" si="2"/>
        <v>272647</v>
      </c>
      <c r="F41" s="1688">
        <f t="shared" si="2"/>
        <v>531641</v>
      </c>
      <c r="G41" s="1688">
        <f t="shared" si="2"/>
        <v>702801</v>
      </c>
      <c r="H41" s="1688">
        <f t="shared" si="2"/>
        <v>173786</v>
      </c>
      <c r="I41" s="1688">
        <f t="shared" si="2"/>
        <v>2535111</v>
      </c>
      <c r="J41" s="1688">
        <f t="shared" si="2"/>
        <v>1148633</v>
      </c>
      <c r="K41" s="1688">
        <f t="shared" si="2"/>
        <v>1480519</v>
      </c>
      <c r="L41" s="1688">
        <f t="shared" si="2"/>
        <v>52480</v>
      </c>
      <c r="M41" s="1688">
        <f>SUM(M40)</f>
        <v>14393303</v>
      </c>
      <c r="N41" s="1688">
        <f>SUM(N37)</f>
        <v>768291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gridLinesSet="0"/>
  <pageMargins left="0.75" right="0.75" top="1.5" bottom="0.5" header="0.5" footer="0.5"/>
  <pageSetup scale="55" firstPageNumber="11" orientation="landscape" useFirstPageNumber="1" r:id="rId1"/>
  <headerFooter>
    <oddHeader>&amp;C&amp;"Times New Roman,Regular"PONTIAC-WILLIAM HOLLIDAY SCHOOL DISTRICT NO. 105
STATEMENT OF ASSETS AND LIABILITIES FROM CASH TRANSACTIONS - CASH - REGULATORY BASIS
ALL FUNDS AND ACCOUNT GROUPS
 JUNE 30, 2019</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topLeftCell="D1" colorId="8" zoomScaleNormal="110" zoomScaleSheetLayoutView="100" workbookViewId="0">
      <selection activeCell="I48" sqref="I4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4605980</v>
      </c>
      <c r="D4" s="1742">
        <f>'Revenues 9-14'!D109</f>
        <v>707281</v>
      </c>
      <c r="E4" s="1742">
        <f>'Revenues 9-14'!E109</f>
        <v>769268</v>
      </c>
      <c r="F4" s="1742">
        <f>'Revenues 9-14'!F109</f>
        <v>305458</v>
      </c>
      <c r="G4" s="1742">
        <f>'Revenues 9-14'!G109</f>
        <v>410766</v>
      </c>
      <c r="H4" s="1742">
        <f>'Revenues 9-14'!H109</f>
        <v>1367</v>
      </c>
      <c r="I4" s="1742">
        <f>'Revenues 9-14'!I109</f>
        <v>143261</v>
      </c>
      <c r="J4" s="1742">
        <f>'Revenues 9-14'!J109</f>
        <v>746401</v>
      </c>
      <c r="K4" s="1742">
        <f>'Revenues 9-14'!K109</f>
        <v>135431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1089049</v>
      </c>
      <c r="D6" s="1743">
        <f>'Revenues 9-14'!D170</f>
        <v>0</v>
      </c>
      <c r="E6" s="1743">
        <f>'Revenues 9-14'!E170</f>
        <v>0</v>
      </c>
      <c r="F6" s="1743">
        <f>'Revenues 9-14'!F170</f>
        <v>155898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555878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6250907</v>
      </c>
      <c r="D8" s="1688">
        <f t="shared" ref="D8:K8" si="0">SUM(D4:D7)</f>
        <v>707281</v>
      </c>
      <c r="E8" s="1688">
        <f t="shared" si="0"/>
        <v>769268</v>
      </c>
      <c r="F8" s="1688">
        <f t="shared" si="0"/>
        <v>461356</v>
      </c>
      <c r="G8" s="1688">
        <f t="shared" si="0"/>
        <v>410766</v>
      </c>
      <c r="H8" s="1688">
        <f t="shared" si="0"/>
        <v>1367</v>
      </c>
      <c r="I8" s="1688">
        <f t="shared" si="0"/>
        <v>143261</v>
      </c>
      <c r="J8" s="1688">
        <f t="shared" si="0"/>
        <v>746401</v>
      </c>
      <c r="K8" s="1688">
        <f t="shared" si="0"/>
        <v>135431</v>
      </c>
      <c r="L8" s="347"/>
    </row>
    <row r="9" spans="1:13" ht="15.75" thickTop="1" x14ac:dyDescent="0.2">
      <c r="A9" s="514" t="s">
        <v>1653</v>
      </c>
      <c r="B9" s="515">
        <v>3998</v>
      </c>
      <c r="C9" s="481">
        <v>2591105</v>
      </c>
      <c r="D9" s="516"/>
      <c r="E9" s="481"/>
      <c r="F9" s="481"/>
      <c r="G9" s="517"/>
      <c r="H9" s="481"/>
      <c r="I9" s="509" t="s">
        <v>1169</v>
      </c>
      <c r="J9" s="478"/>
      <c r="K9" s="481"/>
      <c r="L9" s="347"/>
    </row>
    <row r="10" spans="1:13" s="519" customFormat="1" ht="13.5" thickBot="1" x14ac:dyDescent="0.25">
      <c r="A10" s="1736" t="s">
        <v>1173</v>
      </c>
      <c r="B10" s="1709"/>
      <c r="C10" s="1688">
        <f>SUM(C8:C9)</f>
        <v>8842012</v>
      </c>
      <c r="D10" s="1688">
        <f t="shared" ref="D10:K10" si="1">SUM(D8:D9)</f>
        <v>707281</v>
      </c>
      <c r="E10" s="1688">
        <f t="shared" si="1"/>
        <v>769268</v>
      </c>
      <c r="F10" s="1688">
        <f t="shared" si="1"/>
        <v>461356</v>
      </c>
      <c r="G10" s="1688">
        <f t="shared" si="1"/>
        <v>410766</v>
      </c>
      <c r="H10" s="1688">
        <f t="shared" si="1"/>
        <v>1367</v>
      </c>
      <c r="I10" s="1688">
        <f t="shared" si="1"/>
        <v>143261</v>
      </c>
      <c r="J10" s="1688">
        <f t="shared" si="1"/>
        <v>746401</v>
      </c>
      <c r="K10" s="1688">
        <f t="shared" si="1"/>
        <v>135431</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4202973</v>
      </c>
      <c r="D12" s="520" t="s">
        <v>1169</v>
      </c>
      <c r="E12" s="468" t="s">
        <v>1169</v>
      </c>
      <c r="F12" s="468" t="s">
        <v>1169</v>
      </c>
      <c r="G12" s="1742">
        <f>'Expenditures 15-22'!K229</f>
        <v>126449</v>
      </c>
      <c r="H12" s="521"/>
      <c r="I12" s="468" t="s">
        <v>1169</v>
      </c>
      <c r="J12" s="468" t="s">
        <v>1169</v>
      </c>
      <c r="K12" s="521" t="s">
        <v>1169</v>
      </c>
      <c r="L12" s="347"/>
    </row>
    <row r="13" spans="1:13" ht="15.75" customHeight="1" x14ac:dyDescent="0.2">
      <c r="A13" s="1576" t="s">
        <v>457</v>
      </c>
      <c r="B13" s="1578">
        <v>2000</v>
      </c>
      <c r="C13" s="1743">
        <f>'Expenditures 15-22'!K74</f>
        <v>1294286</v>
      </c>
      <c r="D13" s="1743">
        <f>'Expenditures 15-22'!K129</f>
        <v>754744</v>
      </c>
      <c r="E13" s="469" t="s">
        <v>1169</v>
      </c>
      <c r="F13" s="1743">
        <f>'Expenditures 15-22'!K184</f>
        <v>451347</v>
      </c>
      <c r="G13" s="1743">
        <f>'Expenditures 15-22'!K279</f>
        <v>107200</v>
      </c>
      <c r="H13" s="1743">
        <f>'Expenditures 15-22'!K303</f>
        <v>422877</v>
      </c>
      <c r="I13" s="468" t="s">
        <v>1169</v>
      </c>
      <c r="J13" s="1743">
        <f>'Expenditures 15-22'!K330</f>
        <v>406356</v>
      </c>
      <c r="K13" s="1747">
        <f>'Expenditures 15-22'!K352</f>
        <v>71976</v>
      </c>
      <c r="L13" s="347"/>
    </row>
    <row r="14" spans="1:13" ht="15.75" customHeight="1" x14ac:dyDescent="0.2">
      <c r="A14" s="1576" t="s">
        <v>449</v>
      </c>
      <c r="B14" s="1578">
        <v>3000</v>
      </c>
      <c r="C14" s="1743">
        <f>'Expenditures 15-22'!K75</f>
        <v>117476</v>
      </c>
      <c r="D14" s="1743">
        <f>'Expenditures 15-22'!K130</f>
        <v>0</v>
      </c>
      <c r="E14" s="520" t="s">
        <v>1169</v>
      </c>
      <c r="F14" s="1743">
        <f>'Expenditures 15-22'!K185</f>
        <v>0</v>
      </c>
      <c r="G14" s="1743">
        <f>'Expenditures 15-22'!K280</f>
        <v>13815</v>
      </c>
      <c r="H14" s="512"/>
      <c r="I14" s="468" t="s">
        <v>1169</v>
      </c>
      <c r="J14" s="468" t="s">
        <v>1169</v>
      </c>
      <c r="K14" s="512" t="s">
        <v>1169</v>
      </c>
      <c r="L14" s="347"/>
    </row>
    <row r="15" spans="1:13" ht="15.75" customHeight="1" x14ac:dyDescent="0.2">
      <c r="A15" s="1576" t="s">
        <v>107</v>
      </c>
      <c r="B15" s="1578">
        <v>4000</v>
      </c>
      <c r="C15" s="1743">
        <f>'Expenditures 15-22'!K102</f>
        <v>498834</v>
      </c>
      <c r="D15" s="1743">
        <f>'Expenditures 15-22'!K139</f>
        <v>0</v>
      </c>
      <c r="E15" s="1743">
        <f>'Expenditures 15-22'!K160</f>
        <v>0</v>
      </c>
      <c r="F15" s="1743">
        <f>'Expenditures 15-22'!K196</f>
        <v>0</v>
      </c>
      <c r="G15" s="1743">
        <f>'Expenditures 15-22'!K285</f>
        <v>234</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775463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6113569</v>
      </c>
      <c r="D17" s="1688">
        <f t="shared" si="2"/>
        <v>754744</v>
      </c>
      <c r="E17" s="1688">
        <f t="shared" si="2"/>
        <v>775463</v>
      </c>
      <c r="F17" s="1688">
        <f t="shared" si="2"/>
        <v>451347</v>
      </c>
      <c r="G17" s="1688">
        <f t="shared" si="2"/>
        <v>247698</v>
      </c>
      <c r="H17" s="1688">
        <f t="shared" si="2"/>
        <v>422877</v>
      </c>
      <c r="I17" s="468"/>
      <c r="J17" s="1688">
        <f>SUM(J12:J16)</f>
        <v>406356</v>
      </c>
      <c r="K17" s="1688">
        <f>SUM(K12:K16)</f>
        <v>71976</v>
      </c>
      <c r="L17" s="347"/>
    </row>
    <row r="18" spans="1:12" ht="15" customHeight="1" thickTop="1" x14ac:dyDescent="0.2">
      <c r="A18" s="1744" t="s">
        <v>1654</v>
      </c>
      <c r="B18" s="1745">
        <v>4180</v>
      </c>
      <c r="C18" s="1742">
        <f t="shared" ref="C18:H18" si="3">C9</f>
        <v>2591105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8704674</v>
      </c>
      <c r="D19" s="1688">
        <f t="shared" si="4"/>
        <v>754744</v>
      </c>
      <c r="E19" s="1688">
        <f t="shared" si="4"/>
        <v>775463</v>
      </c>
      <c r="F19" s="1688">
        <f t="shared" si="4"/>
        <v>451347</v>
      </c>
      <c r="G19" s="1688">
        <f t="shared" si="4"/>
        <v>247698</v>
      </c>
      <c r="H19" s="1688">
        <f t="shared" si="4"/>
        <v>422877</v>
      </c>
      <c r="I19" s="468"/>
      <c r="J19" s="1688">
        <f>SUM(J17:J18)</f>
        <v>406356</v>
      </c>
      <c r="K19" s="1688">
        <f>SUM(K17:K18)</f>
        <v>71976</v>
      </c>
      <c r="L19" s="347"/>
    </row>
    <row r="20" spans="1:12" ht="16.5" thickTop="1" thickBot="1" x14ac:dyDescent="0.25">
      <c r="A20" s="2124" t="s">
        <v>1655</v>
      </c>
      <c r="B20" s="2125"/>
      <c r="C20" s="1746">
        <f>C8-C17</f>
        <v>137338</v>
      </c>
      <c r="D20" s="1746">
        <f t="shared" ref="D20:K20" si="5">D8-D17</f>
        <v>-47463</v>
      </c>
      <c r="E20" s="1746">
        <f t="shared" si="5"/>
        <v>-6195</v>
      </c>
      <c r="F20" s="1746">
        <f t="shared" si="5"/>
        <v>10009</v>
      </c>
      <c r="G20" s="1746">
        <f t="shared" si="5"/>
        <v>163068</v>
      </c>
      <c r="H20" s="1746">
        <f t="shared" si="5"/>
        <v>-421510</v>
      </c>
      <c r="I20" s="1746">
        <f t="shared" si="5"/>
        <v>143261</v>
      </c>
      <c r="J20" s="1746">
        <f t="shared" si="5"/>
        <v>340045</v>
      </c>
      <c r="K20" s="1746">
        <f t="shared" si="5"/>
        <v>63455</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v>300500</v>
      </c>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17942</v>
      </c>
      <c r="F37" s="475"/>
      <c r="G37" s="475"/>
      <c r="H37" s="475"/>
      <c r="I37" s="477"/>
      <c r="J37" s="475"/>
      <c r="K37" s="475"/>
      <c r="L37" s="524"/>
    </row>
    <row r="38" spans="1:12" s="485" customFormat="1" x14ac:dyDescent="0.2">
      <c r="A38" s="1489" t="s">
        <v>442</v>
      </c>
      <c r="B38" s="525">
        <v>7500</v>
      </c>
      <c r="C38" s="477"/>
      <c r="D38" s="477"/>
      <c r="E38" s="1743">
        <f>SUM(C58:D61,H58:H61)</f>
        <v>701</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v>200000</v>
      </c>
      <c r="I43" s="467"/>
      <c r="J43" s="467"/>
      <c r="K43" s="467"/>
      <c r="L43" s="524"/>
    </row>
    <row r="44" spans="1:12" s="485" customFormat="1" ht="13.5" customHeight="1" thickBot="1" x14ac:dyDescent="0.25">
      <c r="A44" s="2138" t="s">
        <v>374</v>
      </c>
      <c r="B44" s="2139"/>
      <c r="C44" s="1703">
        <f>SUM(C24:C43)</f>
        <v>0</v>
      </c>
      <c r="D44" s="1703">
        <f t="shared" ref="D44:K44" si="6">SUM(D24:D43)</f>
        <v>0</v>
      </c>
      <c r="E44" s="1703">
        <f t="shared" si="6"/>
        <v>18643</v>
      </c>
      <c r="F44" s="1703">
        <f t="shared" si="6"/>
        <v>0</v>
      </c>
      <c r="G44" s="1703">
        <f t="shared" si="6"/>
        <v>0</v>
      </c>
      <c r="H44" s="1703">
        <f t="shared" si="6"/>
        <v>500500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300500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v>17942</v>
      </c>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v>701</v>
      </c>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v>200000</v>
      </c>
      <c r="E75" s="530"/>
      <c r="F75" s="532"/>
      <c r="G75" s="532"/>
      <c r="H75" s="532"/>
      <c r="I75" s="530"/>
      <c r="J75" s="530"/>
      <c r="K75" s="532"/>
      <c r="L75" s="524"/>
    </row>
    <row r="76" spans="1:12" s="485" customFormat="1" ht="14.25" thickTop="1" thickBot="1" x14ac:dyDescent="0.25">
      <c r="A76" s="2114" t="s">
        <v>440</v>
      </c>
      <c r="B76" s="2115"/>
      <c r="C76" s="1703">
        <f t="shared" ref="C76:K76" si="7">SUM(C47:C75)</f>
        <v>18643</v>
      </c>
      <c r="D76" s="1703">
        <f t="shared" si="7"/>
        <v>200000</v>
      </c>
      <c r="E76" s="1703">
        <f t="shared" si="7"/>
        <v>0</v>
      </c>
      <c r="F76" s="1703">
        <f t="shared" si="7"/>
        <v>0</v>
      </c>
      <c r="G76" s="1703">
        <f t="shared" si="7"/>
        <v>0</v>
      </c>
      <c r="H76" s="1703">
        <f t="shared" si="7"/>
        <v>0</v>
      </c>
      <c r="I76" s="1703">
        <f t="shared" si="7"/>
        <v>300500</v>
      </c>
      <c r="J76" s="1703">
        <f t="shared" si="7"/>
        <v>0</v>
      </c>
      <c r="K76" s="1703">
        <f t="shared" si="7"/>
        <v>0</v>
      </c>
      <c r="L76" s="524"/>
    </row>
    <row r="77" spans="1:12" ht="14.25" thickTop="1" thickBot="1" x14ac:dyDescent="0.25">
      <c r="A77" s="2116" t="s">
        <v>1177</v>
      </c>
      <c r="B77" s="2117"/>
      <c r="C77" s="1703">
        <f t="shared" ref="C77:K77" si="8">C44-C76</f>
        <v>-18643</v>
      </c>
      <c r="D77" s="1703">
        <f t="shared" si="8"/>
        <v>-200000</v>
      </c>
      <c r="E77" s="1703">
        <f t="shared" si="8"/>
        <v>18643</v>
      </c>
      <c r="F77" s="1703">
        <f t="shared" si="8"/>
        <v>0</v>
      </c>
      <c r="G77" s="1703">
        <f t="shared" si="8"/>
        <v>0</v>
      </c>
      <c r="H77" s="1703">
        <f t="shared" si="8"/>
        <v>500500</v>
      </c>
      <c r="I77" s="1703">
        <f t="shared" si="8"/>
        <v>-300500</v>
      </c>
      <c r="J77" s="1703">
        <f t="shared" si="8"/>
        <v>0</v>
      </c>
      <c r="K77" s="1703">
        <f t="shared" si="8"/>
        <v>0</v>
      </c>
      <c r="L77" s="347"/>
    </row>
    <row r="78" spans="1:12" ht="21.75" customHeight="1" thickTop="1" thickBot="1" x14ac:dyDescent="0.25">
      <c r="A78" s="2120" t="s">
        <v>597</v>
      </c>
      <c r="B78" s="2121"/>
      <c r="C78" s="1702">
        <f t="shared" ref="C78:K78" si="9">C20+C77</f>
        <v>118695</v>
      </c>
      <c r="D78" s="1702">
        <f t="shared" si="9"/>
        <v>-247463</v>
      </c>
      <c r="E78" s="1702">
        <f t="shared" si="9"/>
        <v>12448</v>
      </c>
      <c r="F78" s="1702">
        <f t="shared" si="9"/>
        <v>10009</v>
      </c>
      <c r="G78" s="1702">
        <f t="shared" si="9"/>
        <v>163068</v>
      </c>
      <c r="H78" s="1702">
        <f t="shared" si="9"/>
        <v>78990</v>
      </c>
      <c r="I78" s="1702">
        <f t="shared" si="9"/>
        <v>-157239</v>
      </c>
      <c r="J78" s="1702">
        <f t="shared" si="9"/>
        <v>340045</v>
      </c>
      <c r="K78" s="1702">
        <f t="shared" si="9"/>
        <v>63455</v>
      </c>
      <c r="L78" s="533"/>
    </row>
    <row r="79" spans="1:12" ht="13.5" thickTop="1" x14ac:dyDescent="0.2">
      <c r="A79" s="1494" t="s">
        <v>1948</v>
      </c>
      <c r="B79" s="534"/>
      <c r="C79" s="478">
        <v>1271577</v>
      </c>
      <c r="D79" s="535">
        <v>1214672</v>
      </c>
      <c r="E79" s="535">
        <v>260199</v>
      </c>
      <c r="F79" s="535">
        <v>521632</v>
      </c>
      <c r="G79" s="535">
        <v>539733</v>
      </c>
      <c r="H79" s="535">
        <v>94796</v>
      </c>
      <c r="I79" s="535">
        <v>2692350</v>
      </c>
      <c r="J79" s="535">
        <v>808588</v>
      </c>
      <c r="K79" s="535">
        <v>1417064</v>
      </c>
      <c r="L79" s="347"/>
    </row>
    <row r="80" spans="1:12" x14ac:dyDescent="0.2">
      <c r="A80" s="2126" t="s">
        <v>1794</v>
      </c>
      <c r="B80" s="2127"/>
      <c r="C80" s="467"/>
      <c r="D80" s="467"/>
      <c r="E80" s="467"/>
      <c r="F80" s="467"/>
      <c r="G80" s="467"/>
      <c r="H80" s="467"/>
      <c r="I80" s="467"/>
      <c r="J80" s="467"/>
      <c r="K80" s="467"/>
      <c r="L80" s="347"/>
    </row>
    <row r="81" spans="1:12" ht="13.5" thickBot="1" x14ac:dyDescent="0.25">
      <c r="A81" s="2118" t="s">
        <v>1949</v>
      </c>
      <c r="B81" s="2119"/>
      <c r="C81" s="1688">
        <f>(SUM(C78:C80))</f>
        <v>1390272</v>
      </c>
      <c r="D81" s="1688">
        <f>SUM(D78:D80)</f>
        <v>967209</v>
      </c>
      <c r="E81" s="1688">
        <f t="shared" ref="E81:K81" si="10">SUM(E78:E80)</f>
        <v>272647</v>
      </c>
      <c r="F81" s="1688">
        <f t="shared" si="10"/>
        <v>531641</v>
      </c>
      <c r="G81" s="1688">
        <f t="shared" si="10"/>
        <v>702801</v>
      </c>
      <c r="H81" s="1688">
        <f t="shared" si="10"/>
        <v>173786</v>
      </c>
      <c r="I81" s="1688">
        <f t="shared" si="10"/>
        <v>2535111</v>
      </c>
      <c r="J81" s="1688">
        <f t="shared" si="10"/>
        <v>1148633</v>
      </c>
      <c r="K81" s="1688">
        <f t="shared" si="10"/>
        <v>1480519</v>
      </c>
      <c r="L81" s="347"/>
    </row>
    <row r="82" spans="1:12" ht="0.75" customHeight="1" thickTop="1" thickBot="1" x14ac:dyDescent="0.25">
      <c r="A82" s="536" t="s">
        <v>343</v>
      </c>
      <c r="B82" s="537"/>
      <c r="C82" s="538">
        <f>(C81-C79)</f>
        <v>118695</v>
      </c>
      <c r="D82" s="538">
        <f t="shared" ref="D82:K82" si="11">(D81-D79)</f>
        <v>-247463</v>
      </c>
      <c r="E82" s="538">
        <f t="shared" si="11"/>
        <v>12448</v>
      </c>
      <c r="F82" s="538">
        <f t="shared" si="11"/>
        <v>10009</v>
      </c>
      <c r="G82" s="538">
        <f t="shared" si="11"/>
        <v>163068</v>
      </c>
      <c r="H82" s="538">
        <f t="shared" si="11"/>
        <v>78990</v>
      </c>
      <c r="I82" s="538">
        <f t="shared" si="11"/>
        <v>-157239</v>
      </c>
      <c r="J82" s="538">
        <f t="shared" si="11"/>
        <v>340045</v>
      </c>
      <c r="K82" s="538">
        <f t="shared" si="11"/>
        <v>63455</v>
      </c>
    </row>
    <row r="83" spans="1:12" ht="14.25" hidden="1" thickTop="1" thickBot="1" x14ac:dyDescent="0.25">
      <c r="A83" s="539" t="s">
        <v>344</v>
      </c>
      <c r="B83" s="464"/>
      <c r="C83" s="540">
        <f>C82/C81</f>
        <v>8.53753797817981E-2</v>
      </c>
      <c r="D83" s="540">
        <f t="shared" ref="D83:K83" si="12">D82/D81</f>
        <v>-0.25585266472913298</v>
      </c>
      <c r="E83" s="540">
        <f t="shared" si="12"/>
        <v>4.565610478017363E-2</v>
      </c>
      <c r="F83" s="540">
        <f t="shared" si="12"/>
        <v>1.8826614200183958E-2</v>
      </c>
      <c r="G83" s="540">
        <f t="shared" si="12"/>
        <v>0.23202585084540289</v>
      </c>
      <c r="H83" s="540">
        <f t="shared" si="12"/>
        <v>0.45452453016928868</v>
      </c>
      <c r="I83" s="540">
        <f t="shared" si="12"/>
        <v>-6.2024503069096383E-2</v>
      </c>
      <c r="J83" s="540">
        <f t="shared" si="12"/>
        <v>0.29604320962396169</v>
      </c>
      <c r="K83" s="540">
        <f t="shared" si="12"/>
        <v>4.285997005104291E-2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75" right="0.75" top="1.35" bottom="0.5" header="0.5" footer="0.5"/>
  <pageSetup scale="47" firstPageNumber="7" orientation="portrait" r:id="rId1"/>
  <headerFooter>
    <oddHeader>&amp;C&amp;"Times New Roman,Regular"PONTIAC-WILLIAM HOLLIDAY SCHOOL DISTRICT NO. 105
STATEMENT OF RECEIPTS , DISBURSEMENTS, OTHER SOURCES (USES) AND CHANGES IN FUND BALANCES - CASH - REGULATORY BASIS
ALL FUNDS
FOR THE YEAR ENDED JUNE 30, 2019</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100" workbookViewId="0">
      <pane ySplit="2" topLeftCell="A9" activePane="bottomLeft" state="frozen"/>
      <selection activeCell="V29" sqref="V29"/>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1801</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3949864</v>
      </c>
      <c r="D5" s="481">
        <v>628957</v>
      </c>
      <c r="E5" s="466">
        <v>768083</v>
      </c>
      <c r="F5" s="548">
        <v>301902</v>
      </c>
      <c r="G5" s="466">
        <v>204200</v>
      </c>
      <c r="H5" s="466"/>
      <c r="I5" s="466">
        <v>125789</v>
      </c>
      <c r="J5" s="467">
        <v>739991</v>
      </c>
      <c r="K5" s="466">
        <v>125789</v>
      </c>
    </row>
    <row r="6" spans="1:12" ht="15" x14ac:dyDescent="0.2">
      <c r="A6" s="463" t="s">
        <v>1662</v>
      </c>
      <c r="B6" s="470">
        <v>1130</v>
      </c>
      <c r="C6" s="466">
        <v>30000</v>
      </c>
      <c r="D6" s="466">
        <v>70636</v>
      </c>
      <c r="E6" s="475"/>
      <c r="F6" s="475"/>
      <c r="G6" s="468"/>
      <c r="H6" s="468"/>
      <c r="I6" s="468"/>
      <c r="J6" s="468"/>
      <c r="K6" s="468"/>
    </row>
    <row r="7" spans="1:12" x14ac:dyDescent="0.2">
      <c r="A7" s="463" t="s">
        <v>110</v>
      </c>
      <c r="B7" s="549">
        <v>1140</v>
      </c>
      <c r="C7" s="466">
        <v>50317</v>
      </c>
      <c r="D7" s="466"/>
      <c r="E7" s="468"/>
      <c r="F7" s="467"/>
      <c r="G7" s="467"/>
      <c r="H7" s="467"/>
      <c r="I7" s="468"/>
      <c r="J7" s="468"/>
      <c r="K7" s="468"/>
    </row>
    <row r="8" spans="1:12" x14ac:dyDescent="0.2">
      <c r="A8" s="463" t="s">
        <v>413</v>
      </c>
      <c r="B8" s="470">
        <v>1150</v>
      </c>
      <c r="C8" s="475"/>
      <c r="D8" s="475"/>
      <c r="E8" s="477"/>
      <c r="F8" s="477"/>
      <c r="G8" s="481">
        <v>191475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4030181</v>
      </c>
      <c r="D12" s="1707">
        <f t="shared" si="0"/>
        <v>699593</v>
      </c>
      <c r="E12" s="1707">
        <f t="shared" si="0"/>
        <v>768083</v>
      </c>
      <c r="F12" s="1707">
        <f t="shared" si="0"/>
        <v>301902</v>
      </c>
      <c r="G12" s="1707">
        <f t="shared" si="0"/>
        <v>395675</v>
      </c>
      <c r="H12" s="1707">
        <f t="shared" si="0"/>
        <v>0</v>
      </c>
      <c r="I12" s="1707">
        <f t="shared" si="0"/>
        <v>125789</v>
      </c>
      <c r="J12" s="1707">
        <f t="shared" si="0"/>
        <v>739991</v>
      </c>
      <c r="K12" s="1688">
        <f t="shared" si="0"/>
        <v>125789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252425</v>
      </c>
      <c r="D16" s="466"/>
      <c r="E16" s="466"/>
      <c r="F16" s="466"/>
      <c r="G16" s="466">
        <v>11000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252425</v>
      </c>
      <c r="D18" s="1710">
        <f t="shared" ref="D18:K18" si="1">SUM(D14:D17)</f>
        <v>0</v>
      </c>
      <c r="E18" s="1710">
        <f t="shared" si="1"/>
        <v>0</v>
      </c>
      <c r="F18" s="1710">
        <f t="shared" si="1"/>
        <v>0</v>
      </c>
      <c r="G18" s="1710">
        <f t="shared" si="1"/>
        <v>11000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v>11530</v>
      </c>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11530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11124</v>
      </c>
      <c r="D65" s="466">
        <v>7088</v>
      </c>
      <c r="E65" s="466">
        <v>1185</v>
      </c>
      <c r="F65" s="467">
        <v>3556</v>
      </c>
      <c r="G65" s="466">
        <v>4091</v>
      </c>
      <c r="H65" s="466">
        <v>1367</v>
      </c>
      <c r="I65" s="466">
        <v>17472</v>
      </c>
      <c r="J65" s="467">
        <f>(6410)</f>
        <v>6410</v>
      </c>
      <c r="K65" s="466">
        <v>9642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11124</v>
      </c>
      <c r="D67" s="1688">
        <f t="shared" ref="D67:K67" si="2">SUM(D65:D66)</f>
        <v>7088</v>
      </c>
      <c r="E67" s="1688">
        <f t="shared" si="2"/>
        <v>1185</v>
      </c>
      <c r="F67" s="1688">
        <f t="shared" si="2"/>
        <v>3556</v>
      </c>
      <c r="G67" s="1688">
        <f t="shared" si="2"/>
        <v>4091</v>
      </c>
      <c r="H67" s="1688">
        <f t="shared" si="2"/>
        <v>1367</v>
      </c>
      <c r="I67" s="1688">
        <f t="shared" si="2"/>
        <v>17472</v>
      </c>
      <c r="J67" s="1688">
        <f t="shared" si="2"/>
        <v>6410</v>
      </c>
      <c r="K67" s="1688">
        <f t="shared" si="2"/>
        <v>9642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81820</v>
      </c>
      <c r="D69" s="468"/>
      <c r="E69" s="468"/>
      <c r="F69" s="468"/>
      <c r="G69" s="468"/>
      <c r="H69" s="468"/>
      <c r="I69" s="468"/>
      <c r="J69" s="468"/>
      <c r="K69" s="468"/>
    </row>
    <row r="70" spans="1:11" ht="12.75" customHeight="1" x14ac:dyDescent="0.2">
      <c r="A70" s="463" t="s">
        <v>997</v>
      </c>
      <c r="B70" s="470">
        <v>1612</v>
      </c>
      <c r="C70" s="551">
        <v>9294</v>
      </c>
      <c r="D70" s="468"/>
      <c r="E70" s="468"/>
      <c r="F70" s="468"/>
      <c r="G70" s="468"/>
      <c r="H70" s="468"/>
      <c r="I70" s="468"/>
      <c r="J70" s="468"/>
      <c r="K70" s="468"/>
    </row>
    <row r="71" spans="1:11" ht="12.75" customHeight="1" x14ac:dyDescent="0.2">
      <c r="A71" s="463" t="s">
        <v>273</v>
      </c>
      <c r="B71" s="470">
        <v>1613</v>
      </c>
      <c r="C71" s="551">
        <v>14236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6169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111519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12207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2011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14218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30553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30553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600</v>
      </c>
      <c r="E95" s="521"/>
      <c r="F95" s="521"/>
      <c r="G95" s="521"/>
      <c r="H95" s="521"/>
      <c r="I95" s="521"/>
      <c r="J95" s="521"/>
      <c r="K95" s="521"/>
    </row>
    <row r="96" spans="1:11" ht="12.75" customHeight="1" x14ac:dyDescent="0.2">
      <c r="A96" s="463" t="s">
        <v>391</v>
      </c>
      <c r="B96" s="470">
        <v>1920</v>
      </c>
      <c r="C96" s="551">
        <v>75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707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93242</v>
      </c>
      <c r="D106" s="489"/>
      <c r="E106" s="467"/>
      <c r="F106" s="467"/>
      <c r="G106" s="467"/>
      <c r="H106" s="467"/>
      <c r="I106" s="521"/>
      <c r="J106" s="467"/>
      <c r="K106" s="467"/>
    </row>
    <row r="107" spans="1:12" ht="12.75" customHeight="1" x14ac:dyDescent="0.2">
      <c r="A107" s="463" t="s">
        <v>78</v>
      </c>
      <c r="B107" s="470">
        <v>1999</v>
      </c>
      <c r="C107" s="551">
        <v>50406</v>
      </c>
      <c r="D107" s="466"/>
      <c r="E107" s="466"/>
      <c r="F107" s="466"/>
      <c r="G107" s="466"/>
      <c r="H107" s="466"/>
      <c r="I107" s="466"/>
      <c r="J107" s="467"/>
      <c r="K107" s="466"/>
    </row>
    <row r="108" spans="1:12" ht="12.75" customHeight="1" thickBot="1" x14ac:dyDescent="0.25">
      <c r="A108" s="1708" t="s">
        <v>487</v>
      </c>
      <c r="B108" s="1712"/>
      <c r="C108" s="1707">
        <f>SUM(C95:C107)</f>
        <v>144430</v>
      </c>
      <c r="D108" s="1707">
        <f t="shared" ref="D108:K108" si="3">SUM(D95:D107)</f>
        <v>600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4605980</v>
      </c>
      <c r="D109" s="1715">
        <f t="shared" si="4"/>
        <v>707281</v>
      </c>
      <c r="E109" s="1715">
        <f t="shared" si="4"/>
        <v>769268</v>
      </c>
      <c r="F109" s="1715">
        <f t="shared" si="4"/>
        <v>305458</v>
      </c>
      <c r="G109" s="1715">
        <f t="shared" si="4"/>
        <v>410766</v>
      </c>
      <c r="H109" s="1715">
        <f t="shared" si="4"/>
        <v>1367</v>
      </c>
      <c r="I109" s="1715">
        <f t="shared" si="4"/>
        <v>143261</v>
      </c>
      <c r="J109" s="1715">
        <f t="shared" si="4"/>
        <v>746401</v>
      </c>
      <c r="K109" s="1702">
        <f t="shared" si="4"/>
        <v>135431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675433</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675433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9266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9266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25918</v>
      </c>
      <c r="D140" s="466"/>
      <c r="E140" s="561"/>
      <c r="F140" s="477"/>
      <c r="G140" s="467"/>
      <c r="H140" s="468"/>
      <c r="I140" s="468"/>
      <c r="J140" s="468"/>
      <c r="K140" s="468"/>
    </row>
    <row r="141" spans="1:11" ht="12.75" customHeight="1" thickBot="1" x14ac:dyDescent="0.25">
      <c r="A141" s="1708" t="s">
        <v>603</v>
      </c>
      <c r="B141" s="1720"/>
      <c r="C141" s="1707">
        <f>SUM(C134:C140)</f>
        <v>25918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3011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15562</v>
      </c>
      <c r="G152" s="467"/>
      <c r="H152" s="468"/>
      <c r="I152" s="468"/>
      <c r="J152" s="468"/>
      <c r="K152" s="468"/>
    </row>
    <row r="153" spans="1:11" ht="12.75" customHeight="1" x14ac:dyDescent="0.2">
      <c r="A153" s="463" t="s">
        <v>1057</v>
      </c>
      <c r="B153" s="562">
        <v>3510</v>
      </c>
      <c r="C153" s="551"/>
      <c r="D153" s="466"/>
      <c r="E153" s="561"/>
      <c r="F153" s="466">
        <v>140336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155898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375421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413616</v>
      </c>
      <c r="D169" s="1722">
        <f t="shared" si="6"/>
        <v>0</v>
      </c>
      <c r="E169" s="1722">
        <f t="shared" si="6"/>
        <v>0</v>
      </c>
      <c r="F169" s="1722">
        <f t="shared" si="6"/>
        <v>155898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1089049</v>
      </c>
      <c r="D170" s="1715">
        <f t="shared" si="7"/>
        <v>0</v>
      </c>
      <c r="E170" s="1715">
        <f t="shared" si="7"/>
        <v>0</v>
      </c>
      <c r="F170" s="1715">
        <f t="shared" si="7"/>
        <v>155898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v>29517</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29517</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1802</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165894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36534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21264</v>
      </c>
      <c r="D197" s="468"/>
      <c r="E197" s="561"/>
      <c r="F197" s="468"/>
      <c r="G197" s="585"/>
      <c r="H197" s="468"/>
      <c r="I197" s="468"/>
      <c r="J197" s="468"/>
      <c r="K197" s="468"/>
    </row>
    <row r="198" spans="1:11" ht="12.75" customHeight="1" thickBot="1" x14ac:dyDescent="0.25">
      <c r="A198" s="1708" t="s">
        <v>548</v>
      </c>
      <c r="B198" s="1709"/>
      <c r="C198" s="1688">
        <f>SUM(C190:C197)</f>
        <v>223692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115513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115513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122024</v>
      </c>
      <c r="D213" s="466"/>
      <c r="E213" s="468"/>
      <c r="F213" s="466"/>
      <c r="G213" s="466"/>
      <c r="H213" s="468"/>
      <c r="I213" s="468"/>
      <c r="J213" s="468"/>
      <c r="K213" s="468"/>
    </row>
    <row r="214" spans="1:11" ht="12.75" customHeight="1" x14ac:dyDescent="0.2">
      <c r="A214" s="463" t="s">
        <v>1054</v>
      </c>
      <c r="B214" s="470">
        <v>4625</v>
      </c>
      <c r="C214" s="551">
        <v>3344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125368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29284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7701</v>
      </c>
      <c r="D263" s="576"/>
      <c r="E263" s="468"/>
      <c r="F263" s="576"/>
      <c r="G263" s="576"/>
      <c r="H263" s="468"/>
      <c r="I263" s="468"/>
      <c r="J263" s="468"/>
      <c r="K263" s="468"/>
    </row>
    <row r="264" spans="1:11" ht="12.75" customHeight="1" thickTop="1" thickBot="1" x14ac:dyDescent="0.25">
      <c r="A264" s="463" t="s">
        <v>377</v>
      </c>
      <c r="B264" s="470">
        <v>4992</v>
      </c>
      <c r="C264" s="575">
        <v>24803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526361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555878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6250907</v>
      </c>
      <c r="D268" s="1715">
        <f t="shared" si="12"/>
        <v>707281</v>
      </c>
      <c r="E268" s="1715">
        <f t="shared" si="12"/>
        <v>769268</v>
      </c>
      <c r="F268" s="1715">
        <f t="shared" si="12"/>
        <v>461356</v>
      </c>
      <c r="G268" s="1715">
        <f t="shared" si="12"/>
        <v>410766</v>
      </c>
      <c r="H268" s="1715">
        <f t="shared" si="12"/>
        <v>1367</v>
      </c>
      <c r="I268" s="1715">
        <f t="shared" si="12"/>
        <v>143261</v>
      </c>
      <c r="J268" s="1715">
        <f t="shared" si="12"/>
        <v>746401</v>
      </c>
      <c r="K268" s="1702">
        <f t="shared" si="12"/>
        <v>135431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pageMargins left="0.75" right="0.75" top="1" bottom="0.5" header="0.5" footer="0.5"/>
  <pageSetup scale="61" firstPageNumber="9" orientation="landscape" r:id="rId1"/>
  <headerFooter>
    <oddHeader>&amp;C&amp;"Times New Roman,Regular"PONTIAC-WILLIAM HOLLIDAY SCHOOL DISTRICT NO. 105
STATEMENT OF RECEIPTS - CASH - REGULATORY BASIS
ALL FUNDS
FOR THE YEAR ENDED JUNE 30, 2019</oddHeader>
    <oddFooter>&amp;C&amp;"Times New Roman,Regular"See Notes to Financial Statements and Independent Auditor's Reports
&amp;P</oddFooter>
  </headerFooter>
  <rowBreaks count="4" manualBreakCount="4">
    <brk id="56" max="10" man="1"/>
    <brk id="109" max="10" man="1"/>
    <brk id="161" max="10" man="1"/>
    <brk id="213" max="1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30" zoomScaleNormal="130" workbookViewId="0">
      <pane ySplit="2" topLeftCell="A189" activePane="bottomLeft" state="frozen"/>
      <selection activeCell="V29" sqref="V29"/>
      <selection pane="bottomLeft" activeCell="J174" sqref="J17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2297512</v>
      </c>
      <c r="D5" s="466">
        <v>583887</v>
      </c>
      <c r="E5" s="466">
        <v>15499</v>
      </c>
      <c r="F5" s="466">
        <v>76533</v>
      </c>
      <c r="G5" s="466"/>
      <c r="H5" s="466"/>
      <c r="I5" s="467"/>
      <c r="J5" s="467"/>
      <c r="K5" s="1671">
        <f>SUM(C5:J5)</f>
        <v>2973431</v>
      </c>
      <c r="L5" s="466">
        <v>3116303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171062</v>
      </c>
      <c r="D7" s="467">
        <v>44928</v>
      </c>
      <c r="E7" s="467">
        <v>3204</v>
      </c>
      <c r="F7" s="467">
        <v>46024</v>
      </c>
      <c r="G7" s="467">
        <v>4974</v>
      </c>
      <c r="H7" s="467"/>
      <c r="I7" s="467"/>
      <c r="J7" s="467"/>
      <c r="K7" s="1671">
        <f t="shared" ref="K7:K32" si="0">SUM(C7:J7)</f>
        <v>270192</v>
      </c>
      <c r="L7" s="466">
        <v>321616</v>
      </c>
    </row>
    <row r="8" spans="1:14" x14ac:dyDescent="0.2">
      <c r="A8" s="1504" t="s">
        <v>164</v>
      </c>
      <c r="B8" s="614">
        <v>1200</v>
      </c>
      <c r="C8" s="466">
        <v>543782</v>
      </c>
      <c r="D8" s="466">
        <v>125033</v>
      </c>
      <c r="E8" s="466"/>
      <c r="F8" s="466"/>
      <c r="G8" s="466"/>
      <c r="H8" s="466"/>
      <c r="I8" s="467"/>
      <c r="J8" s="467"/>
      <c r="K8" s="1671">
        <f t="shared" si="0"/>
        <v>668815</v>
      </c>
      <c r="L8" s="466">
        <v>695950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162659</v>
      </c>
      <c r="D10" s="466">
        <v>51441</v>
      </c>
      <c r="E10" s="466"/>
      <c r="F10" s="466">
        <v>9217</v>
      </c>
      <c r="G10" s="466"/>
      <c r="H10" s="466"/>
      <c r="I10" s="467"/>
      <c r="J10" s="467"/>
      <c r="K10" s="1671">
        <f t="shared" si="0"/>
        <v>223317</v>
      </c>
      <c r="L10" s="466">
        <v>219103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46221</v>
      </c>
      <c r="D14" s="466">
        <v>4729</v>
      </c>
      <c r="E14" s="466">
        <v>9534</v>
      </c>
      <c r="F14" s="466">
        <v>6734</v>
      </c>
      <c r="G14" s="466"/>
      <c r="H14" s="466"/>
      <c r="I14" s="467"/>
      <c r="J14" s="467"/>
      <c r="K14" s="1671">
        <f t="shared" si="0"/>
        <v>67218</v>
      </c>
      <c r="L14" s="466">
        <v>63475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3221236</v>
      </c>
      <c r="D33" s="1670">
        <f t="shared" ref="D33:L33" si="1">SUM(D5:D32)</f>
        <v>810018</v>
      </c>
      <c r="E33" s="1670">
        <f t="shared" si="1"/>
        <v>28237</v>
      </c>
      <c r="F33" s="1670">
        <f t="shared" si="1"/>
        <v>138508</v>
      </c>
      <c r="G33" s="1670">
        <f t="shared" si="1"/>
        <v>4974</v>
      </c>
      <c r="H33" s="1670">
        <f t="shared" si="1"/>
        <v>0</v>
      </c>
      <c r="I33" s="1670">
        <f t="shared" si="1"/>
        <v>0</v>
      </c>
      <c r="J33" s="1670">
        <f t="shared" si="1"/>
        <v>0</v>
      </c>
      <c r="K33" s="1670">
        <f t="shared" si="1"/>
        <v>4202973</v>
      </c>
      <c r="L33" s="1670">
        <f t="shared" si="1"/>
        <v>4416447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105736</v>
      </c>
      <c r="D36" s="481">
        <v>29881</v>
      </c>
      <c r="E36" s="481"/>
      <c r="F36" s="481"/>
      <c r="G36" s="481"/>
      <c r="H36" s="481"/>
      <c r="I36" s="467"/>
      <c r="J36" s="467"/>
      <c r="K36" s="1671">
        <f t="shared" ref="K36:K41" si="2">SUM(C36:J36)</f>
        <v>135617</v>
      </c>
      <c r="L36" s="466">
        <v>140206</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19523</v>
      </c>
      <c r="D38" s="466">
        <v>5619</v>
      </c>
      <c r="E38" s="466">
        <v>1149</v>
      </c>
      <c r="F38" s="466">
        <v>1693</v>
      </c>
      <c r="G38" s="466"/>
      <c r="H38" s="466"/>
      <c r="I38" s="467"/>
      <c r="J38" s="467"/>
      <c r="K38" s="1671">
        <f t="shared" si="2"/>
        <v>27984</v>
      </c>
      <c r="L38" s="466">
        <v>31561</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47656</v>
      </c>
      <c r="D40" s="466">
        <v>14991</v>
      </c>
      <c r="E40" s="466"/>
      <c r="F40" s="466"/>
      <c r="G40" s="466"/>
      <c r="H40" s="466"/>
      <c r="I40" s="467"/>
      <c r="J40" s="467"/>
      <c r="K40" s="1671">
        <f t="shared" si="2"/>
        <v>62647</v>
      </c>
      <c r="L40" s="466">
        <v>64329</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172915</v>
      </c>
      <c r="D42" s="1670">
        <f t="shared" ref="D42:L42" si="3">SUM(D36:D41)</f>
        <v>50491</v>
      </c>
      <c r="E42" s="1670">
        <f t="shared" si="3"/>
        <v>1149</v>
      </c>
      <c r="F42" s="1670">
        <f t="shared" si="3"/>
        <v>1693</v>
      </c>
      <c r="G42" s="1670">
        <f t="shared" si="3"/>
        <v>0</v>
      </c>
      <c r="H42" s="1670">
        <f t="shared" si="3"/>
        <v>0</v>
      </c>
      <c r="I42" s="1670">
        <f t="shared" si="3"/>
        <v>0</v>
      </c>
      <c r="J42" s="1670">
        <f t="shared" si="3"/>
        <v>0</v>
      </c>
      <c r="K42" s="1670">
        <f t="shared" si="3"/>
        <v>226248</v>
      </c>
      <c r="L42" s="1670">
        <f t="shared" si="3"/>
        <v>236096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17115</v>
      </c>
      <c r="D44" s="481">
        <v>3690</v>
      </c>
      <c r="E44" s="481">
        <v>23926</v>
      </c>
      <c r="F44" s="481">
        <v>16616</v>
      </c>
      <c r="G44" s="481"/>
      <c r="H44" s="481"/>
      <c r="I44" s="467"/>
      <c r="J44" s="467"/>
      <c r="K44" s="1672">
        <f>SUM(C44:J44)</f>
        <v>61347</v>
      </c>
      <c r="L44" s="481">
        <v>84116</v>
      </c>
    </row>
    <row r="45" spans="1:14" x14ac:dyDescent="0.2">
      <c r="A45" s="1504" t="s">
        <v>815</v>
      </c>
      <c r="B45" s="614">
        <v>2220</v>
      </c>
      <c r="C45" s="466"/>
      <c r="D45" s="466"/>
      <c r="E45" s="466"/>
      <c r="F45" s="466">
        <v>379</v>
      </c>
      <c r="G45" s="466"/>
      <c r="H45" s="466"/>
      <c r="I45" s="467"/>
      <c r="J45" s="467"/>
      <c r="K45" s="1672">
        <f>SUM(C45:J45)</f>
        <v>379</v>
      </c>
      <c r="L45" s="466">
        <v>5050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17115</v>
      </c>
      <c r="D47" s="1670">
        <f t="shared" ref="D47:K47" si="4">SUM(D44:D46)</f>
        <v>3690</v>
      </c>
      <c r="E47" s="1670">
        <f t="shared" si="4"/>
        <v>23926</v>
      </c>
      <c r="F47" s="1670">
        <f t="shared" si="4"/>
        <v>16995</v>
      </c>
      <c r="G47" s="1670">
        <f t="shared" si="4"/>
        <v>0</v>
      </c>
      <c r="H47" s="1670">
        <f t="shared" si="4"/>
        <v>0</v>
      </c>
      <c r="I47" s="1670">
        <f t="shared" si="4"/>
        <v>0</v>
      </c>
      <c r="J47" s="1670">
        <f t="shared" si="4"/>
        <v>0</v>
      </c>
      <c r="K47" s="1670">
        <f t="shared" si="4"/>
        <v>61726</v>
      </c>
      <c r="L47" s="1670">
        <f>SUM(L44:L46)</f>
        <v>89166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23392</v>
      </c>
      <c r="F49" s="481">
        <v>3609</v>
      </c>
      <c r="G49" s="481">
        <v>2880</v>
      </c>
      <c r="H49" s="481"/>
      <c r="I49" s="467"/>
      <c r="J49" s="467"/>
      <c r="K49" s="1672">
        <f>SUM(C49:J49)</f>
        <v>29881</v>
      </c>
      <c r="L49" s="481">
        <v>39550</v>
      </c>
    </row>
    <row r="50" spans="1:14" x14ac:dyDescent="0.2">
      <c r="A50" s="1504" t="s">
        <v>818</v>
      </c>
      <c r="B50" s="614">
        <v>2320</v>
      </c>
      <c r="C50" s="466">
        <v>107337</v>
      </c>
      <c r="D50" s="466">
        <v>37661</v>
      </c>
      <c r="E50" s="466">
        <v>1430</v>
      </c>
      <c r="F50" s="466">
        <v>1189</v>
      </c>
      <c r="G50" s="466"/>
      <c r="H50" s="466"/>
      <c r="I50" s="467"/>
      <c r="J50" s="467"/>
      <c r="K50" s="1672">
        <f>SUM(C50:J50)</f>
        <v>147617</v>
      </c>
      <c r="L50" s="466">
        <v>149335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107337</v>
      </c>
      <c r="D53" s="1670">
        <f t="shared" ref="D53:L53" si="5">SUM(D49:D52)</f>
        <v>37661</v>
      </c>
      <c r="E53" s="1670">
        <f t="shared" si="5"/>
        <v>24822</v>
      </c>
      <c r="F53" s="1670">
        <f t="shared" si="5"/>
        <v>4798</v>
      </c>
      <c r="G53" s="1670">
        <f t="shared" si="5"/>
        <v>2880</v>
      </c>
      <c r="H53" s="1670">
        <f t="shared" si="5"/>
        <v>0</v>
      </c>
      <c r="I53" s="1670">
        <f t="shared" si="5"/>
        <v>0</v>
      </c>
      <c r="J53" s="1670">
        <f t="shared" si="5"/>
        <v>0</v>
      </c>
      <c r="K53" s="1670">
        <f t="shared" si="5"/>
        <v>177498</v>
      </c>
      <c r="L53" s="1670">
        <f t="shared" si="5"/>
        <v>188885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262713</v>
      </c>
      <c r="D55" s="481">
        <v>129534</v>
      </c>
      <c r="E55" s="481">
        <v>3121</v>
      </c>
      <c r="F55" s="481">
        <v>200</v>
      </c>
      <c r="G55" s="481"/>
      <c r="H55" s="481"/>
      <c r="I55" s="467"/>
      <c r="J55" s="467"/>
      <c r="K55" s="1672">
        <f>SUM(C55:J55)</f>
        <v>395568</v>
      </c>
      <c r="L55" s="481">
        <v>412617</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262713</v>
      </c>
      <c r="D57" s="1674">
        <f t="shared" ref="D57:K57" si="6">SUM(D55:D56)</f>
        <v>129534</v>
      </c>
      <c r="E57" s="1674">
        <f t="shared" si="6"/>
        <v>3121</v>
      </c>
      <c r="F57" s="1674">
        <f t="shared" si="6"/>
        <v>200</v>
      </c>
      <c r="G57" s="1674">
        <f t="shared" si="6"/>
        <v>0</v>
      </c>
      <c r="H57" s="1674">
        <f t="shared" si="6"/>
        <v>0</v>
      </c>
      <c r="I57" s="1674">
        <f t="shared" si="6"/>
        <v>0</v>
      </c>
      <c r="J57" s="1674">
        <f t="shared" si="6"/>
        <v>0</v>
      </c>
      <c r="K57" s="1674">
        <f t="shared" si="6"/>
        <v>395568</v>
      </c>
      <c r="L57" s="1670">
        <f>SUM(L55:L56)</f>
        <v>412617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79070</v>
      </c>
      <c r="D60" s="466">
        <v>14215</v>
      </c>
      <c r="E60" s="466">
        <v>6291</v>
      </c>
      <c r="F60" s="466">
        <v>16364</v>
      </c>
      <c r="G60" s="466">
        <v>1861</v>
      </c>
      <c r="H60" s="466"/>
      <c r="I60" s="467"/>
      <c r="J60" s="467"/>
      <c r="K60" s="1672">
        <f t="shared" si="7"/>
        <v>117801</v>
      </c>
      <c r="L60" s="466">
        <v>124475</v>
      </c>
      <c r="M60" s="609"/>
      <c r="N60" s="609"/>
    </row>
    <row r="61" spans="1:14" s="343" customFormat="1" x14ac:dyDescent="0.2">
      <c r="A61" s="1504" t="s">
        <v>197</v>
      </c>
      <c r="B61" s="614">
        <v>2540</v>
      </c>
      <c r="C61" s="466"/>
      <c r="D61" s="466"/>
      <c r="E61" s="466"/>
      <c r="F61" s="466">
        <v>17403</v>
      </c>
      <c r="G61" s="466"/>
      <c r="H61" s="466"/>
      <c r="I61" s="467"/>
      <c r="J61" s="467"/>
      <c r="K61" s="1672">
        <f t="shared" si="7"/>
        <v>17403</v>
      </c>
      <c r="L61" s="466">
        <v>12000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84658</v>
      </c>
      <c r="D63" s="466">
        <v>2685</v>
      </c>
      <c r="E63" s="466">
        <v>3886</v>
      </c>
      <c r="F63" s="466">
        <v>206813</v>
      </c>
      <c r="G63" s="466"/>
      <c r="H63" s="466"/>
      <c r="I63" s="467"/>
      <c r="J63" s="467"/>
      <c r="K63" s="1672">
        <f t="shared" si="7"/>
        <v>298042</v>
      </c>
      <c r="L63" s="466">
        <v>260383</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163728</v>
      </c>
      <c r="D65" s="1670">
        <f t="shared" ref="D65:L65" si="8">SUM(D59:D64)</f>
        <v>16900</v>
      </c>
      <c r="E65" s="1670">
        <f t="shared" si="8"/>
        <v>10177</v>
      </c>
      <c r="F65" s="1670">
        <f t="shared" si="8"/>
        <v>240580</v>
      </c>
      <c r="G65" s="1670">
        <f t="shared" si="8"/>
        <v>1861</v>
      </c>
      <c r="H65" s="1670">
        <f t="shared" si="8"/>
        <v>0</v>
      </c>
      <c r="I65" s="1670">
        <f t="shared" si="8"/>
        <v>0</v>
      </c>
      <c r="J65" s="1670">
        <f t="shared" si="8"/>
        <v>0</v>
      </c>
      <c r="K65" s="1670">
        <f t="shared" si="8"/>
        <v>433246</v>
      </c>
      <c r="L65" s="1670">
        <f t="shared" si="8"/>
        <v>396858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1000</v>
      </c>
      <c r="M73" s="609"/>
      <c r="N73" s="609"/>
    </row>
    <row r="74" spans="1:14" ht="12.75" customHeight="1" thickTop="1" thickBot="1" x14ac:dyDescent="0.25">
      <c r="A74" s="1668" t="s">
        <v>811</v>
      </c>
      <c r="B74" s="1676">
        <v>2000</v>
      </c>
      <c r="C74" s="1677">
        <f>SUM(C42,C47,C53,C57,C65,C72,C73)</f>
        <v>723808</v>
      </c>
      <c r="D74" s="1677">
        <f t="shared" ref="D74:K74" si="10">SUM(D42,D47,D53,D57,D65,D72,D73)</f>
        <v>238276</v>
      </c>
      <c r="E74" s="1677">
        <f t="shared" si="10"/>
        <v>63195</v>
      </c>
      <c r="F74" s="1677">
        <f t="shared" si="10"/>
        <v>264266</v>
      </c>
      <c r="G74" s="1677">
        <f t="shared" si="10"/>
        <v>4741</v>
      </c>
      <c r="H74" s="1677">
        <f t="shared" si="10"/>
        <v>0</v>
      </c>
      <c r="I74" s="1677">
        <f t="shared" si="10"/>
        <v>0</v>
      </c>
      <c r="J74" s="1677">
        <f t="shared" si="10"/>
        <v>0</v>
      </c>
      <c r="K74" s="1677">
        <f t="shared" si="10"/>
        <v>1294286</v>
      </c>
      <c r="L74" s="1677">
        <f>SUM(L42,L47,L53,L57,L65,L72,L73)</f>
        <v>1324622</v>
      </c>
    </row>
    <row r="75" spans="1:14" s="259" customFormat="1" ht="15.75" customHeight="1" thickTop="1" thickBot="1" x14ac:dyDescent="0.25">
      <c r="A75" s="1610" t="s">
        <v>47</v>
      </c>
      <c r="B75" s="1611" t="s">
        <v>575</v>
      </c>
      <c r="C75" s="573">
        <v>97314</v>
      </c>
      <c r="D75" s="573">
        <v>8023</v>
      </c>
      <c r="E75" s="573">
        <v>7504</v>
      </c>
      <c r="F75" s="573">
        <v>4635</v>
      </c>
      <c r="G75" s="573"/>
      <c r="H75" s="573"/>
      <c r="I75" s="531"/>
      <c r="J75" s="531"/>
      <c r="K75" s="1670">
        <f>SUM(C75:J75)</f>
        <v>117476</v>
      </c>
      <c r="L75" s="576">
        <v>153358</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29880</v>
      </c>
      <c r="F79" s="616"/>
      <c r="G79" s="616"/>
      <c r="H79" s="466">
        <v>468954</v>
      </c>
      <c r="I79" s="477"/>
      <c r="J79" s="477"/>
      <c r="K79" s="1671">
        <f t="shared" si="11"/>
        <v>498834</v>
      </c>
      <c r="L79" s="466">
        <v>497900</v>
      </c>
    </row>
    <row r="80" spans="1:14" x14ac:dyDescent="0.2">
      <c r="A80" s="1504" t="s">
        <v>305</v>
      </c>
      <c r="B80" s="614">
        <v>4130</v>
      </c>
      <c r="C80" s="616"/>
      <c r="D80" s="616"/>
      <c r="E80" s="466"/>
      <c r="F80" s="616"/>
      <c r="G80" s="616"/>
      <c r="H80" s="466"/>
      <c r="I80" s="477"/>
      <c r="J80" s="477"/>
      <c r="K80" s="1671">
        <f t="shared" si="11"/>
        <v>0</v>
      </c>
      <c r="L80" s="466">
        <v>2500</v>
      </c>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29880</v>
      </c>
      <c r="F84" s="616"/>
      <c r="G84" s="616"/>
      <c r="H84" s="1670">
        <f>SUM(H78:H83)</f>
        <v>468954</v>
      </c>
      <c r="I84" s="477"/>
      <c r="J84" s="477"/>
      <c r="K84" s="1670">
        <f>SUM(K78:K83)</f>
        <v>498834</v>
      </c>
      <c r="L84" s="1670">
        <f>SUM(L78:L83)</f>
        <v>500400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29880</v>
      </c>
      <c r="F102" s="616"/>
      <c r="G102" s="616"/>
      <c r="H102" s="1677">
        <f>SUM(H84,H92,H100,H101)</f>
        <v>468954</v>
      </c>
      <c r="I102" s="477"/>
      <c r="J102" s="477"/>
      <c r="K102" s="1677">
        <f>SUM(K84,K92,K100,K101)</f>
        <v>498834</v>
      </c>
      <c r="L102" s="1677">
        <f>SUM(L84,L92,L100,L101)</f>
        <v>500400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4042358</v>
      </c>
      <c r="D114" s="1670">
        <f t="shared" ref="D114:K114" si="13">SUM(D33,D74,D75,D102,D112,D113)</f>
        <v>1056317</v>
      </c>
      <c r="E114" s="1670">
        <f t="shared" si="13"/>
        <v>128816</v>
      </c>
      <c r="F114" s="1670">
        <f t="shared" si="13"/>
        <v>407409</v>
      </c>
      <c r="G114" s="1670">
        <f t="shared" si="13"/>
        <v>9715</v>
      </c>
      <c r="H114" s="1670">
        <f>SUM(H33,H74,H75,H102,H112,H113)</f>
        <v>468954</v>
      </c>
      <c r="I114" s="1670">
        <f t="shared" si="13"/>
        <v>0</v>
      </c>
      <c r="J114" s="1670">
        <f t="shared" si="13"/>
        <v>0</v>
      </c>
      <c r="K114" s="1670">
        <f t="shared" si="13"/>
        <v>6113569</v>
      </c>
      <c r="L114" s="1670">
        <f>SUM(L33,L74,L75,L102,L112,L113)</f>
        <v>6394827</v>
      </c>
    </row>
    <row r="115" spans="1:14" ht="13.5" thickTop="1" x14ac:dyDescent="0.2">
      <c r="A115" s="2154" t="s">
        <v>996</v>
      </c>
      <c r="B115" s="2155"/>
      <c r="C115" s="618"/>
      <c r="D115" s="618"/>
      <c r="E115" s="618"/>
      <c r="F115" s="618"/>
      <c r="G115" s="618"/>
      <c r="H115" s="618"/>
      <c r="I115" s="618"/>
      <c r="J115" s="618"/>
      <c r="K115" s="1684">
        <f>'Revenues 9-14'!C268-'Expenditures 15-22'!K114</f>
        <v>137338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299131</v>
      </c>
      <c r="D124" s="466">
        <v>50738</v>
      </c>
      <c r="E124" s="466">
        <v>77526</v>
      </c>
      <c r="F124" s="466">
        <v>281578</v>
      </c>
      <c r="G124" s="466">
        <v>43936</v>
      </c>
      <c r="H124" s="466"/>
      <c r="I124" s="467"/>
      <c r="J124" s="467"/>
      <c r="K124" s="1670">
        <f>SUM(C124:J124)</f>
        <v>752909</v>
      </c>
      <c r="L124" s="466">
        <v>872775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v>1835</v>
      </c>
      <c r="H126" s="654"/>
      <c r="I126" s="474"/>
      <c r="J126" s="616"/>
      <c r="K126" s="1670">
        <f>SUM(C126:J126)</f>
        <v>1835</v>
      </c>
      <c r="L126" s="466">
        <v>4000</v>
      </c>
    </row>
    <row r="127" spans="1:14" ht="12.75" customHeight="1" thickTop="1" thickBot="1" x14ac:dyDescent="0.25">
      <c r="A127" s="1668" t="s">
        <v>719</v>
      </c>
      <c r="B127" s="1669" t="s">
        <v>35</v>
      </c>
      <c r="C127" s="1670">
        <f>SUM(C122:C126)</f>
        <v>299131</v>
      </c>
      <c r="D127" s="1670">
        <f t="shared" ref="D127:L127" si="14">SUM(D122:D126)</f>
        <v>50738</v>
      </c>
      <c r="E127" s="1670">
        <f t="shared" si="14"/>
        <v>77526</v>
      </c>
      <c r="F127" s="1670">
        <f t="shared" si="14"/>
        <v>281578</v>
      </c>
      <c r="G127" s="1670">
        <f t="shared" si="14"/>
        <v>45771</v>
      </c>
      <c r="H127" s="1670">
        <f t="shared" si="14"/>
        <v>0</v>
      </c>
      <c r="I127" s="1670">
        <f t="shared" si="14"/>
        <v>0</v>
      </c>
      <c r="J127" s="1670">
        <f t="shared" si="14"/>
        <v>0</v>
      </c>
      <c r="K127" s="1670">
        <f t="shared" si="14"/>
        <v>754744</v>
      </c>
      <c r="L127" s="1670">
        <f t="shared" si="14"/>
        <v>876775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299131</v>
      </c>
      <c r="D129" s="1677">
        <f t="shared" ref="D129:L129" si="15">SUM(D120,D127,D128)</f>
        <v>50738</v>
      </c>
      <c r="E129" s="1677">
        <f t="shared" si="15"/>
        <v>77526</v>
      </c>
      <c r="F129" s="1677">
        <f t="shared" si="15"/>
        <v>281578</v>
      </c>
      <c r="G129" s="1677">
        <f t="shared" si="15"/>
        <v>45771</v>
      </c>
      <c r="H129" s="1677">
        <f t="shared" si="15"/>
        <v>0</v>
      </c>
      <c r="I129" s="1677">
        <f t="shared" si="15"/>
        <v>0</v>
      </c>
      <c r="J129" s="1677">
        <f t="shared" si="15"/>
        <v>0</v>
      </c>
      <c r="K129" s="1677">
        <f t="shared" si="15"/>
        <v>754744</v>
      </c>
      <c r="L129" s="1677">
        <f t="shared" si="15"/>
        <v>876775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70">
        <f>SUM(C129,C130,C139,C149,C150)</f>
        <v>299131</v>
      </c>
      <c r="D151" s="1670">
        <f t="shared" ref="D151:K151" si="16">SUM(D129,D130,D139,D149,D150)</f>
        <v>50738</v>
      </c>
      <c r="E151" s="1670">
        <f t="shared" si="16"/>
        <v>77526</v>
      </c>
      <c r="F151" s="1670">
        <f t="shared" si="16"/>
        <v>281578</v>
      </c>
      <c r="G151" s="1670">
        <f t="shared" si="16"/>
        <v>45771</v>
      </c>
      <c r="H151" s="1670">
        <f t="shared" si="16"/>
        <v>0</v>
      </c>
      <c r="I151" s="1670">
        <f t="shared" si="16"/>
        <v>0</v>
      </c>
      <c r="J151" s="1670">
        <f t="shared" si="16"/>
        <v>0</v>
      </c>
      <c r="K151" s="1670">
        <f t="shared" si="16"/>
        <v>754744</v>
      </c>
      <c r="L151" s="1670">
        <f>SUM(L129,L130,L139,L149,L150)</f>
        <v>876775</v>
      </c>
    </row>
    <row r="152" spans="1:14" ht="12.75" customHeight="1" thickTop="1" x14ac:dyDescent="0.2">
      <c r="A152" s="2174" t="s">
        <v>1178</v>
      </c>
      <c r="B152" s="2175"/>
      <c r="C152" s="618"/>
      <c r="D152" s="618"/>
      <c r="E152" s="618"/>
      <c r="F152" s="618"/>
      <c r="G152" s="618"/>
      <c r="H152" s="618"/>
      <c r="I152" s="618"/>
      <c r="J152" s="616"/>
      <c r="K152" s="1684">
        <f>'Revenues 9-14'!D268-'Expenditures 15-22'!K151</f>
        <v>-47463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28521</v>
      </c>
      <c r="I169" s="616"/>
      <c r="J169" s="616"/>
      <c r="K169" s="1671">
        <f>SUM(C169:H169)</f>
        <v>28521</v>
      </c>
      <c r="L169" s="656">
        <v>27820</v>
      </c>
    </row>
    <row r="170" spans="1:14" ht="33.75" customHeight="1" x14ac:dyDescent="0.2">
      <c r="A170" s="669" t="s">
        <v>1670</v>
      </c>
      <c r="B170" s="671" t="s">
        <v>31</v>
      </c>
      <c r="C170" s="616"/>
      <c r="D170" s="616"/>
      <c r="E170" s="616"/>
      <c r="F170" s="616"/>
      <c r="G170" s="616"/>
      <c r="H170" s="569">
        <v>746942</v>
      </c>
      <c r="I170" s="616"/>
      <c r="J170" s="616"/>
      <c r="K170" s="1671">
        <f>SUM(C170:J170)</f>
        <v>746942</v>
      </c>
      <c r="L170" s="569">
        <v>729000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775463</v>
      </c>
      <c r="I172" s="638"/>
      <c r="J172" s="616"/>
      <c r="K172" s="1677">
        <f>SUM(K168,K169,K170,K171)</f>
        <v>775463</v>
      </c>
      <c r="L172" s="1677">
        <f>SUM(L168,L169,L170,L171)</f>
        <v>756820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775463</v>
      </c>
      <c r="I174" s="638"/>
      <c r="J174" s="616"/>
      <c r="K174" s="1677">
        <f>SUM(K160,K172,K173)</f>
        <v>775463</v>
      </c>
      <c r="L174" s="1677">
        <f>SUM(L160,L172,L173)</f>
        <v>756820</v>
      </c>
    </row>
    <row r="175" spans="1:14" ht="13.5" thickTop="1" x14ac:dyDescent="0.2">
      <c r="A175" s="2154" t="s">
        <v>996</v>
      </c>
      <c r="B175" s="2155"/>
      <c r="C175" s="616"/>
      <c r="D175" s="616"/>
      <c r="E175" s="616"/>
      <c r="F175" s="616"/>
      <c r="G175" s="616"/>
      <c r="H175" s="618"/>
      <c r="I175" s="616"/>
      <c r="J175" s="616"/>
      <c r="K175" s="1684">
        <f>'Revenues 9-14'!E268-'Expenditures 15-22'!K174</f>
        <v>-6195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v>7269</v>
      </c>
      <c r="D180" s="466">
        <v>3570</v>
      </c>
      <c r="E180" s="466"/>
      <c r="F180" s="466"/>
      <c r="G180" s="466"/>
      <c r="H180" s="466"/>
      <c r="I180" s="467"/>
      <c r="J180" s="467"/>
      <c r="K180" s="1671">
        <f>SUM(C180:J180)</f>
        <v>10839</v>
      </c>
      <c r="L180" s="466">
        <v>11585</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440508</v>
      </c>
      <c r="F182" s="466"/>
      <c r="G182" s="466"/>
      <c r="H182" s="466"/>
      <c r="I182" s="467"/>
      <c r="J182" s="467"/>
      <c r="K182" s="1671">
        <f>SUM(C182:J182)</f>
        <v>440508</v>
      </c>
      <c r="L182" s="466">
        <v>420000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7269</v>
      </c>
      <c r="D184" s="1677">
        <f t="shared" ref="D184:J184" si="17">SUM(D180,D182,D183)</f>
        <v>3570</v>
      </c>
      <c r="E184" s="1677">
        <f t="shared" si="17"/>
        <v>440508</v>
      </c>
      <c r="F184" s="1677">
        <f t="shared" si="17"/>
        <v>0</v>
      </c>
      <c r="G184" s="1677">
        <f t="shared" si="17"/>
        <v>0</v>
      </c>
      <c r="H184" s="1677">
        <f t="shared" si="17"/>
        <v>0</v>
      </c>
      <c r="I184" s="1677">
        <f t="shared" si="17"/>
        <v>0</v>
      </c>
      <c r="J184" s="1677">
        <f t="shared" si="17"/>
        <v>0</v>
      </c>
      <c r="K184" s="1677">
        <f>SUM(K180,K182,K183)</f>
        <v>451347</v>
      </c>
      <c r="L184" s="1677">
        <f>SUM(L180, L182:L183)</f>
        <v>431585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7269</v>
      </c>
      <c r="D210" s="1670">
        <f>SUM(D184,D185)</f>
        <v>3570</v>
      </c>
      <c r="E210" s="1670">
        <f>SUM(E184,E185,E196)</f>
        <v>440508</v>
      </c>
      <c r="F210" s="1670">
        <f>SUM(F184,F185)</f>
        <v>0</v>
      </c>
      <c r="G210" s="1670">
        <f>SUM(G184,G185)</f>
        <v>0</v>
      </c>
      <c r="H210" s="1670">
        <f>SUM(H184,H185,H196,H208,H209)</f>
        <v>0</v>
      </c>
      <c r="I210" s="1670">
        <f>SUM(I184,I185)</f>
        <v>0</v>
      </c>
      <c r="J210" s="1670">
        <f>SUM(J184,J185)</f>
        <v>0</v>
      </c>
      <c r="K210" s="1671">
        <f>SUM(K184,K185,K196,K208,K209)</f>
        <v>451347</v>
      </c>
      <c r="L210" s="1670">
        <f>SUM(L184,L185,L196,L208,L209)</f>
        <v>431585</v>
      </c>
    </row>
    <row r="211" spans="1:14" ht="13.5" thickTop="1" x14ac:dyDescent="0.2">
      <c r="A211" s="2154" t="s">
        <v>996</v>
      </c>
      <c r="B211" s="2155"/>
      <c r="C211" s="618"/>
      <c r="D211" s="618"/>
      <c r="E211" s="618"/>
      <c r="F211" s="618"/>
      <c r="G211" s="618"/>
      <c r="H211" s="618"/>
      <c r="I211" s="616"/>
      <c r="J211" s="616"/>
      <c r="K211" s="1684">
        <f>'Revenues 9-14'!F268-'Expenditures 15-22'!K210</f>
        <v>10009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69719</v>
      </c>
      <c r="E215" s="616"/>
      <c r="F215" s="616"/>
      <c r="G215" s="616"/>
      <c r="H215" s="616"/>
      <c r="I215" s="616"/>
      <c r="J215" s="616"/>
      <c r="K215" s="1671">
        <f>D215</f>
        <v>69719</v>
      </c>
      <c r="L215" s="466">
        <v>72511</v>
      </c>
    </row>
    <row r="216" spans="1:14" x14ac:dyDescent="0.2">
      <c r="A216" s="1504" t="s">
        <v>163</v>
      </c>
      <c r="B216" s="614" t="s">
        <v>967</v>
      </c>
      <c r="C216" s="616"/>
      <c r="D216" s="467">
        <v>12068</v>
      </c>
      <c r="E216" s="616"/>
      <c r="F216" s="616"/>
      <c r="G216" s="616"/>
      <c r="H216" s="616"/>
      <c r="I216" s="616"/>
      <c r="J216" s="616"/>
      <c r="K216" s="1671">
        <f t="shared" ref="K216:K228" si="19">D216</f>
        <v>12068</v>
      </c>
      <c r="L216" s="466">
        <v>15062</v>
      </c>
    </row>
    <row r="217" spans="1:14" x14ac:dyDescent="0.2">
      <c r="A217" s="1504" t="s">
        <v>164</v>
      </c>
      <c r="B217" s="614">
        <v>1200</v>
      </c>
      <c r="C217" s="616"/>
      <c r="D217" s="466">
        <v>39498</v>
      </c>
      <c r="E217" s="616"/>
      <c r="F217" s="616"/>
      <c r="G217" s="616"/>
      <c r="H217" s="616"/>
      <c r="I217" s="616"/>
      <c r="J217" s="616"/>
      <c r="K217" s="1671">
        <f t="shared" si="19"/>
        <v>39498</v>
      </c>
      <c r="L217" s="466">
        <v>45645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3496</v>
      </c>
      <c r="E219" s="616"/>
      <c r="F219" s="616"/>
      <c r="G219" s="616"/>
      <c r="H219" s="616"/>
      <c r="I219" s="616"/>
      <c r="J219" s="616"/>
      <c r="K219" s="1671">
        <f t="shared" si="19"/>
        <v>3496</v>
      </c>
      <c r="L219" s="466">
        <v>2215</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1668</v>
      </c>
      <c r="E223" s="616"/>
      <c r="F223" s="616"/>
      <c r="G223" s="616"/>
      <c r="H223" s="616"/>
      <c r="I223" s="616"/>
      <c r="J223" s="616"/>
      <c r="K223" s="1671">
        <f t="shared" si="19"/>
        <v>1668</v>
      </c>
      <c r="L223" s="466">
        <v>1400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126449</v>
      </c>
      <c r="E229" s="616"/>
      <c r="F229" s="616"/>
      <c r="G229" s="616"/>
      <c r="H229" s="616"/>
      <c r="I229" s="616"/>
      <c r="J229" s="616"/>
      <c r="K229" s="1670">
        <f>SUM(K215:K228)</f>
        <v>126449</v>
      </c>
      <c r="L229" s="1670">
        <f>SUM(L215:L228)</f>
        <v>136833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1420</v>
      </c>
      <c r="E232" s="616"/>
      <c r="F232" s="616"/>
      <c r="G232" s="616"/>
      <c r="H232" s="616"/>
      <c r="I232" s="616"/>
      <c r="J232" s="616"/>
      <c r="K232" s="1671">
        <f t="shared" ref="K232:K237" si="20">D232</f>
        <v>1420</v>
      </c>
      <c r="L232" s="466">
        <v>1550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7267</v>
      </c>
      <c r="E234" s="616"/>
      <c r="F234" s="616"/>
      <c r="G234" s="616"/>
      <c r="H234" s="616"/>
      <c r="I234" s="616"/>
      <c r="J234" s="616"/>
      <c r="K234" s="1671">
        <f t="shared" si="20"/>
        <v>7267</v>
      </c>
      <c r="L234" s="466">
        <v>7835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672</v>
      </c>
      <c r="E236" s="616"/>
      <c r="F236" s="616"/>
      <c r="G236" s="616"/>
      <c r="H236" s="616"/>
      <c r="I236" s="616"/>
      <c r="J236" s="616"/>
      <c r="K236" s="1671">
        <f t="shared" si="20"/>
        <v>672</v>
      </c>
      <c r="L236" s="466">
        <v>700</v>
      </c>
    </row>
    <row r="237" spans="1:12" x14ac:dyDescent="0.2">
      <c r="A237" s="1504" t="s">
        <v>165</v>
      </c>
      <c r="B237" s="614">
        <v>2190</v>
      </c>
      <c r="C237" s="616"/>
      <c r="D237" s="466">
        <v>6849</v>
      </c>
      <c r="E237" s="616"/>
      <c r="F237" s="616"/>
      <c r="G237" s="616"/>
      <c r="H237" s="616"/>
      <c r="I237" s="616"/>
      <c r="J237" s="616"/>
      <c r="K237" s="1671">
        <f t="shared" si="20"/>
        <v>6849</v>
      </c>
      <c r="L237" s="466">
        <v>7240</v>
      </c>
    </row>
    <row r="238" spans="1:12" ht="12.75" customHeight="1" thickBot="1" x14ac:dyDescent="0.25">
      <c r="A238" s="1668" t="s">
        <v>560</v>
      </c>
      <c r="B238" s="1675" t="s">
        <v>716</v>
      </c>
      <c r="C238" s="616"/>
      <c r="D238" s="1670">
        <f>SUM(D232:D237)</f>
        <v>16208</v>
      </c>
      <c r="E238" s="616"/>
      <c r="F238" s="616"/>
      <c r="G238" s="616"/>
      <c r="H238" s="616"/>
      <c r="I238" s="616"/>
      <c r="J238" s="616"/>
      <c r="K238" s="1670">
        <f>SUM(K232:K237)</f>
        <v>16208</v>
      </c>
      <c r="L238" s="1670">
        <f>SUM(L232:L237)</f>
        <v>17325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204</v>
      </c>
      <c r="E240" s="616"/>
      <c r="F240" s="616"/>
      <c r="G240" s="616"/>
      <c r="H240" s="616"/>
      <c r="I240" s="616"/>
      <c r="J240" s="616"/>
      <c r="K240" s="1672">
        <f>D240</f>
        <v>204</v>
      </c>
      <c r="L240" s="481">
        <v>125</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204</v>
      </c>
      <c r="E243" s="616"/>
      <c r="F243" s="616"/>
      <c r="G243" s="616"/>
      <c r="H243" s="616"/>
      <c r="I243" s="616"/>
      <c r="J243" s="616"/>
      <c r="K243" s="1670">
        <f>SUM(K240:K242)</f>
        <v>204</v>
      </c>
      <c r="L243" s="1670">
        <f>SUM(L240:L242)</f>
        <v>125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2049</v>
      </c>
      <c r="E246" s="616"/>
      <c r="F246" s="616"/>
      <c r="G246" s="616"/>
      <c r="H246" s="616"/>
      <c r="I246" s="616"/>
      <c r="J246" s="616"/>
      <c r="K246" s="1672">
        <f t="shared" ref="K246:K256" si="21">D246</f>
        <v>2049</v>
      </c>
      <c r="L246" s="466">
        <v>2493</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1804</v>
      </c>
      <c r="B249" s="683" t="s">
        <v>282</v>
      </c>
      <c r="C249" s="616"/>
      <c r="D249" s="474"/>
      <c r="E249" s="616"/>
      <c r="F249" s="616"/>
      <c r="G249" s="616"/>
      <c r="H249" s="616"/>
      <c r="I249" s="616"/>
      <c r="J249" s="616"/>
      <c r="K249" s="1672">
        <f t="shared" si="21"/>
        <v>0</v>
      </c>
      <c r="L249" s="466"/>
    </row>
    <row r="250" spans="1:12" x14ac:dyDescent="0.2">
      <c r="A250" s="1505" t="s">
        <v>1805</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2049</v>
      </c>
      <c r="E257" s="616"/>
      <c r="F257" s="616"/>
      <c r="G257" s="616"/>
      <c r="H257" s="616"/>
      <c r="I257" s="616"/>
      <c r="J257" s="616"/>
      <c r="K257" s="1670">
        <f>SUM(K245:K256)</f>
        <v>2049</v>
      </c>
      <c r="L257" s="1670">
        <f>SUM(L245:L256)</f>
        <v>2493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4274</v>
      </c>
      <c r="E259" s="616"/>
      <c r="F259" s="616"/>
      <c r="G259" s="616"/>
      <c r="H259" s="616"/>
      <c r="I259" s="616"/>
      <c r="J259" s="616"/>
      <c r="K259" s="1672">
        <f>D259</f>
        <v>4274</v>
      </c>
      <c r="L259" s="481">
        <v>4415</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4274</v>
      </c>
      <c r="E261" s="616"/>
      <c r="F261" s="616"/>
      <c r="G261" s="616"/>
      <c r="H261" s="616"/>
      <c r="I261" s="616"/>
      <c r="J261" s="616"/>
      <c r="K261" s="1670">
        <f>SUM(K259:K260)</f>
        <v>4274</v>
      </c>
      <c r="L261" s="1670">
        <f>SUM(L259:L260)</f>
        <v>4415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15056</v>
      </c>
      <c r="E264" s="616"/>
      <c r="F264" s="616"/>
      <c r="G264" s="616"/>
      <c r="H264" s="616"/>
      <c r="I264" s="616"/>
      <c r="J264" s="616"/>
      <c r="K264" s="1672">
        <f t="shared" ref="K264:K269" si="22">D264</f>
        <v>15056</v>
      </c>
      <c r="L264" s="466">
        <v>14665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55211</v>
      </c>
      <c r="E266" s="616"/>
      <c r="F266" s="616"/>
      <c r="G266" s="616"/>
      <c r="H266" s="616"/>
      <c r="I266" s="616"/>
      <c r="J266" s="616"/>
      <c r="K266" s="1672">
        <f t="shared" si="22"/>
        <v>55211</v>
      </c>
      <c r="L266" s="466">
        <v>61303</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14198</v>
      </c>
      <c r="E268" s="616"/>
      <c r="F268" s="616"/>
      <c r="G268" s="616"/>
      <c r="H268" s="616"/>
      <c r="I268" s="616"/>
      <c r="J268" s="616"/>
      <c r="K268" s="1672">
        <f t="shared" si="22"/>
        <v>14198</v>
      </c>
      <c r="L268" s="466">
        <v>16775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84465</v>
      </c>
      <c r="E270" s="616"/>
      <c r="F270" s="616"/>
      <c r="G270" s="616"/>
      <c r="H270" s="616"/>
      <c r="I270" s="616"/>
      <c r="J270" s="616"/>
      <c r="K270" s="1670">
        <f>SUM(K263:K269)</f>
        <v>84465</v>
      </c>
      <c r="L270" s="1670">
        <f>SUM(L263:L269)</f>
        <v>92743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107200</v>
      </c>
      <c r="E279" s="616"/>
      <c r="F279" s="616"/>
      <c r="G279" s="616"/>
      <c r="H279" s="616"/>
      <c r="I279" s="616"/>
      <c r="J279" s="616"/>
      <c r="K279" s="1677">
        <f>SUM(K238,K243,K257,K261,K270,K277,K278)</f>
        <v>107200</v>
      </c>
      <c r="L279" s="1677">
        <f>SUM(L238,L243,L257,L261,L270,L277,L278)</f>
        <v>117101</v>
      </c>
    </row>
    <row r="280" spans="1:12" ht="15.75" customHeight="1" thickTop="1" thickBot="1" x14ac:dyDescent="0.25">
      <c r="A280" s="1624" t="s">
        <v>875</v>
      </c>
      <c r="B280" s="1613">
        <v>3000</v>
      </c>
      <c r="C280" s="616"/>
      <c r="D280" s="576">
        <v>13815</v>
      </c>
      <c r="E280" s="616"/>
      <c r="F280" s="616"/>
      <c r="G280" s="616"/>
      <c r="H280" s="616"/>
      <c r="I280" s="616"/>
      <c r="J280" s="616"/>
      <c r="K280" s="1679">
        <f>D280</f>
        <v>13815</v>
      </c>
      <c r="L280" s="576">
        <v>14296</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v>234</v>
      </c>
      <c r="E283" s="616"/>
      <c r="F283" s="616"/>
      <c r="G283" s="616"/>
      <c r="H283" s="616"/>
      <c r="I283" s="616"/>
      <c r="J283" s="616"/>
      <c r="K283" s="1671">
        <f>D283</f>
        <v>234</v>
      </c>
      <c r="L283" s="466">
        <v>2000</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234</v>
      </c>
      <c r="E285" s="616"/>
      <c r="F285" s="616"/>
      <c r="G285" s="616"/>
      <c r="H285" s="616"/>
      <c r="I285" s="616"/>
      <c r="J285" s="616"/>
      <c r="K285" s="1670">
        <f>SUM(K282:K284)</f>
        <v>234</v>
      </c>
      <c r="L285" s="1670">
        <f>SUM(L282:L284)</f>
        <v>2000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247698</v>
      </c>
      <c r="E295" s="616"/>
      <c r="F295" s="616"/>
      <c r="G295" s="616"/>
      <c r="H295" s="1670">
        <f>H293</f>
        <v>0</v>
      </c>
      <c r="I295" s="616"/>
      <c r="J295" s="616"/>
      <c r="K295" s="1670">
        <f>SUM(K229,K279,K280,K285,K293,K294)</f>
        <v>247698</v>
      </c>
      <c r="L295" s="1670">
        <f>SUM(L229,L279,L280,L285,L293,L294)</f>
        <v>270230</v>
      </c>
    </row>
    <row r="296" spans="1:14" ht="13.5" thickTop="1" x14ac:dyDescent="0.2">
      <c r="A296" s="2154" t="s">
        <v>996</v>
      </c>
      <c r="B296" s="2155"/>
      <c r="C296" s="616"/>
      <c r="D296" s="618"/>
      <c r="E296" s="616"/>
      <c r="F296" s="616"/>
      <c r="G296" s="616"/>
      <c r="H296" s="687"/>
      <c r="I296" s="616"/>
      <c r="J296" s="616"/>
      <c r="K296" s="1684">
        <f>'Revenues 9-14'!G268-'Expenditures 15-22'!K295</f>
        <v>163068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4240</v>
      </c>
      <c r="F301" s="466"/>
      <c r="G301" s="466">
        <v>418637</v>
      </c>
      <c r="H301" s="466"/>
      <c r="I301" s="467"/>
      <c r="J301" s="467"/>
      <c r="K301" s="1671">
        <f>SUM(C301:J301)</f>
        <v>422877</v>
      </c>
      <c r="L301" s="467">
        <v>595345</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4240</v>
      </c>
      <c r="F303" s="1677">
        <f t="shared" si="23"/>
        <v>0</v>
      </c>
      <c r="G303" s="1677">
        <f t="shared" si="23"/>
        <v>418637</v>
      </c>
      <c r="H303" s="1677">
        <f t="shared" si="23"/>
        <v>0</v>
      </c>
      <c r="I303" s="1677">
        <f t="shared" si="23"/>
        <v>0</v>
      </c>
      <c r="J303" s="1677">
        <f t="shared" si="23"/>
        <v>0</v>
      </c>
      <c r="K303" s="1677">
        <f t="shared" si="23"/>
        <v>422877</v>
      </c>
      <c r="L303" s="1677">
        <f t="shared" si="23"/>
        <v>595345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4240</v>
      </c>
      <c r="F312" s="1670">
        <f>SUM(F303)</f>
        <v>0</v>
      </c>
      <c r="G312" s="1670">
        <f>SUM(G303)</f>
        <v>418637</v>
      </c>
      <c r="H312" s="1670">
        <f>SUM(H303,H310)</f>
        <v>0</v>
      </c>
      <c r="I312" s="1670">
        <f>SUM(I303)</f>
        <v>0</v>
      </c>
      <c r="J312" s="1670">
        <f>SUM(J303)</f>
        <v>0</v>
      </c>
      <c r="K312" s="1670">
        <f>SUM(K303,K310,K311)</f>
        <v>422877</v>
      </c>
      <c r="L312" s="1670">
        <f>SUM(L303,L310,L311)</f>
        <v>595345</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-421510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282</v>
      </c>
      <c r="C320" s="467"/>
      <c r="D320" s="467"/>
      <c r="E320" s="467">
        <v>28125</v>
      </c>
      <c r="F320" s="467"/>
      <c r="G320" s="467"/>
      <c r="H320" s="467"/>
      <c r="I320" s="467"/>
      <c r="J320" s="467"/>
      <c r="K320" s="1671">
        <f t="shared" ref="K320:K327" si="24">SUM(C320:J320)</f>
        <v>28125</v>
      </c>
      <c r="L320" s="467">
        <v>45000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166371</v>
      </c>
      <c r="D325" s="467">
        <v>40731</v>
      </c>
      <c r="E325" s="467">
        <v>84005</v>
      </c>
      <c r="F325" s="467">
        <v>1352</v>
      </c>
      <c r="G325" s="467"/>
      <c r="H325" s="467"/>
      <c r="I325" s="467"/>
      <c r="J325" s="467"/>
      <c r="K325" s="1671">
        <f t="shared" si="24"/>
        <v>292459</v>
      </c>
      <c r="L325" s="467">
        <v>250277</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25153</v>
      </c>
      <c r="F327" s="467"/>
      <c r="G327" s="467"/>
      <c r="H327" s="467"/>
      <c r="I327" s="467"/>
      <c r="J327" s="467"/>
      <c r="K327" s="1671">
        <f t="shared" si="24"/>
        <v>25153</v>
      </c>
      <c r="L327" s="467">
        <v>50000</v>
      </c>
      <c r="M327" s="665"/>
      <c r="N327" s="665"/>
    </row>
    <row r="328" spans="1:14" s="674" customFormat="1" x14ac:dyDescent="0.2">
      <c r="A328" s="1520" t="s">
        <v>472</v>
      </c>
      <c r="B328" s="690" t="s">
        <v>1132</v>
      </c>
      <c r="C328" s="474"/>
      <c r="D328" s="474"/>
      <c r="E328" s="474">
        <v>60619</v>
      </c>
      <c r="F328" s="474"/>
      <c r="G328" s="474"/>
      <c r="H328" s="474"/>
      <c r="I328" s="474"/>
      <c r="J328" s="474"/>
      <c r="K328" s="1699">
        <f>SUM(C328:J328)</f>
        <v>60619</v>
      </c>
      <c r="L328" s="474">
        <v>61000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166371</v>
      </c>
      <c r="D330" s="1670">
        <f t="shared" ref="D330:J330" si="25">SUM(D319:D329)</f>
        <v>40731</v>
      </c>
      <c r="E330" s="1670">
        <f t="shared" si="25"/>
        <v>197902</v>
      </c>
      <c r="F330" s="1670">
        <f t="shared" si="25"/>
        <v>1352</v>
      </c>
      <c r="G330" s="1670">
        <f t="shared" si="25"/>
        <v>0</v>
      </c>
      <c r="H330" s="1670">
        <f t="shared" si="25"/>
        <v>0</v>
      </c>
      <c r="I330" s="1670">
        <f t="shared" si="25"/>
        <v>0</v>
      </c>
      <c r="J330" s="1670">
        <f t="shared" si="25"/>
        <v>0</v>
      </c>
      <c r="K330" s="1670">
        <f>SUM(K319:K329)</f>
        <v>406356</v>
      </c>
      <c r="L330" s="1670">
        <f>SUM(L319:L329)</f>
        <v>406277</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v>55125</v>
      </c>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55125</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166371</v>
      </c>
      <c r="D342" s="1670">
        <f>SUM(D330)</f>
        <v>40731</v>
      </c>
      <c r="E342" s="1670">
        <f>SUM(E330)</f>
        <v>197902</v>
      </c>
      <c r="F342" s="1670">
        <f>SUM(F330)</f>
        <v>1352</v>
      </c>
      <c r="G342" s="1670">
        <f>SUM(G330)</f>
        <v>0</v>
      </c>
      <c r="H342" s="1670">
        <f>SUM(H330,H334,H340)</f>
        <v>0</v>
      </c>
      <c r="I342" s="1670">
        <f>SUM(I330)</f>
        <v>0</v>
      </c>
      <c r="J342" s="1670">
        <f>SUM(J330)</f>
        <v>0</v>
      </c>
      <c r="K342" s="1670">
        <f>SUM(K330,K334,K340)</f>
        <v>406356</v>
      </c>
      <c r="L342" s="1677">
        <f>SUM(L330,L340,L341)</f>
        <v>406277</v>
      </c>
    </row>
    <row r="343" spans="1:14" ht="12.75" customHeight="1" thickTop="1" x14ac:dyDescent="0.2">
      <c r="A343" s="2167" t="s">
        <v>996</v>
      </c>
      <c r="B343" s="2168"/>
      <c r="C343" s="616"/>
      <c r="D343" s="616"/>
      <c r="E343" s="616"/>
      <c r="F343" s="616"/>
      <c r="G343" s="616"/>
      <c r="H343" s="616"/>
      <c r="I343" s="616"/>
      <c r="J343" s="616"/>
      <c r="K343" s="1684">
        <f>'Revenues 9-14'!J268-'Expenditures 15-22'!K342</f>
        <v>340045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780000</v>
      </c>
    </row>
    <row r="349" spans="1:14" x14ac:dyDescent="0.2">
      <c r="A349" s="1504" t="s">
        <v>197</v>
      </c>
      <c r="B349" s="614">
        <v>2540</v>
      </c>
      <c r="C349" s="466"/>
      <c r="D349" s="466"/>
      <c r="E349" s="466">
        <v>8664</v>
      </c>
      <c r="F349" s="466"/>
      <c r="G349" s="466">
        <v>63312</v>
      </c>
      <c r="H349" s="466"/>
      <c r="I349" s="467"/>
      <c r="J349" s="467"/>
      <c r="K349" s="1671">
        <f>SUM(C349:J349)</f>
        <v>71976</v>
      </c>
      <c r="L349" s="466"/>
    </row>
    <row r="350" spans="1:14" ht="12.75" customHeight="1" thickBot="1" x14ac:dyDescent="0.25">
      <c r="A350" s="1668" t="s">
        <v>719</v>
      </c>
      <c r="B350" s="1669" t="s">
        <v>35</v>
      </c>
      <c r="C350" s="1670">
        <f>SUM(C348:C349)</f>
        <v>0</v>
      </c>
      <c r="D350" s="1670">
        <f t="shared" ref="D350:L350" si="26">SUM(D348:D349)</f>
        <v>0</v>
      </c>
      <c r="E350" s="1670">
        <f t="shared" si="26"/>
        <v>8664</v>
      </c>
      <c r="F350" s="1670">
        <f t="shared" si="26"/>
        <v>0</v>
      </c>
      <c r="G350" s="1670">
        <f t="shared" si="26"/>
        <v>63312</v>
      </c>
      <c r="H350" s="1670">
        <f t="shared" si="26"/>
        <v>0</v>
      </c>
      <c r="I350" s="1670">
        <f t="shared" si="26"/>
        <v>0</v>
      </c>
      <c r="J350" s="1670">
        <f t="shared" si="26"/>
        <v>0</v>
      </c>
      <c r="K350" s="1670">
        <f t="shared" si="26"/>
        <v>71976</v>
      </c>
      <c r="L350" s="1670">
        <f t="shared" si="26"/>
        <v>780000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8664</v>
      </c>
      <c r="F352" s="1670">
        <f t="shared" si="27"/>
        <v>0</v>
      </c>
      <c r="G352" s="1670">
        <f t="shared" si="27"/>
        <v>63312</v>
      </c>
      <c r="H352" s="1670">
        <f t="shared" si="27"/>
        <v>0</v>
      </c>
      <c r="I352" s="1670">
        <f t="shared" si="27"/>
        <v>0</v>
      </c>
      <c r="J352" s="1670">
        <f t="shared" si="27"/>
        <v>0</v>
      </c>
      <c r="K352" s="1670">
        <f t="shared" si="27"/>
        <v>71976</v>
      </c>
      <c r="L352" s="1670">
        <f t="shared" si="27"/>
        <v>780000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8664</v>
      </c>
      <c r="F367" s="1670">
        <f t="shared" si="28"/>
        <v>0</v>
      </c>
      <c r="G367" s="1670">
        <f t="shared" si="28"/>
        <v>63312</v>
      </c>
      <c r="H367" s="1670">
        <f t="shared" si="28"/>
        <v>0</v>
      </c>
      <c r="I367" s="1670">
        <f t="shared" si="28"/>
        <v>0</v>
      </c>
      <c r="J367" s="1670">
        <f t="shared" si="28"/>
        <v>0</v>
      </c>
      <c r="K367" s="1670">
        <f t="shared" si="28"/>
        <v>71976</v>
      </c>
      <c r="L367" s="1670">
        <f t="shared" si="28"/>
        <v>780000</v>
      </c>
    </row>
    <row r="368" spans="1:14" ht="13.5" thickTop="1" x14ac:dyDescent="0.2">
      <c r="A368" s="2154" t="s">
        <v>996</v>
      </c>
      <c r="B368" s="2155"/>
      <c r="C368" s="654"/>
      <c r="D368" s="654"/>
      <c r="E368" s="626"/>
      <c r="F368" s="626"/>
      <c r="G368" s="626"/>
      <c r="H368" s="626"/>
      <c r="I368" s="626"/>
      <c r="J368" s="623"/>
      <c r="K368" s="1671">
        <f>'Revenues 9-14'!K268-'Expenditures 15-22'!K367</f>
        <v>63455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gridLinesSet="0"/>
  <pageMargins left="0.75" right="0.75" top="1.1000000000000001" bottom="0.5" header="0.5" footer="0.5"/>
  <pageSetup scale="60" firstPageNumber="15" fitToHeight="0" orientation="landscape" r:id="rId1"/>
  <headerFooter>
    <oddHeader>&amp;C&amp;"Times New Roman,Regular"PONTIAC-WILLIAM HOLLIDAY SCHOOL DISTRICT NO. 105
STATEMENT OF DISBURSEMENTS - CASH - REGULATORY BASIS
(ACTUAL AND BUDGET)
ALL FUNDS
FOR THE YEAR ENDED JUNE 30, 2019</oddHeader>
    <oddFooter>&amp;C&amp;"Times New Roman,Regular"See Notes to Financial Statements and Independent Auditor's Reports
&amp;P</oddFooter>
  </headerFooter>
  <rowBreaks count="6" manualBreakCount="6">
    <brk id="53" max="16383" man="1"/>
    <brk id="107" max="16383" man="1"/>
    <brk id="160" max="16383" man="1"/>
    <brk id="206" max="16383" man="1"/>
    <brk id="261" max="16383" man="1"/>
    <brk id="3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www.w3.org/XML/1998/namespace"/>
    <ds:schemaRef ds:uri="http://purl.org/dc/dcmitype/"/>
    <ds:schemaRef ds:uri="http://purl.org/dc/terms/"/>
    <ds:schemaRef ds:uri="http://schemas.microsoft.com/office/infopath/2007/PartnerControls"/>
    <ds:schemaRef ds:uri="6ce3111e-7420-4802-b50a-75d4e9a0b980"/>
    <ds:schemaRef ds:uri="http://purl.org/dc/elements/1.1/"/>
    <ds:schemaRef ds:uri="d21dc803-237d-4c68-8692-8d731fd29118"/>
    <ds:schemaRef ds:uri="4d435f69-8686-490b-bd6d-b153bf22ab5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22</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'Aud Quest 2'!Print_Area</vt:lpstr>
      <vt:lpstr>'Cap Outlay Deprec 26'!Print_Area</vt:lpstr>
      <vt:lpstr>'Itemization 33'!Print_Area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2019-09-18T21:31:49Z</cp:lastPrinted>
  <dcterms:created xsi:type="dcterms:W3CDTF">2003-10-29T19:06:34Z</dcterms:created>
  <dcterms:modified xsi:type="dcterms:W3CDTF">2020-04-20T19:44:17Z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