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5440" windowHeight="15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heet1" sheetId="185" r:id="rId30"/>
    <sheet name="SF&amp;QC Sec-1" sheetId="174" r:id="rId31"/>
    <sheet name="SF&amp;QC Sec-2" sheetId="175" r:id="rId32"/>
    <sheet name="SF&amp;QC Sec-2 (2)" sheetId="183" r:id="rId33"/>
    <sheet name="SF&amp;QC Sec-2 (3)" sheetId="184" r:id="rId34"/>
    <sheet name="SF&amp;QC Sec-3" sheetId="176" r:id="rId35"/>
    <sheet name="SSPAF" sheetId="177" r:id="rId36"/>
    <sheet name="Sheet2" sheetId="186" r:id="rId37"/>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4" l="1"/>
  <c r="E25" i="127" l="1"/>
  <c r="E13" i="127" l="1"/>
  <c r="E9" i="127"/>
  <c r="E16" i="7" l="1"/>
  <c r="E14" i="7"/>
  <c r="E11" i="7"/>
  <c r="E10" i="7"/>
  <c r="E8" i="7"/>
  <c r="E7" i="7"/>
  <c r="E6" i="7"/>
  <c r="E5" i="7"/>
  <c r="E4" i="7"/>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E27" i="108"/>
  <c r="G27" i="108"/>
  <c r="G28"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c r="D17" i="7"/>
  <c r="B4104" i="106" s="1"/>
  <c r="D4104" i="106" s="1"/>
  <c r="E35" i="108" l="1"/>
  <c r="D24" i="37"/>
  <c r="B4270" i="106" s="1"/>
  <c r="D4270" i="106" s="1"/>
  <c r="F38" i="34"/>
  <c r="G34" i="108"/>
  <c r="G26" i="108"/>
  <c r="B6289" i="106"/>
  <c r="D6289" i="106" s="1"/>
  <c r="G14" i="4"/>
  <c r="B2609" i="106" s="1"/>
  <c r="D2609" i="106" s="1"/>
  <c r="F34" i="34"/>
  <c r="L13" i="11"/>
  <c r="B2060" i="106" s="1"/>
  <c r="D2060" i="106" s="1"/>
  <c r="F72" i="34"/>
  <c r="C129" i="29"/>
  <c r="B1225" i="106" s="1"/>
  <c r="D1225" i="106" s="1"/>
  <c r="F52" i="34"/>
  <c r="G35" i="108"/>
  <c r="I210" i="29"/>
  <c r="B7071" i="106" s="1"/>
  <c r="D7071" i="106" s="1"/>
  <c r="J23" i="12"/>
  <c r="B7730" i="106" s="1"/>
  <c r="D7730" i="106" s="1"/>
  <c r="B4211" i="106"/>
  <c r="D4211" i="106" s="1"/>
  <c r="F44" i="34"/>
  <c r="G30" i="108"/>
  <c r="E30" i="108"/>
  <c r="J210" i="29"/>
  <c r="B7072" i="106" s="1"/>
  <c r="D7072" i="106" s="1"/>
  <c r="J77" i="4"/>
  <c r="B6262" i="106" s="1"/>
  <c r="D6262" i="106" s="1"/>
  <c r="H365" i="29"/>
  <c r="B7242" i="106" s="1"/>
  <c r="D7242" i="106" s="1"/>
  <c r="K76" i="4"/>
  <c r="B3586" i="106" s="1"/>
  <c r="D3586" i="106" s="1"/>
  <c r="F77" i="4"/>
  <c r="B3255" i="106" s="1"/>
  <c r="D3255" i="106" s="1"/>
  <c r="D54" i="36"/>
  <c r="D69" i="36"/>
  <c r="B3647" i="106"/>
  <c r="D3647" i="106" s="1"/>
  <c r="B6995" i="106"/>
  <c r="D6995" i="106" s="1"/>
  <c r="C352" i="29"/>
  <c r="D27" i="108"/>
  <c r="H76" i="4"/>
  <c r="B3298" i="106" s="1"/>
  <c r="D3298" i="106" s="1"/>
  <c r="B2724" i="106"/>
  <c r="D2724" i="106" s="1"/>
  <c r="D22" i="37"/>
  <c r="B1274" i="106"/>
  <c r="D1274" i="106" s="1"/>
  <c r="B1124" i="106"/>
  <c r="D1124" i="106" s="1"/>
  <c r="G15" i="145"/>
  <c r="F70" i="34"/>
  <c r="F56" i="34"/>
  <c r="F50" i="34"/>
  <c r="F36" i="108"/>
  <c r="C342" i="29"/>
  <c r="B7216" i="106" s="1"/>
  <c r="D7216" i="106" s="1"/>
  <c r="L15" i="11"/>
  <c r="B3459" i="106" s="1"/>
  <c r="D3459" i="106" s="1"/>
  <c r="D68" i="36"/>
  <c r="J352" i="29"/>
  <c r="F46" i="34"/>
  <c r="F36" i="34"/>
  <c r="H33" i="118"/>
  <c r="D37" i="108"/>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B6216" i="106" s="1"/>
  <c r="D6216" i="10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K77" i="4" l="1"/>
  <c r="B3587" i="106" s="1"/>
  <c r="D3587" i="106" s="1"/>
  <c r="D41" i="108"/>
  <c r="E43" i="108" s="1"/>
  <c r="J24" i="12"/>
  <c r="B7732" i="106" s="1"/>
  <c r="D7732" i="106" s="1"/>
  <c r="D7251" i="106"/>
  <c r="D7256" i="106"/>
  <c r="D7252" i="106"/>
  <c r="F66" i="34"/>
  <c r="N23" i="3"/>
  <c r="B284" i="106" s="1"/>
  <c r="D284" i="106" s="1"/>
  <c r="B1317" i="106"/>
  <c r="D1317" i="106" s="1"/>
  <c r="C114" i="29"/>
  <c r="B757" i="106" s="1"/>
  <c r="D757" i="106" s="1"/>
  <c r="D52" i="36"/>
  <c r="J367" i="29"/>
  <c r="B7245" i="106" s="1"/>
  <c r="D7245" i="106" s="1"/>
  <c r="B7235" i="106"/>
  <c r="D7235" i="106" s="1"/>
  <c r="D51" i="36"/>
  <c r="F41" i="108"/>
  <c r="G43" i="108" s="1"/>
  <c r="B5527" i="106"/>
  <c r="D5527" i="106" s="1"/>
  <c r="L114" i="29"/>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K16" i="4"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J26" i="12" l="1"/>
  <c r="B7742" i="106" s="1"/>
  <c r="D7742" i="106" s="1"/>
  <c r="F24" i="37"/>
  <c r="B7224" i="106"/>
  <c r="D7224" i="106" s="1"/>
  <c r="B7243" i="106"/>
  <c r="D7243"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J20" i="4"/>
  <c r="B6230" i="106" s="1"/>
  <c r="D6230" i="106" s="1"/>
  <c r="F8" i="4"/>
  <c r="B2595" i="106" s="1"/>
  <c r="D259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3576" i="106" l="1"/>
  <c r="D3576" i="106" s="1"/>
  <c r="F175" i="34"/>
  <c r="F79" i="34"/>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<sst xmlns="http://schemas.openxmlformats.org/spreadsheetml/2006/main" count="5184" uniqueCount="2138">
  <si>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</si>
  <si>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</si>
  <si>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</si>
  <si>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</si>
  <si>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</si>
  <si>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</si>
  <si>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</si>
  <si>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</si>
  <si>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</si>
  <si>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</si>
  <si>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</si>
  <si>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</si>
  <si>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</si>
  <si>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</si>
  <si>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</si>
  <si>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</si>
  <si>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</si>
  <si>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</si>
  <si>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</si>
  <si>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</si>
  <si>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</si>
  <si>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</si>
  <si>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</si>
  <si>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</si>
  <si>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</si>
  <si>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</si>
  <si>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</si>
  <si>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</si>
  <si>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</si>
  <si>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</si>
  <si>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</si>
  <si>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</si>
  <si>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</si>
  <si>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</si>
  <si>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</si>
  <si>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</si>
  <si>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</si>
  <si>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</si>
  <si>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</si>
  <si>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</si>
  <si>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</si>
  <si>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</si>
  <si>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</si>
  <si>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</si>
  <si>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</si>
  <si>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</si>
  <si>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</si>
  <si>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</si>
  <si>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</si>
  <si>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</si>
  <si>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</si>
  <si>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</si>
  <si>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</si>
  <si>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</si>
  <si>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</si>
  <si>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</si>
  <si>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</si>
  <si>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</si>
  <si>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</si>
  <si>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</si>
  <si>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</si>
  <si>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</si>
  <si>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</si>
  <si>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</si>
  <si>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</si>
  <si>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</si>
  <si>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</si>
  <si>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</si>
  <si>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</si>
  <si>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</si>
  <si>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</si>
  <si>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</si>
  <si>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</si>
  <si>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</si>
  <si>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</si>
  <si>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</si>
  <si>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</si>
  <si>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</si>
  <si>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</si>
  <si>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</si>
  <si>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</si>
  <si>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</si>
  <si>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</si>
  <si>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</si>
  <si>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</si>
  <si>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</si>
  <si>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</si>
  <si>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</si>
  <si>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</si>
  <si>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</si>
  <si>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</si>
  <si>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</si>
  <si>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</si>
  <si>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</si>
  <si>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</si>
  <si>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</si>
  <si>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</si>
  <si>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</si>
  <si>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</si>
  <si>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</si>
  <si>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</si>
  <si>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</si>
  <si>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</si>
  <si>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</si>
  <si>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</si>
  <si>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</si>
  <si>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</si>
  <si>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</si>
  <si>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</si>
  <si>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</si>
  <si>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</si>
  <si>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</si>
  <si>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</si>
  <si>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</si>
  <si>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</si>
  <si>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</si>
  <si>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</si>
  <si>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</si>
  <si>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</si>
  <si>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</si>
  <si>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</si>
  <si>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</si>
  <si>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</si>
  <si>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</si>
  <si>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</si>
  <si>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</si>
  <si>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</si>
  <si>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</si>
  <si>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</si>
  <si>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</si>
  <si>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</si>
  <si>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</si>
  <si>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</si>
  <si>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</si>
  <si>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</si>
  <si>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</si>
  <si>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</si>
  <si>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</si>
  <si>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</si>
  <si>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</si>
  <si>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</si>
  <si>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</si>
  <si>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</si>
  <si>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</si>
  <si>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</si>
  <si>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</si>
  <si>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</si>
  <si>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</si>
  <si>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</si>
  <si>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</si>
  <si>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</si>
  <si>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</si>
  <si>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</si>
  <si>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</si>
  <si>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</si>
  <si>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</si>
  <si>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</si>
  <si>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</si>
  <si>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</si>
  <si>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</si>
  <si>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</si>
  <si>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</si>
  <si>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</si>
  <si>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</si>
  <si>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</si>
  <si>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</si>
  <si>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</si>
  <si>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</si>
  <si>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</si>
  <si>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</si>
  <si>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</si>
  <si>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</si>
  <si>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</si>
  <si>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</si>
  <si>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</si>
  <si>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</si>
  <si>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</si>
  <si>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</si>
  <si>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</si>
  <si>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</si>
  <si>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</si>
  <si>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</si>
  <si>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</si>
  <si>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</si>
  <si>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</si>
  <si>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</si>
  <si>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</si>
  <si>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</si>
  <si>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</si>
  <si>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</si>
  <si>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</si>
  <si>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</si>
  <si>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</si>
  <si>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</si>
  <si>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</si>
  <si>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</si>
  <si>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</si>
  <si>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</si>
  <si>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</si>
  <si>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</si>
  <si>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</si>
  <si>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</si>
  <si>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</si>
  <si>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</si>
  <si>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</si>
  <si>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</si>
  <si>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</si>
  <si>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</si>
  <si>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</si>
  <si>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</si>
  <si>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</si>
  <si>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</si>
  <si>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</si>
  <si>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</si>
  <si>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</si>
  <si>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</si>
  <si>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</si>
  <si>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</si>
  <si>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</si>
  <si>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</si>
  <si>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</si>
  <si>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</si>
  <si>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</si>
  <si>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</si>
  <si>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</si>
  <si>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</si>
  <si>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</si>
  <si>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</si>
  <si>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</si>
  <si>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</si>
  <si>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</si>
  <si>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</si>
  <si>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</si>
  <si>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</si>
  <si>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</si>
  <si>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</si>
  <si>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</si>
  <si>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</si>
  <si>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</si>
  <si>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</si>
  <si>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</si>
  <si>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</si>
  <si>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</si>
  <si>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</si>
  <si>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</si>
  <si>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</si>
  <si>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</si>
  <si>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</si>
  <si>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</si>
  <si>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</si>
  <si>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</si>
  <si>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</si>
  <si>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</si>
  <si>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</si>
  <si>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</si>
  <si>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</si>
  <si>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</si>
  <si>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</si>
  <si>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</si>
  <si>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</si>
  <si>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</si>
  <si>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</si>
  <si>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</si>
  <si>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</si>
  <si>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</si>
  <si>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</si>
  <si>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</si>
  <si>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</si>
  <si>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</si>
  <si>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</si>
  <si>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</si>
  <si>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</si>
  <si>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</si>
  <si>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</si>
  <si>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</si>
  <si>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</si>
  <si>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</si>
  <si>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</si>
  <si>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</si>
  <si>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</si>
  <si>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</si>
  <si>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</si>
  <si>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</si>
  <si>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</si>
  <si>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</si>
  <si>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</si>
  <si>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</si>
  <si>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</si>
  <si>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</si>
  <si>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</si>
  <si>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</si>
  <si>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</si>
  <si>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</si>
  <si>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</si>
  <si>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</si>
  <si>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</si>
  <si>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</si>
  <si>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</si>
  <si>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</si>
  <si>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</si>
  <si>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</si>
  <si>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</si>
  <si>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</si>
  <si>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</si>
  <si>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</si>
  <si>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</si>
  <si>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</si>
  <si>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</si>
  <si>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</si>
  <si>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</si>
  <si>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</si>
  <si>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</si>
  <si>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</si>
  <si>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</si>
  <si>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</si>
  <si>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</si>
  <si>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</si>
  <si>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</si>
  <si>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</si>
  <si>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</si>
  <si>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</si>
  <si>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</si>
  <si>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</si>
  <si>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</si>
  <si>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</si>
  <si>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</si>
  <si>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</si>
  <si>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</si>
  <si>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</si>
  <si>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</si>
  <si>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</si>
  <si>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</si>
  <si>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</si>
  <si>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</si>
  <si>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</si>
  <si>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</si>
  <si>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</si>
  <si>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</si>
  <si>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</si>
  <si>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</si>
  <si>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</si>
  <si>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</si>
  <si>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</si>
  <si>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</si>
  <si>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</si>
  <si>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</si>
  <si>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</si>
  <si>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</si>
  <si>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</si>
  <si>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</si>
  <si>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</si>
  <si>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</si>
  <si>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</si>
  <si>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</si>
  <si>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</si>
  <si>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</si>
  <si>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</si>
  <si>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</si>
  <si>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</si>
  <si>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</si>
  <si>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</si>
  <si>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</si>
  <si>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</si>
  <si>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</si>
  <si>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</si>
  <si>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</si>
  <si>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</si>
  <si>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</si>
  <si>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</si>
  <si>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</si>
  <si>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</si>
  <si>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</si>
  <si>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</si>
  <si>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</si>
  <si>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</si>
  <si>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</si>
  <si>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</si>
  <si>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</si>
  <si>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</si>
  <si>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</si>
  <si>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</si>
  <si>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</si>
  <si>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</si>
  <si>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</si>
  <si>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</si>
  <si>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</si>
  <si>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</si>
  <si>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</si>
  <si>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</si>
  <si>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</si>
  <si>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</si>
  <si>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</si>
  <si>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</si>
  <si>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</si>
  <si>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</si>
  <si>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</si>
  <si>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</si>
  <si>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</si>
  <si>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</si>
  <si>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</si>
  <si>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</si>
  <si>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</si>
  <si>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</si>
  <si>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</si>
  <si>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</si>
  <si>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</si>
  <si>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</si>
  <si>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</si>
  <si>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</si>
  <si>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</si>
  <si>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</si>
  <si>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</si>
  <si>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</si>
  <si>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</si>
  <si>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</si>
  <si>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</si>
  <si>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</si>
  <si>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</si>
  <si>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</si>
  <si>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</si>
  <si>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</si>
  <si>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</si>
  <si>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</si>
  <si>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</si>
  <si>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</si>
  <si>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</si>
  <si>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</si>
  <si>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</si>
  <si>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</si>
  <si>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</si>
  <si>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</si>
  <si>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</si>
  <si>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</si>
  <si>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</si>
  <si>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</si>
  <si>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</si>
  <si>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</si>
  <si>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</si>
  <si>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</si>
  <si>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</si>
  <si>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</si>
  <si>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</si>
  <si>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</si>
  <si>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</si>
  <si>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</si>
  <si>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</si>
  <si>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</si>
  <si>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</si>
  <si>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</si>
  <si>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</si>
  <si>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</si>
  <si>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</si>
  <si>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</si>
  <si>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</si>
  <si>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</si>
  <si>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</si>
  <si>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</si>
  <si>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</si>
  <si>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</si>
  <si>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</si>
  <si>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</si>
  <si>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</si>
  <si>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</si>
  <si>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</si>
  <si>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</si>
  <si>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</si>
  <si>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</si>
  <si>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</si>
  <si>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</si>
  <si>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</si>
  <si>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</si>
  <si>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</si>
  <si>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</si>
  <si>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</si>
  <si>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</si>
  <si>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</si>
  <si>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</si>
  <si>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</si>
  <si>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</si>
  <si>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</si>
  <si>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</si>
  <si>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</si>
  <si>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</si>
  <si>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</si>
  <si>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</si>
  <si>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</si>
  <si>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</si>
  <si>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</si>
  <si>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</si>
  <si>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</si>
  <si>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</si>
  <si>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</si>
  <si>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</si>
  <si>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</si>
  <si>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</si>
  <si>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</si>
  <si>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</si>
  <si>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</si>
  <si>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</si>
  <si>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</si>
  <si>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</si>
  <si>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</si>
  <si>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</si>
  <si>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</si>
  <si>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</si>
  <si>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</si>
  <si>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</si>
  <si>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</si>
  <si>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</si>
  <si>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</si>
  <si>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</si>
  <si>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</si>
  <si>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</si>
  <si>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</si>
  <si>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</si>
  <si>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</si>
  <si>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</si>
  <si>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</si>
  <si>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</si>
  <si>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</si>
  <si>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</si>
  <si>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</si>
  <si>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</si>
  <si>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</si>
  <si>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</si>
  <si>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</si>
  <si>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</si>
  <si>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</si>
  <si>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</si>
  <si>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</si>
  <si>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</si>
  <si>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</si>
  <si>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</si>
  <si>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</si>
  <si>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</si>
  <si>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</si>
  <si>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</si>
  <si>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</si>
  <si>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</si>
  <si>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</si>
  <si>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</si>
  <si>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</si>
  <si>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</si>
  <si>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</si>
  <si>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</si>
  <si>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</si>
  <si>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</si>
  <si>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</si>
  <si>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</si>
  <si>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</si>
  <si>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</si>
  <si>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</si>
  <si>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</si>
  <si>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</si>
  <si>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</si>
  <si>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</si>
  <si>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</si>
  <si>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</si>
  <si>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</si>
  <si>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</si>
  <si>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</si>
  <si>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</si>
  <si>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</si>
  <si>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</si>
  <si>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</si>
  <si>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</si>
  <si>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</si>
  <si>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</si>
  <si>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</si>
  <si>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</si>
  <si>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</si>
  <si>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</si>
  <si>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</si>
  <si>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</si>
  <si>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</si>
  <si>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</si>
  <si>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</si>
  <si>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</si>
  <si>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</si>
  <si>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</si>
  <si>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</si>
  <si>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</si>
  <si>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</si>
  <si>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</si>
  <si>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</si>
  <si>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</si>
  <si>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</si>
  <si>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</si>
  <si>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</si>
  <si>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</si>
  <si>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</si>
  <si>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</si>
  <si>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</si>
  <si>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</si>
  <si>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</si>
  <si>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</si>
  <si>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</si>
  <si>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</si>
  <si>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</si>
  <si>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</si>
  <si>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</si>
  <si>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</si>
  <si>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</si>
  <si>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</si>
  <si>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</si>
  <si>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</si>
  <si>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</si>
  <si>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</si>
  <si>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</si>
  <si>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</si>
  <si>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</si>
  <si>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</si>
  <si>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</si>
  <si>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</si>
  <si>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</si>
  <si>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</si>
  <si>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</si>
  <si>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</si>
  <si>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</si>
  <si>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</si>
  <si>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</si>
  <si>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</si>
  <si>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</si>
  <si>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</si>
  <si>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</si>
  <si>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</si>
  <si>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</si>
  <si>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</si>
  <si>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</si>
  <si>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</si>
  <si>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</si>
  <si>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</si>
  <si>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</si>
  <si>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</si>
  <si>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</si>
  <si>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</si>
  <si>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</si>
  <si>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</si>
  <si>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</si>
  <si>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</si>
  <si>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</si>
  <si>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</si>
  <si>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</si>
  <si>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</si>
  <si>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</si>
  <si>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</si>
  <si>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</si>
  <si>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</si>
  <si>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</si>
  <si>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</si>
  <si>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</si>
  <si>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</si>
  <si>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</si>
  <si>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</si>
  <si>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</si>
  <si>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</si>
  <si>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</si>
  <si>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</si>
  <si>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</si>
  <si>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</si>
  <si>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</si>
  <si>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</si>
  <si>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</si>
  <si>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</si>
  <si>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</si>
  <si>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</si>
  <si>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</si>
  <si>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</si>
  <si>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</si>
  <si>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</si>
  <si>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</si>
  <si>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</si>
  <si>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</si>
  <si>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</si>
  <si>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</si>
  <si>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</si>
  <si>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</si>
  <si>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</si>
  <si>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</si>
  <si>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</si>
  <si>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</si>
  <si>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</si>
  <si>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</si>
  <si>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</si>
  <si>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</si>
  <si>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</si>
  <si>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</si>
  <si>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</si>
  <si>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</si>
  <si>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</si>
  <si>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</si>
  <si>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</si>
  <si>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</si>
  <si>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</si>
  <si>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</si>
  <si>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</si>
  <si>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</si>
  <si>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</si>
  <si>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</si>
  <si>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</si>
  <si>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</si>
  <si>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</si>
  <si>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</si>
  <si>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</si>
  <si>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</si>
  <si>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</si>
  <si>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</si>
  <si>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</si>
  <si>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</si>
  <si>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</si>
  <si>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</si>
  <si>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</si>
  <si>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</si>
  <si>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</si>
  <si>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</si>
  <si>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</si>
  <si>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</si>
  <si>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</si>
  <si>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</si>
  <si>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</si>
  <si>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</si>
  <si>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</si>
  <si>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</si>
  <si>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</si>
  <si>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</si>
  <si>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</si>
  <si>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</si>
  <si>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</si>
  <si>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</si>
  <si>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</si>
  <si>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</si>
  <si>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</si>
  <si>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</si>
  <si>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</si>
  <si>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</si>
  <si>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</si>
  <si>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</si>
  <si>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</si>
  <si>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</si>
  <si>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</si>
  <si>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</si>
  <si>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</si>
  <si>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</si>
  <si>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</si>
  <si>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</si>
  <si>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</si>
  <si>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</si>
  <si>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</si>
  <si>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</si>
  <si>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</si>
  <si>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</si>
  <si>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</si>
  <si>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</si>
  <si>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</si>
  <si>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</si>
  <si>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</si>
  <si>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</si>
  <si>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</si>
  <si>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</si>
  <si>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</si>
  <si>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</si>
  <si>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</si>
  <si>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</si>
  <si>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</si>
  <si>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</si>
  <si>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</si>
  <si>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</si>
  <si>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</si>
  <si>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</si>
  <si>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</si>
  <si>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</si>
  <si>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</si>
  <si>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</si>
  <si>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</si>
  <si>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</si>
  <si>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</si>
  <si>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</si>
  <si>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</si>
  <si>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</si>
  <si>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</si>
  <si>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</si>
  <si>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</si>
  <si>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</si>
  <si>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</si>
  <si>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</si>
  <si>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</si>
  <si>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</si>
  <si>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</si>
  <si>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</si>
  <si>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</si>
  <si>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</si>
  <si>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</si>
  <si>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</si>
  <si>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</si>
  <si>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</si>
  <si>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</si>
  <si>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</si>
  <si>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</si>
  <si>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</si>
  <si>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</si>
  <si>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</si>
  <si>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</si>
  <si>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</si>
  <si>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</si>
  <si>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</si>
  <si>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</si>
  <si>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</si>
  <si>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</si>
  <si>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</si>
  <si>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</si>
  <si>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</si>
  <si>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</si>
  <si>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</si>
  <si>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</si>
  <si>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</si>
  <si>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</si>
  <si>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</si>
  <si>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</si>
  <si>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</si>
  <si>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</si>
  <si>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</si>
  <si>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</si>
  <si>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</si>
  <si>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</si>
  <si>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</si>
  <si>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</si>
  <si>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</si>
  <si>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</si>
  <si>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</si>
  <si>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</si>
  <si>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</si>
  <si>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</si>
  <si>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</si>
  <si>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</si>
  <si>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</si>
  <si>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</si>
  <si>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</si>
  <si>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</si>
  <si>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</si>
  <si>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</si>
  <si>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</si>
  <si>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</si>
  <si>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</si>
  <si>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</si>
  <si>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</si>
  <si>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</si>
  <si>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</si>
  <si>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</si>
  <si>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</si>
  <si>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</si>
  <si>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</si>
  <si>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</si>
  <si>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</si>
  <si>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</si>
  <si>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</si>
  <si>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</si>
  <si>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</si>
  <si>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</si>
  <si>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</si>
  <si>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</si>
  <si>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</si>
  <si>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</si>
  <si>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</si>
  <si>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</si>
  <si>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</si>
  <si>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</si>
  <si>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</si>
  <si>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</si>
  <si>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</si>
  <si>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</si>
  <si>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</si>
  <si>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</si>
  <si>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</si>
  <si>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</si>
  <si>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</si>
  <si>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</si>
  <si>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</si>
  <si>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</si>
  <si>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</si>
  <si>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</si>
  <si>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</si>
  <si>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</si>
  <si>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</si>
  <si>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</si>
  <si>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</si>
  <si>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</si>
  <si>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</si>
  <si>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</si>
  <si>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</si>
  <si>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</si>
  <si>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</si>
  <si>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</si>
  <si>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</si>
  <si>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</si>
  <si>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</si>
  <si>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</si>
  <si>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</si>
  <si>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</si>
  <si>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</si>
  <si>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</si>
  <si>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</si>
  <si>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</si>
  <si>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</si>
  <si>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</si>
  <si>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</si>
  <si>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</si>
  <si>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</si>
  <si>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</si>
  <si>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</si>
  <si>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</si>
  <si>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</si>
  <si>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</si>
  <si>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</si>
  <si>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</si>
  <si>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</si>
  <si>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</si>
  <si>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</si>
  <si>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</si>
  <si>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</si>
  <si>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</si>
  <si>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</si>
  <si>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</si>
  <si>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</si>
  <si>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</si>
  <si>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</si>
  <si>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</si>
  <si>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</si>
  <si>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</si>
  <si>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</si>
  <si>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</si>
  <si>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</si>
  <si>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</si>
  <si>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</si>
  <si>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</si>
  <si>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</si>
  <si>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</si>
  <si>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</si>
  <si>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</si>
  <si>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</si>
  <si>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</si>
  <si>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</si>
  <si>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</si>
  <si>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</si>
  <si>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</si>
  <si>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</si>
  <si>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</si>
  <si>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</si>
  <si>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</si>
  <si>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</si>
  <si>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</si>
  <si>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</si>
  <si>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</si>
  <si>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</si>
  <si>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</si>
  <si>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</si>
  <si>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</si>
  <si>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</si>
  <si>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</si>
  <si>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</si>
  <si>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</si>
  <si>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</si>
  <si>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</si>
  <si>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</si>
  <si>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</si>
  <si>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</si>
  <si>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</si>
  <si>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</si>
  <si>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</si>
  <si>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</si>
  <si>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</si>
  <si>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</si>
  <si>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</si>
  <si>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</si>
  <si>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</si>
  <si>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</si>
  <si>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</si>
  <si>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</si>
  <si>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</si>
  <si>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</si>
  <si>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</si>
  <si>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</si>
  <si>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</si>
  <si>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</si>
  <si>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</si>
  <si>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</si>
  <si>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</si>
  <si>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</si>
  <si>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</si>
  <si>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</si>
  <si>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</si>
  <si>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</si>
  <si>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</si>
  <si>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</si>
  <si>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</si>
  <si>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</si>
  <si>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</si>
  <si>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</si>
  <si>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</si>
  <si>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</si>
  <si>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</si>
  <si>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</si>
  <si>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</si>
  <si>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</si>
  <si>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</si>
  <si>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</si>
  <si>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</si>
  <si>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</si>
  <si>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</si>
  <si>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</si>
  <si>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</si>
  <si>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</si>
  <si>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</si>
  <si>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</si>
  <si>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</si>
  <si>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</si>
  <si>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</si>
  <si>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</si>
  <si>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</si>
  <si>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</si>
  <si>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</si>
  <si>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</si>
  <si>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</si>
  <si>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</si>
  <si>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</si>
  <si>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</si>
  <si>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</si>
  <si>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</si>
  <si>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</si>
  <si>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</si>
  <si>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</si>
  <si>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</si>
  <si>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</si>
  <si>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</si>
  <si>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</si>
  <si>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</si>
  <si>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</si>
  <si>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</si>
  <si>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</si>
  <si>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</si>
  <si>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</si>
  <si>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</si>
  <si>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</si>
  <si>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</si>
  <si>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</si>
  <si>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</si>
  <si>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</si>
  <si>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</si>
  <si>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</si>
  <si>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</si>
  <si>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</si>
  <si>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</si>
  <si>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</si>
  <si>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</si>
  <si>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</si>
  <si>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</si>
  <si>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</si>
  <si>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</si>
  <si>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</si>
  <si>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</si>
  <si>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</si>
  <si>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</si>
  <si>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</si>
  <si>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</si>
  <si>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</si>
  <si>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</si>
  <si>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</si>
  <si>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</si>
  <si>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</si>
  <si>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</si>
  <si>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</si>
  <si>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</si>
  <si>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</si>
  <si>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</si>
  <si>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</si>
  <si>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</si>
  <si>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</si>
  <si>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</si>
  <si>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</si>
  <si>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</si>
  <si>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</si>
  <si>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</si>
  <si>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</si>
  <si>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</si>
  <si>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</si>
  <si>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</si>
  <si>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</si>
  <si>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</si>
  <si>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</si>
  <si>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</si>
  <si>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</si>
  <si>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</si>
  <si>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</si>
  <si>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</si>
  <si>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</si>
  <si>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</si>
  <si>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</si>
  <si>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</si>
  <si>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</si>
  <si>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</si>
  <si>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</si>
  <si>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</si>
  <si>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</si>
  <si>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</si>
  <si>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</si>
  <si>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</si>
  <si>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</si>
  <si>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</si>
  <si>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</si>
  <si>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</si>
  <si>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</si>
  <si>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</si>
  <si>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</si>
  <si>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</si>
  <si>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</si>
  <si>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</si>
  <si>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</si>
  <si>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</si>
  <si>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</si>
  <si>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</si>
  <si>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</si>
  <si>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</si>
  <si>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</si>
  <si>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</si>
  <si>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</si>
  <si>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</si>
  <si>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</si>
  <si>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</si>
  <si>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</si>
  <si>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</si>
  <si>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</si>
  <si>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</si>
  <si>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</si>
  <si>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</si>
  <si>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</si>
  <si>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</si>
  <si>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</si>
  <si>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</si>
  <si>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</si>
  <si>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</si>
  <si>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</si>
  <si>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</si>
  <si>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</si>
  <si>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</si>
  <si>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</si>
  <si>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</si>
  <si>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</si>
  <si>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</si>
  <si>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</si>
  <si>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</si>
  <si>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</si>
  <si>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</si>
  <si>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</si>
  <si>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</si>
  <si>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</si>
  <si>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</si>
  <si>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</si>
  <si>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</si>
  <si>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</si>
  <si>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</si>
  <si>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</si>
  <si>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</si>
  <si>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</si>
  <si>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</si>
  <si>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</si>
  <si>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</si>
  <si>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</si>
  <si>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</si>
  <si>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</si>
  <si>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</si>
  <si>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</si>
  <si>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</si>
  <si>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</si>
  <si>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</si>
  <si>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</si>
  <si>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</si>
  <si>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</si>
  <si>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</si>
  <si>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</si>
  <si>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</si>
  <si>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</si>
  <si>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</si>
  <si>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</si>
  <si>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</si>
  <si>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</si>
  <si>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</si>
  <si>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</si>
  <si>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</si>
  <si>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</si>
  <si>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</si>
  <si>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</si>
  <si>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</si>
  <si>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</si>
  <si>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</si>
  <si>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</si>
  <si>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</si>
  <si>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</si>
  <si>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</si>
  <si>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</si>
  <si>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</si>
  <si>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</si>
  <si>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</si>
  <si>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</si>
  <si>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</si>
  <si>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</si>
  <si>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</si>
  <si>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</si>
  <si>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</si>
  <si>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</si>
  <si>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</si>
  <si>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</si>
  <si>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</si>
  <si>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</si>
  <si>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</si>
  <si>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</si>
  <si>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</si>
  <si>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</si>
  <si>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</si>
  <si>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</si>
  <si>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</si>
  <si>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</si>
  <si>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</si>
  <si>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</si>
  <si>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</si>
  <si>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</si>
  <si>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</si>
  <si>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</si>
  <si>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</si>
  <si>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</si>
  <si>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</si>
  <si>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</si>
  <si>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</si>
  <si>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</si>
  <si>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</si>
  <si>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</si>
  <si>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</si>
  <si>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</si>
  <si>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</si>
  <si>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</si>
  <si>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</si>
  <si>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</si>
  <si>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</si>
  <si>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</si>
  <si>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</si>
  <si>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</si>
  <si>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</si>
  <si>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</si>
  <si>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</si>
  <si>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</si>
  <si>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</si>
  <si>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</si>
  <si>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</si>
  <si>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</si>
  <si>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</si>
  <si>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</si>
  <si>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</si>
  <si>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</si>
  <si>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</si>
  <si>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</si>
  <si>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</si>
  <si>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</si>
  <si>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</si>
  <si>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</si>
  <si>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</si>
  <si>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</si>
  <si>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</si>
  <si>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</si>
  <si>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</si>
  <si>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</si>
  <si>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</si>
  <si>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</si>
  <si>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</si>
  <si>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</si>
  <si>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</si>
  <si>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</si>
  <si>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</si>
  <si>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</si>
  <si>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</si>
  <si>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</si>
  <si>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</si>
  <si>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</si>
  <si>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</si>
  <si>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</si>
  <si>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</si>
  <si>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</si>
  <si>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</si>
  <si>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</si>
  <si>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</si>
  <si>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</si>
  <si>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</si>
  <si>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</si>
  <si>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</si>
  <si>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</si>
  <si>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</si>
  <si>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</si>
  <si>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</si>
  <si>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</si>
  <si>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</si>
  <si>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</si>
  <si>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</si>
  <si>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</si>
  <si>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</si>
  <si>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</si>
  <si>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</si>
  <si>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</si>
  <si>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</si>
  <si>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</si>
  <si>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</si>
  <si>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</si>
  <si>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</si>
  <si>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</si>
  <si>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</si>
  <si>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</si>
  <si>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</si>
  <si>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</si>
  <si>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</si>
  <si>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</si>
  <si>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</si>
  <si>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</si>
  <si>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</si>
  <si>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</si>
  <si>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</si>
  <si>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</si>
  <si>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</si>
  <si>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</si>
  <si>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</si>
  <si>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</si>
  <si>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</si>
  <si>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</si>
  <si>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</si>
  <si>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</si>
  <si>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</si>
  <si>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</si>
  <si>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</si>
  <si>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</si>
  <si>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</si>
  <si>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</si>
  <si>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</si>
  <si>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</si>
  <si>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</si>
  <si>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</si>
  <si>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</si>
  <si>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</si>
  <si>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</si>
  <si>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</si>
  <si>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</si>
  <si>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</si>
  <si>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</si>
  <si>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</si>
  <si>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</si>
  <si>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</si>
  <si>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</si>
  <si>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</si>
  <si>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</si>
  <si>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</si>
  <si>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</si>
  <si>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</si>
  <si>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</si>
  <si>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</si>
  <si>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</si>
  <si>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</si>
  <si>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</si>
  <si>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</si>
  <si>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</si>
  <si>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</si>
  <si>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</si>
  <si>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</si>
  <si>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</si>
  <si>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</si>
  <si>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</si>
  <si>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</si>
  <si>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</si>
  <si>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</si>
  <si>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</si>
  <si>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</si>
  <si>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</si>
  <si>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</si>
  <si>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</si>
  <si>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</si>
  <si>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</si>
  <si>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</si>
  <si>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</si>
  <si>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</si>
  <si>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</si>
  <si>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</si>
  <si>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</si>
  <si>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</si>
  <si>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</si>
  <si>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</si>
  <si>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</si>
  <si>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</si>
  <si>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</si>
  <si>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</si>
  <si>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</si>
  <si>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</si>
  <si>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</si>
  <si>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</si>
  <si>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</si>
  <si>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</si>
  <si>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</si>
  <si>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</si>
  <si>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</si>
  <si>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</si>
  <si>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</si>
  <si>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</si>
  <si>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</si>
  <si>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</si>
  <si>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</si>
  <si>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</si>
  <si>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</si>
  <si>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</si>
  <si>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</si>
  <si>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</si>
  <si>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</si>
  <si>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</si>
  <si>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</si>
  <si>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</si>
  <si>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</si>
  <si>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</si>
  <si>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</si>
  <si>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</si>
  <si>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</si>
  <si>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</si>
  <si>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</si>
  <si>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</si>
  <si>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</si>
  <si>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</si>
  <si>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</si>
  <si>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</si>
  <si>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</si>
  <si>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</si>
  <si>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</si>
  <si>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</si>
  <si>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</si>
  <si>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</si>
  <si>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</si>
  <si>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</si>
  <si>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</si>
  <si>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</si>
  <si>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</si>
  <si>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</si>
  <si>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</si>
  <si>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</si>
  <si>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</si>
  <si>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</si>
  <si>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</si>
  <si>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</si>
  <si>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</si>
  <si>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</si>
  <si>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</si>
  <si>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</si>
  <si>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</si>
  <si>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</si>
  <si>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</si>
  <si>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</si>
  <si>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</si>
  <si>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</si>
  <si>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</si>
  <si>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</si>
  <si>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</si>
  <si>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</si>
  <si>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</si>
  <si>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</si>
  <si>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</si>
  <si>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</si>
  <si>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</si>
  <si>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</si>
  <si>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</si>
  <si>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</si>
  <si>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</si>
  <si>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</si>
  <si>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</si>
  <si>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</si>
  <si>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</si>
  <si>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</si>
  <si>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</si>
  <si>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</si>
  <si>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</si>
  <si>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</si>
  <si>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</si>
  <si>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</si>
  <si>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</si>
  <si>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</si>
  <si>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</si>
  <si>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</si>
  <si>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</si>
  <si>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</si>
  <si>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</si>
  <si>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</si>
  <si>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</si>
  <si>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</si>
  <si>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</si>
  <si>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</si>
  <si>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</si>
  <si>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</si>
  <si>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</si>
  <si>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</si>
  <si>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</si>
  <si>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</si>
  <si>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</si>
  <si>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</si>
  <si>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</si>
  <si>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</si>
  <si>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</si>
  <si>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</si>
  <si>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</si>
  <si>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</si>
  <si>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</si>
  <si>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</si>
  <si>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</si>
  <si>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</si>
  <si>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</si>
  <si>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</si>
  <si>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</si>
  <si>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</si>
  <si>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</si>
  <si>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</si>
  <si>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</si>
  <si>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</si>
  <si>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</si>
  <si>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</si>
  <si>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</si>
  <si>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</si>
  <si>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</si>
  <si>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</si>
  <si>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</si>
  <si>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</si>
  <si>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</si>
  <si>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</si>
  <si>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</si>
  <si>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</si>
  <si>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</si>
  <si>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</si>
  <si>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</si>
  <si>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</si>
  <si>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</si>
  <si>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</si>
  <si>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</si>
  <si>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</si>
  <si>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</si>
  <si>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</si>
  <si>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</si>
  <si>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</si>
  <si>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</si>
  <si>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</si>
  <si>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</si>
  <si>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</si>
  <si>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</si>
  <si>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</si>
  <si>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</si>
  <si>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</si>
  <si>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</si>
  <si>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</si>
  <si>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</si>
  <si>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</si>
  <si>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</si>
  <si>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</si>
  <si>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</si>
  <si>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</si>
  <si>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</si>
  <si>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</si>
  <si>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</si>
  <si>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</si>
  <si>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</si>
  <si>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</si>
  <si>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</si>
  <si>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</si>
  <si>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</si>
  <si>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</si>
  <si>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</si>
  <si>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</si>
  <si>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</si>
  <si>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</si>
  <si>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</si>
  <si>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</si>
  <si>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</si>
  <si>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</si>
  <si>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</si>
  <si>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</si>
  <si>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</si>
  <si>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</si>
  <si>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</si>
  <si>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</si>
  <si>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</si>
  <si>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</si>
  <si>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</si>
  <si>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</si>
  <si>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</si>
  <si>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</si>
  <si>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</si>
  <si>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</si>
  <si>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</si>
  <si>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</si>
  <si>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</si>
  <si>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</si>
  <si>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</si>
  <si>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</si>
  <si>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</si>
  <si>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</si>
  <si>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</si>
  <si>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</si>
  <si>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</si>
  <si>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</si>
  <si>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</si>
  <si>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</si>
  <si>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</si>
  <si>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</si>
  <si>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</si>
  <si>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</si>
  <si>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</si>
  <si>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</si>
  <si>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</si>
  <si>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</si>
  <si>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</si>
  <si>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</si>
  <si>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</si>
  <si>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</si>
  <si>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</si>
  <si>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</si>
  <si>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</si>
  <si>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</si>
  <si>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</si>
  <si>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</si>
  <si>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</si>
  <si>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</si>
  <si>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</si>
  <si>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</si>
  <si>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</si>
  <si>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</si>
  <si>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</si>
  <si>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</si>
  <si>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</si>
  <si>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</si>
  <si>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</si>
  <si>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</si>
  <si>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</si>
  <si>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</si>
  <si>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</si>
  <si>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</si>
  <si>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</si>
  <si>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</si>
  <si>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</si>
  <si>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</si>
  <si>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</si>
  <si>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</si>
  <si>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</si>
  <si>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</si>
  <si>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</si>
  <si>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</si>
  <si>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</si>
  <si>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</si>
  <si>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</si>
  <si>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</si>
  <si>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</si>
  <si>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</si>
  <si>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</si>
  <si>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</si>
  <si>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</si>
  <si>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</si>
  <si>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</si>
  <si>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</si>
  <si>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</si>
  <si>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</si>
  <si>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</si>
  <si>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</si>
  <si>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</si>
  <si>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</si>
  <si>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</si>
  <si>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</si>
  <si>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</si>
  <si>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</si>
  <si>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</si>
  <si>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</si>
  <si>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</si>
  <si>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</si>
  <si>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</si>
  <si>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</si>
  <si>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</si>
  <si>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</si>
  <si>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</si>
  <si>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</si>
  <si>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</si>
  <si>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</si>
  <si>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</si>
  <si>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</si>
  <si>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</si>
  <si>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</si>
  <si>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</si>
  <si>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</si>
  <si>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</si>
  <si>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</si>
  <si>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</si>
  <si>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</si>
  <si>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</si>
  <si>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</si>
  <si>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</si>
  <si>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</si>
  <si>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</si>
  <si>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</si>
  <si>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</si>
  <si>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</si>
  <si>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</si>
  <si>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</si>
  <si>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</si>
  <si>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</si>
  <si>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</si>
  <si>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</si>
  <si>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</si>
  <si>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</si>
  <si>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</si>
  <si>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</si>
  <si>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</si>
  <si>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</si>
  <si>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</si>
  <si>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</si>
  <si>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</si>
  <si>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</si>
  <si>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</si>
  <si>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</si>
  <si>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</si>
  <si>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</si>
  <si>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</si>
  <si>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</si>
  <si>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</si>
  <si>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</si>
  <si>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</si>
  <si>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</si>
  <si>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</si>
  <si>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</si>
  <si>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</si>
  <si>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</si>
  <si>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</si>
  <si>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</si>
  <si>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</si>
  <si>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</si>
  <si>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</si>
  <si>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</si>
  <si>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</si>
  <si>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</si>
  <si>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</si>
  <si>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</si>
  <si>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</si>
  <si>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</si>
  <si>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</si>
  <si>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</si>
  <si>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</si>
  <si>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</si>
  <si>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</si>
  <si>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</si>
  <si>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</si>
  <si>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</si>
  <si>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</si>
  <si>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</si>
  <si>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</si>
  <si>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</si>
  <si>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</si>
  <si>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</si>
  <si>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</si>
  <si>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</si>
  <si>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</si>
  <si>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</si>
  <si>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</si>
  <si>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</si>
  <si>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</si>
  <si>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</si>
  <si>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</si>
  <si>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</si>
  <si>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</si>
  <si>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</si>
  <si>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</si>
  <si>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</si>
  <si>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</si>
  <si>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</si>
  <si>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</si>
  <si>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</si>
  <si>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</si>
  <si>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</si>
  <si>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</si>
  <si>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</si>
  <si>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</si>
  <si>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</si>
  <si>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</si>
  <si>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</si>
  <si>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</si>
  <si>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</si>
  <si>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</si>
  <si>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</si>
  <si>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</si>
  <si>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</si>
  <si>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</si>
  <si>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</si>
  <si>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</si>
  <si>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</si>
  <si>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</si>
  <si>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</si>
  <si>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</si>
  <si>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</si>
  <si>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</si>
  <si>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</si>
  <si>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</si>
  <si>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</si>
  <si>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</si>
  <si>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</si>
  <si>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</si>
  <si>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</si>
  <si>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</si>
  <si>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</si>
  <si>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</si>
  <si>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</si>
  <si>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</si>
  <si>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</si>
  <si>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</si>
  <si>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</si>
  <si>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</si>
  <si>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</si>
  <si>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</si>
  <si>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</si>
  <si>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</si>
  <si>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</si>
  <si>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</si>
  <si>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</si>
  <si>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</si>
  <si>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</si>
  <si>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</si>
  <si>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</si>
  <si>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</si>
  <si>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</si>
  <si>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</si>
  <si>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</si>
  <si>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</si>
  <si>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</si>
  <si>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</si>
  <si>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</si>
  <si>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</si>
  <si>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</si>
  <si>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</si>
  <si>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</si>
  <si>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</si>
  <si>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</si>
  <si>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</si>
  <si>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</si>
  <si>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</si>
  <si>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</si>
  <si>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</si>
  <si>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</si>
  <si>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</si>
  <si>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</si>
  <si>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</si>
  <si>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</si>
  <si>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</si>
  <si>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</si>
  <si>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</si>
  <si>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</si>
  <si>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</si>
  <si>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</si>
  <si>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</si>
  <si>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</si>
  <si>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</si>
  <si>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</si>
  <si>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</si>
  <si>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</si>
  <si>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</si>
  <si>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</si>
  <si>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</si>
  <si>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</si>
  <si>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</si>
  <si>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</si>
  <si>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</si>
  <si>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</si>
  <si>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</si>
  <si>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</si>
  <si>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</si>
  <si>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</si>
  <si>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</si>
  <si>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</si>
  <si>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</si>
  <si>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</si>
  <si>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</si>
  <si>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</si>
  <si>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</si>
  <si>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</si>
  <si>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</si>
  <si>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</si>
  <si>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</si>
  <si>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</si>
  <si>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</si>
  <si>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</si>
  <si>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</si>
  <si>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</si>
  <si>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</si>
  <si>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</si>
  <si>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</si>
  <si>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</si>
  <si>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</si>
  <si>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</si>
  <si>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</si>
  <si>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</si>
  <si>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</si>
  <si>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</si>
  <si>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</si>
  <si>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</si>
  <si>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</si>
  <si>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</si>
  <si>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</si>
  <si>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</si>
  <si>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</si>
  <si>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</si>
  <si>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</si>
  <si>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</si>
  <si>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</si>
  <si>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</si>
  <si>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</si>
  <si>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</si>
  <si>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</si>
  <si>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</si>
  <si>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</si>
  <si>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</si>
  <si>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</si>
  <si>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</si>
  <si>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</si>
  <si>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</si>
  <si>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</si>
  <si>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</si>
  <si>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</si>
  <si>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</si>
  <si>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</si>
  <si>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</si>
  <si>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</si>
  <si>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</si>
  <si>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</si>
  <si>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</si>
  <si>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</si>
  <si>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</si>
  <si>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</si>
  <si>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</si>
  <si>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</si>
  <si>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</si>
  <si>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</si>
  <si>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</si>
  <si>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</si>
  <si>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</si>
  <si>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</si>
  <si>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</si>
  <si>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</si>
  <si>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</si>
  <si>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</si>
  <si>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</si>
  <si>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</si>
  <si>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</si>
  <si>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</si>
  <si>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</si>
  <si>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</si>
  <si>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</si>
  <si>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</si>
  <si>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</si>
  <si>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</si>
  <si>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</si>
  <si>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</si>
  <si>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</si>
  <si>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</si>
  <si>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</si>
  <si>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</si>
  <si>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</si>
  <si>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</si>
  <si>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</si>
  <si>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</si>
  <si>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</si>
  <si>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</si>
  <si>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</si>
  <si>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</si>
  <si>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</si>
  <si>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</si>
  <si>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</si>
  <si>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</si>
  <si>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</si>
  <si>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</si>
  <si>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</si>
  <si>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</si>
  <si>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</si>
  <si>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</si>
  <si>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</si>
  <si>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</si>
  <si>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</si>
  <si>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</si>
  <si>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</si>
  <si>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</si>
  <si>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</si>
  <si>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</si>
  <si>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</si>
  <si>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</si>
  <si>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</si>
  <si>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</si>
  <si>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</si>
  <si>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</si>
  <si>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</si>
  <si>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</si>
  <si>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</si>
  <si>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</si>
  <si>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</si>
  <si>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</si>
  <si>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</si>
  <si>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</si>
  <si>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</si>
  <si>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</si>
  <si>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</si>
  <si>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</si>
  <si>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</si>
  <si>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</si>
  <si>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</si>
  <si>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</si>
  <si>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</si>
  <si>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</si>
  <si>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</si>
  <si>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</si>
  <si>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</si>
  <si>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</si>
  <si>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</si>
  <si>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</si>
  <si>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</si>
  <si>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</si>
  <si>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</si>
  <si>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</si>
  <si>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</si>
  <si>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</si>
  <si>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</si>
  <si>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</si>
  <si>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</si>
  <si>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</si>
  <si>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</si>
  <si>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</si>
  <si>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</si>
  <si>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</si>
  <si>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</si>
  <si>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</si>
  <si>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</si>
  <si>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</si>
  <si>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</si>
  <si>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</si>
  <si>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</si>
  <si>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</si>
  <si>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</si>
  <si>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</si>
  <si>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</si>
  <si>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</si>
  <si>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</si>
  <si>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</si>
  <si>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</si>
  <si>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</si>
  <si>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</si>
  <si>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</si>
  <si>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</si>
  <si>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</si>
  <si>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</si>
  <si>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</si>
  <si>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</si>
  <si>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</si>
  <si>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</si>
  <si>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</si>
  <si>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</si>
  <si>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</si>
  <si>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</si>
  <si>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</si>
  <si>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</si>
  <si>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</si>
  <si>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</si>
  <si>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</si>
  <si>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501 HANFT ST.</t>
  </si>
  <si>
    <t>NEW ATHENS</t>
  </si>
  <si>
    <t>ST. CLAIR</t>
  </si>
  <si>
    <t>sfizer@na60.org</t>
  </si>
  <si>
    <t>SCHEFFEL BOYLE</t>
  </si>
  <si>
    <t>BRIAN A. OTTEN, CPA</t>
  </si>
  <si>
    <t>222 EAST MAIN STREET</t>
  </si>
  <si>
    <t>BELLEVILLE</t>
  </si>
  <si>
    <t>IL</t>
  </si>
  <si>
    <t>618-277-8100</t>
  </si>
  <si>
    <t>618-277-9307</t>
  </si>
  <si>
    <t>065-023476</t>
  </si>
  <si>
    <t>brian.otten@scheffelboyle.com</t>
  </si>
  <si>
    <t>We noted that the School District was not able to prepare their financial statements in accordance with U.S. generally accepted accounting principles or another comprehensive basis of accounting for the year ended June 30, 2019.</t>
  </si>
  <si>
    <t>Whether the School District had the resources to prepare their financial statements in accordance with U.S. generally accepted accounting principles or another comprehensive basis of accounting for the year ended June 30, 2019.</t>
  </si>
  <si>
    <t>The School District does not have internal control over their financial reporting.</t>
  </si>
  <si>
    <t>The School District is unable to prepare their financial statements in accordance with U.S. generally accepted accounting principles or another comprehensive basis of accounting for the year ended June 30, 2019.</t>
  </si>
  <si>
    <t>The District is able to prepare its financial reports, but lacks the resources to research, study and apply all new reporting standards necessary to complete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</si>
  <si>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</si>
  <si>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or continue to use their auditor to prepare all necessary financial disclosures.</t>
  </si>
  <si>
    <t>2018-001</t>
  </si>
  <si>
    <t>The District is not able to prepare its financial</t>
  </si>
  <si>
    <t>statements in accordance with U.S. generally</t>
  </si>
  <si>
    <t>accepted accounting principles or another</t>
  </si>
  <si>
    <t>comprehensive basis of accounting.</t>
  </si>
  <si>
    <t>Page</t>
  </si>
  <si>
    <t>Line</t>
  </si>
  <si>
    <t>The District is required to spend within its legal budgetary authority.</t>
  </si>
  <si>
    <t>The District did not amend its budget to account for additional expenses not originally budgeted.</t>
  </si>
  <si>
    <t>The District should adopt a reasonable budget and amend the budget as necessary in order to stay compliant.</t>
  </si>
  <si>
    <t>The District understands the importance of spending within its legal budgetary authority. In the future, the District will amend the budget as necessary in order to stay compliant.</t>
  </si>
  <si>
    <t>Fire Safety</t>
  </si>
  <si>
    <t>Funding Bonds</t>
  </si>
  <si>
    <t>BASSC</t>
  </si>
  <si>
    <t>Donations</t>
  </si>
  <si>
    <t>Miscellaneous</t>
  </si>
  <si>
    <t>Sale of old equipment</t>
  </si>
  <si>
    <t>Donation</t>
  </si>
  <si>
    <t>REAP Grant</t>
  </si>
  <si>
    <t>Perkins</t>
  </si>
  <si>
    <t>Educational (600)</t>
  </si>
  <si>
    <t>Educational (400)</t>
  </si>
  <si>
    <t>Vocational Ag Supplies</t>
  </si>
  <si>
    <t>Music Supplies</t>
  </si>
  <si>
    <t>Debt Service (600)</t>
  </si>
  <si>
    <t>Bond Fees and Charges</t>
  </si>
  <si>
    <t>ED-Instruction-Purchased Svc</t>
  </si>
  <si>
    <t>10-1000-300</t>
  </si>
  <si>
    <t>Computype</t>
  </si>
  <si>
    <t>O&amp;M-Operations &amp; Maintenance-Purchased Svc</t>
  </si>
  <si>
    <t>20-2540-300</t>
  </si>
  <si>
    <t>Thyssen Krupp</t>
  </si>
  <si>
    <t>Brandon Paulson</t>
  </si>
  <si>
    <t>Waste Mgmt</t>
  </si>
  <si>
    <t>Clearwave</t>
  </si>
  <si>
    <t>Integra Therapy</t>
  </si>
  <si>
    <t>10-2150-300</t>
  </si>
  <si>
    <t>ED-Support Services-Purchased Svc.</t>
  </si>
  <si>
    <t>The District had three funds with expenditures over budget.</t>
  </si>
  <si>
    <t>The Treasurer is required to be bonded for 25% of the cash held by the District throughout the year pursuant to Illinois School Code [105 ILCS 5/8-2;10-20.19;19-6].</t>
  </si>
  <si>
    <t>The Treasurer was not adequately bonded throughout the year.</t>
  </si>
  <si>
    <t>The District is not monitoring the bonding requirement for the treasurer in relation to the funds held throughout the year.</t>
  </si>
  <si>
    <t>The District was not in spending compliance by spending more than its budget for the year.</t>
  </si>
  <si>
    <t>The District was not in compliance by not having the Treasurer adequately bonded throughout the year.</t>
  </si>
  <si>
    <t>The District did not obtain adequate bonding for the Treasurer.</t>
  </si>
  <si>
    <t>The District should acquire adequate bonding for the Treasurer, as well as monitor the cash held by the district to ensure that the Treasurer is adequately bonded throughout the year.</t>
  </si>
  <si>
    <t>The District understands the importance of having adequate bonding for it's Treasurer. In the future, the District will obtain enough bonding in order to be compliant.</t>
  </si>
  <si>
    <t>Note Payable</t>
  </si>
  <si>
    <t>Contract Payable</t>
  </si>
  <si>
    <t>Scheffel Boyle</t>
  </si>
  <si>
    <t>Unresolved - See Finding 2019-001</t>
  </si>
  <si>
    <t>As of fiscal year end, it was noted that the District had expenditures in excess of its approved budget in the Education Fund by $446,859, the Debt Service Fund by $332,050, the Tort Fund by $394,598, and the Fire Prevention and Safety Fund by $610.</t>
  </si>
  <si>
    <t>New Athens CUSD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</si>
</sst>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164" fontId="74" fillId="0" borderId="0" xfId="0" applyNumberFormat="1" applyFont="1" applyAlignment="1">
      <alignment horizontal="center"/>
    </xf>
    <xf numFmtId="0" fontId="56" fillId="0" borderId="0" xfId="0" applyFont="1" applyAlignment="1">
      <alignment horizontal="center"/>
    </xf>
    <xf numFmtId="0" fontId="74" fillId="0" borderId="0" xfId="0" applyFont="1" applyAlignment="1">
      <alignment horizontal="center"/>
    </xf>
    <xf numFmtId="0" fontId="56" fillId="0" borderId="0" xfId="0" applyNumberFormat="1" applyFont="1" applyAlignment="1">
      <alignment horizontal="center"/>
    </xf>
    <xf numFmtId="0" fontId="56" fillId="0" borderId="0" xfId="0" applyFont="1" applyAlignment="1">
      <alignment horizontal="right"/>
    </xf>
    <xf numFmtId="181" fontId="56" fillId="0" borderId="0" xfId="1" applyNumberFormat="1" applyFont="1"/>
    <xf numFmtId="181" fontId="56" fillId="0" borderId="165" xfId="1" applyNumberFormat="1" applyFont="1" applyBorder="1"/>
    <xf numFmtId="181" fontId="56" fillId="0" borderId="78" xfId="1"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9" xfId="12" applyNumberFormat="1" applyFont="1" applyFill="1" applyBorder="1" applyAlignment="1" applyProtection="1">
      <alignment horizontal="left" vertical="center" indent="1"/>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1190625</xdr:colOff>
          <xdr:row>4</xdr:row>
          <xdr:rowOff>85725</xdr:rowOff>
        </xdr:from>
        <xdr:to>
          <xdr:col>1</xdr:col>
          <xdr:colOff>2105025</xdr:colOff>
          <xdr:row>8</xdr:row>
          <xdr:rowOff>123825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EB7C588E-90F9-4427-842F-0DA90E646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4" t="s">
        <v>405</v>
      </c>
      <c r="J1" s="2025"/>
      <c r="K1" s="2025"/>
      <c r="L1" s="2025"/>
      <c r="M1" s="2025"/>
      <c r="N1" s="2025"/>
      <c r="O1" s="2025"/>
      <c r="P1" s="2025"/>
      <c r="Q1" s="2025"/>
      <c r="R1" s="2025"/>
      <c r="S1" s="2025"/>
    </row>
    <row r="2" spans="1:28" ht="12" customHeight="1" x14ac:dyDescent="0.2">
      <c r="A2" s="47" t="s">
        <v>1993</v>
      </c>
      <c r="D2" s="48"/>
      <c r="I2" s="2026" t="s">
        <v>979</v>
      </c>
      <c r="J2" s="2025"/>
      <c r="K2" s="2025"/>
      <c r="L2" s="2025"/>
      <c r="M2" s="2025"/>
      <c r="N2" s="2025"/>
      <c r="O2" s="2025"/>
      <c r="P2" s="2025"/>
      <c r="Q2" s="2025"/>
      <c r="R2" s="2025"/>
      <c r="S2" s="2025"/>
    </row>
    <row r="3" spans="1:28" ht="12" customHeight="1" x14ac:dyDescent="0.2">
      <c r="A3" s="155" t="s">
        <v>1945</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2064</v>
      </c>
      <c r="C5" s="26" t="s">
        <v>910</v>
      </c>
      <c r="D5" s="84"/>
      <c r="E5" s="84"/>
      <c r="H5" s="38"/>
      <c r="I5" s="2033" t="s">
        <v>680</v>
      </c>
      <c r="J5" s="1979"/>
      <c r="K5" s="1979"/>
      <c r="L5" s="1979"/>
      <c r="M5" s="1979"/>
      <c r="N5" s="1979"/>
      <c r="O5" s="1979"/>
      <c r="P5" s="1979"/>
      <c r="Q5" s="1979"/>
      <c r="R5" s="1979"/>
      <c r="S5" s="1979"/>
    </row>
    <row r="6" spans="1:28" ht="14.1" customHeight="1" x14ac:dyDescent="0.2">
      <c r="B6" s="104"/>
      <c r="C6" s="26" t="s">
        <v>911</v>
      </c>
      <c r="D6" s="84"/>
      <c r="E6" s="84"/>
      <c r="I6" s="2032" t="s">
        <v>883</v>
      </c>
      <c r="J6" s="1979"/>
      <c r="K6" s="1979"/>
      <c r="L6" s="1979"/>
      <c r="M6" s="1979"/>
      <c r="N6" s="1979"/>
      <c r="O6" s="1979"/>
      <c r="P6" s="1979"/>
      <c r="Q6" s="1979"/>
      <c r="R6" s="1979"/>
      <c r="S6" s="1979"/>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5" t="s">
        <v>533</v>
      </c>
      <c r="U9" s="1976"/>
      <c r="V9" s="1976"/>
      <c r="W9" s="1976"/>
      <c r="X9" s="1976"/>
      <c r="Y9" s="1976"/>
      <c r="Z9" s="1976"/>
      <c r="AA9" s="1977"/>
    </row>
    <row r="10" spans="1:28" ht="13.5" customHeight="1" x14ac:dyDescent="0.2">
      <c r="A10" s="1984" t="s">
        <v>675</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955</v>
      </c>
      <c r="B11" s="1988"/>
      <c r="C11" s="1988"/>
      <c r="D11" s="1988"/>
      <c r="E11" s="1988"/>
      <c r="F11" s="1988"/>
      <c r="G11" s="1988"/>
      <c r="H11" s="1989"/>
      <c r="I11" s="27"/>
      <c r="J11" s="74"/>
      <c r="K11" s="27"/>
      <c r="O11" s="148" t="s">
        <v>2064</v>
      </c>
      <c r="P11" s="100" t="s">
        <v>201</v>
      </c>
      <c r="Q11" s="30"/>
      <c r="R11" s="28"/>
      <c r="S11" s="27"/>
      <c r="T11" s="1981"/>
      <c r="U11" s="1982"/>
      <c r="V11" s="1982"/>
      <c r="W11" s="1982"/>
      <c r="X11" s="1982"/>
      <c r="Y11" s="1982"/>
      <c r="Z11" s="1982"/>
      <c r="AA11" s="198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5">
        <v>50082060026</v>
      </c>
      <c r="B13" s="1996"/>
      <c r="C13" s="1996"/>
      <c r="D13" s="1996"/>
      <c r="E13" s="1996"/>
      <c r="F13" s="1996"/>
      <c r="G13" s="1996"/>
      <c r="H13" s="1997"/>
      <c r="I13" s="31"/>
      <c r="J13" s="30"/>
      <c r="K13" s="28"/>
      <c r="L13" s="30"/>
      <c r="M13" s="30"/>
      <c r="N13" s="30"/>
      <c r="O13" s="30"/>
      <c r="P13" s="30"/>
      <c r="Q13" s="30"/>
      <c r="R13" s="30"/>
      <c r="S13" s="30"/>
      <c r="T13" s="2001" t="s">
        <v>2069</v>
      </c>
      <c r="U13" s="2002"/>
      <c r="V13" s="2002"/>
      <c r="W13" s="2002"/>
      <c r="X13" s="2002"/>
      <c r="Y13" s="2003"/>
      <c r="Z13" s="2003"/>
      <c r="AA13" s="200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0" t="s">
        <v>2067</v>
      </c>
      <c r="B15" s="1998"/>
      <c r="C15" s="1998"/>
      <c r="D15" s="1998"/>
      <c r="E15" s="1998"/>
      <c r="F15" s="1998"/>
      <c r="G15" s="1998"/>
      <c r="H15" s="1999"/>
      <c r="T15" s="1961" t="s">
        <v>2070</v>
      </c>
      <c r="U15" s="1962"/>
      <c r="V15" s="1962"/>
      <c r="W15" s="1962"/>
      <c r="X15" s="1962"/>
      <c r="Y15" s="2005"/>
      <c r="Z15" s="2005"/>
      <c r="AA15" s="200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0" t="s">
        <v>2137</v>
      </c>
      <c r="B17" s="1998"/>
      <c r="C17" s="1998"/>
      <c r="D17" s="1998"/>
      <c r="E17" s="1998"/>
      <c r="F17" s="1998"/>
      <c r="G17" s="1998"/>
      <c r="H17" s="1999"/>
      <c r="T17" s="2011" t="s">
        <v>2071</v>
      </c>
      <c r="U17" s="2012"/>
      <c r="V17" s="2012"/>
      <c r="W17" s="2012"/>
      <c r="X17" s="2012"/>
      <c r="Y17" s="2012"/>
      <c r="Z17" s="2012"/>
      <c r="AA17" s="2013"/>
    </row>
    <row r="18" spans="1:27" ht="13.5" customHeight="1" x14ac:dyDescent="0.2">
      <c r="A18" s="85" t="s">
        <v>530</v>
      </c>
      <c r="B18" s="76"/>
      <c r="C18" s="72"/>
      <c r="D18" s="76"/>
      <c r="E18" s="76"/>
      <c r="F18" s="76"/>
      <c r="G18" s="76"/>
      <c r="H18" s="56"/>
      <c r="I18" s="2021" t="s">
        <v>676</v>
      </c>
      <c r="J18" s="2022"/>
      <c r="K18" s="2022"/>
      <c r="L18" s="2022"/>
      <c r="M18" s="2022"/>
      <c r="N18" s="2022"/>
      <c r="O18" s="2022"/>
      <c r="P18" s="2022"/>
      <c r="Q18" s="2022"/>
      <c r="R18" s="2022"/>
      <c r="S18" s="2023"/>
      <c r="T18" s="85" t="s">
        <v>711</v>
      </c>
      <c r="U18" s="51"/>
      <c r="V18" s="72"/>
      <c r="W18" s="50"/>
      <c r="X18" s="85" t="s">
        <v>266</v>
      </c>
      <c r="Y18" s="81"/>
      <c r="Z18" s="159" t="s">
        <v>677</v>
      </c>
      <c r="AA18" s="46"/>
    </row>
    <row r="19" spans="1:27" ht="13.5" customHeight="1" x14ac:dyDescent="0.2">
      <c r="A19" s="1953" t="s">
        <v>2065</v>
      </c>
      <c r="B19" s="1993"/>
      <c r="C19" s="1993"/>
      <c r="D19" s="1993"/>
      <c r="E19" s="1993"/>
      <c r="F19" s="1993"/>
      <c r="G19" s="1993"/>
      <c r="H19" s="1994"/>
      <c r="I19" s="30"/>
      <c r="J19" s="99"/>
      <c r="K19" s="40"/>
      <c r="L19" s="38"/>
      <c r="M19" s="112" t="s">
        <v>315</v>
      </c>
      <c r="P19" s="27"/>
      <c r="Q19" s="27"/>
      <c r="R19" s="27"/>
      <c r="S19" s="31"/>
      <c r="T19" s="1990" t="s">
        <v>2072</v>
      </c>
      <c r="U19" s="2000"/>
      <c r="V19" s="2000"/>
      <c r="W19" s="1992"/>
      <c r="X19" s="2009" t="s">
        <v>2073</v>
      </c>
      <c r="Y19" s="2010"/>
      <c r="Z19" s="2007">
        <v>62220</v>
      </c>
      <c r="AA19" s="200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0" t="s">
        <v>2066</v>
      </c>
      <c r="B21" s="1991"/>
      <c r="C21" s="1991"/>
      <c r="D21" s="1991"/>
      <c r="E21" s="1991"/>
      <c r="F21" s="1991"/>
      <c r="G21" s="1991"/>
      <c r="H21" s="1992"/>
      <c r="I21" s="2017" t="s">
        <v>678</v>
      </c>
      <c r="J21" s="1979"/>
      <c r="K21" s="1979"/>
      <c r="L21" s="1979"/>
      <c r="M21" s="1979"/>
      <c r="N21" s="1979"/>
      <c r="O21" s="1979"/>
      <c r="P21" s="1979"/>
      <c r="Q21" s="1979"/>
      <c r="R21" s="1979"/>
      <c r="S21" s="1980"/>
      <c r="T21" s="1958" t="s">
        <v>2074</v>
      </c>
      <c r="U21" s="1959"/>
      <c r="V21" s="1959"/>
      <c r="W21" s="1959"/>
      <c r="X21" s="1972" t="s">
        <v>2075</v>
      </c>
      <c r="Y21" s="1973"/>
      <c r="Z21" s="1973"/>
      <c r="AA21" s="1974"/>
    </row>
    <row r="22" spans="1:27" ht="13.5" customHeight="1" x14ac:dyDescent="0.2">
      <c r="A22" s="87" t="s">
        <v>531</v>
      </c>
      <c r="B22" s="59"/>
      <c r="C22" s="59"/>
      <c r="D22" s="59"/>
      <c r="E22" s="59"/>
      <c r="F22" s="59"/>
      <c r="G22" s="59"/>
      <c r="H22" s="60"/>
      <c r="I22" s="2018" t="s">
        <v>1429</v>
      </c>
      <c r="J22" s="2019"/>
      <c r="K22" s="2019"/>
      <c r="L22" s="2019"/>
      <c r="M22" s="2019"/>
      <c r="N22" s="2019"/>
      <c r="O22" s="2019"/>
      <c r="P22" s="2019"/>
      <c r="Q22" s="2019"/>
      <c r="R22" s="2019"/>
      <c r="S22" s="2020"/>
      <c r="T22" s="85" t="s">
        <v>1516</v>
      </c>
      <c r="U22" s="51"/>
      <c r="V22" s="72"/>
      <c r="W22" s="51"/>
      <c r="X22" s="160" t="s">
        <v>1318</v>
      </c>
      <c r="Z22" s="45"/>
      <c r="AA22" s="46"/>
    </row>
    <row r="23" spans="1:27" ht="13.5" customHeight="1" x14ac:dyDescent="0.2">
      <c r="A23" s="2014" t="s">
        <v>2068</v>
      </c>
      <c r="B23" s="2015"/>
      <c r="C23" s="2015"/>
      <c r="D23" s="2015"/>
      <c r="E23" s="2015"/>
      <c r="F23" s="2015"/>
      <c r="G23" s="2015"/>
      <c r="H23" s="2016"/>
      <c r="T23" s="1953" t="s">
        <v>2076</v>
      </c>
      <c r="U23" s="1954"/>
      <c r="V23" s="1954"/>
      <c r="W23" s="1954"/>
      <c r="X23" s="1969">
        <v>44469</v>
      </c>
      <c r="Y23" s="1970"/>
      <c r="Z23" s="1970"/>
      <c r="AA23" s="1971"/>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2045">
        <v>62264</v>
      </c>
      <c r="B25" s="2000"/>
      <c r="C25" s="2000"/>
      <c r="D25" s="2000"/>
      <c r="E25" s="2000"/>
      <c r="F25" s="2000"/>
      <c r="G25" s="2000"/>
      <c r="H25" s="1992"/>
      <c r="I25" s="113"/>
      <c r="J25" s="2057"/>
      <c r="K25" s="2057"/>
      <c r="L25" s="2057"/>
      <c r="M25" s="2057"/>
      <c r="N25" s="2057"/>
      <c r="O25" s="2057"/>
      <c r="P25" s="2057"/>
      <c r="Q25" s="2057"/>
      <c r="R25" s="2057"/>
      <c r="S25" s="2058"/>
      <c r="T25" s="1950" t="s">
        <v>2077</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2"/>
      <c r="K27" s="2022"/>
      <c r="L27" s="2022"/>
      <c r="M27" s="2022"/>
      <c r="N27" s="2022"/>
      <c r="O27" s="2022"/>
      <c r="P27" s="2022"/>
      <c r="Q27" s="2022"/>
      <c r="R27" s="2022"/>
      <c r="S27" s="202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1"/>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3"/>
      <c r="B38" s="1993"/>
      <c r="C38" s="1993"/>
      <c r="D38" s="1993"/>
      <c r="E38" s="1993"/>
      <c r="F38" s="2000"/>
      <c r="G38" s="2000"/>
      <c r="H38" s="1992"/>
      <c r="I38" s="2041"/>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c r="B40" s="2050"/>
      <c r="C40" s="2051"/>
      <c r="D40" s="2051"/>
      <c r="E40" s="2051"/>
      <c r="F40" s="2052"/>
      <c r="G40" s="2052"/>
      <c r="H40" s="2053"/>
      <c r="I40" s="1965"/>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c r="B42" s="2039"/>
      <c r="C42" s="2040"/>
      <c r="D42" s="2054"/>
      <c r="E42" s="2039"/>
      <c r="F42" s="2039"/>
      <c r="G42" s="2039"/>
      <c r="H42" s="2040"/>
      <c r="I42" s="1960"/>
      <c r="J42" s="1956"/>
      <c r="K42" s="1956"/>
      <c r="L42" s="1956"/>
      <c r="M42" s="1956"/>
      <c r="N42" s="1956"/>
      <c r="O42" s="1957"/>
      <c r="P42" s="1955"/>
      <c r="Q42" s="1956"/>
      <c r="R42" s="1956"/>
      <c r="S42" s="1957"/>
      <c r="T42" s="1960"/>
      <c r="U42" s="1956"/>
      <c r="V42" s="1956"/>
      <c r="W42" s="1957"/>
      <c r="X42" s="1955"/>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2" sqref="D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1802</v>
      </c>
      <c r="B2" s="1528" t="s">
        <v>1951</v>
      </c>
      <c r="C2" s="714" t="s">
        <v>1952</v>
      </c>
      <c r="D2" s="714" t="s">
        <v>1953</v>
      </c>
      <c r="E2" s="714" t="s">
        <v>1954</v>
      </c>
      <c r="F2" s="714" t="s">
        <v>1955</v>
      </c>
    </row>
    <row r="3" spans="1:6" ht="12" customHeight="1" x14ac:dyDescent="0.2">
      <c r="A3" s="2193"/>
      <c r="B3" s="1525"/>
      <c r="C3" s="1526"/>
      <c r="D3" s="1527" t="s">
        <v>256</v>
      </c>
      <c r="E3" s="1526"/>
      <c r="F3" s="1527" t="s">
        <v>257</v>
      </c>
    </row>
    <row r="4" spans="1:6" ht="13.7" customHeight="1" x14ac:dyDescent="0.2">
      <c r="A4" s="715" t="s">
        <v>1155</v>
      </c>
      <c r="B4" s="1749">
        <f>'Revenues 9-14'!C5</f>
        <v>1445910</v>
      </c>
      <c r="C4" s="1524"/>
      <c r="D4" s="1752">
        <f>B4-C4</f>
        <v>1445910</v>
      </c>
      <c r="E4" s="1524">
        <f>1428516+75043</f>
        <v>1503559</v>
      </c>
      <c r="F4" s="1752">
        <f>E4-C4</f>
        <v>1503559</v>
      </c>
    </row>
    <row r="5" spans="1:6" ht="13.7" customHeight="1" x14ac:dyDescent="0.2">
      <c r="A5" s="715" t="s">
        <v>870</v>
      </c>
      <c r="B5" s="1750">
        <f>'Revenues 9-14'!D5</f>
        <v>314325</v>
      </c>
      <c r="C5" s="585"/>
      <c r="D5" s="1753">
        <f t="shared" ref="D5:D18" si="0">B5-C5</f>
        <v>314325</v>
      </c>
      <c r="E5" s="585">
        <f>310547+16313</f>
        <v>326860</v>
      </c>
      <c r="F5" s="1753">
        <f>E5-C5</f>
        <v>326860</v>
      </c>
    </row>
    <row r="6" spans="1:6" ht="13.7" customHeight="1" x14ac:dyDescent="0.2">
      <c r="A6" s="715" t="s">
        <v>411</v>
      </c>
      <c r="B6" s="1750">
        <f>'Revenues 9-14'!E5</f>
        <v>589313</v>
      </c>
      <c r="C6" s="585"/>
      <c r="D6" s="1753">
        <f t="shared" si="0"/>
        <v>589313</v>
      </c>
      <c r="E6" s="585">
        <f>560786+29391</f>
        <v>590177</v>
      </c>
      <c r="F6" s="1753">
        <f t="shared" ref="F6:F18" si="1">E6-C6</f>
        <v>590177</v>
      </c>
    </row>
    <row r="7" spans="1:6" ht="13.7" customHeight="1" x14ac:dyDescent="0.2">
      <c r="A7" s="715" t="s">
        <v>155</v>
      </c>
      <c r="B7" s="1750">
        <f>'Revenues 9-14'!F5</f>
        <v>125730</v>
      </c>
      <c r="C7" s="585"/>
      <c r="D7" s="1753">
        <f t="shared" si="0"/>
        <v>125730</v>
      </c>
      <c r="E7" s="585">
        <f>124219+6525</f>
        <v>130744</v>
      </c>
      <c r="F7" s="1753">
        <f t="shared" si="1"/>
        <v>130744</v>
      </c>
    </row>
    <row r="8" spans="1:6" ht="13.7" customHeight="1" x14ac:dyDescent="0.2">
      <c r="A8" s="715" t="s">
        <v>1179</v>
      </c>
      <c r="B8" s="1750">
        <f>'Revenues 9-14'!G5</f>
        <v>80074</v>
      </c>
      <c r="C8" s="585"/>
      <c r="D8" s="1753">
        <f t="shared" si="0"/>
        <v>80074</v>
      </c>
      <c r="E8" s="585">
        <f>76208+3993</f>
        <v>80201</v>
      </c>
      <c r="F8" s="1753">
        <f t="shared" si="1"/>
        <v>80201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31432</v>
      </c>
      <c r="C10" s="585"/>
      <c r="D10" s="1753">
        <f t="shared" si="0"/>
        <v>31432</v>
      </c>
      <c r="E10" s="585">
        <f>31055+1631</f>
        <v>32686</v>
      </c>
      <c r="F10" s="1753">
        <f t="shared" si="1"/>
        <v>32686</v>
      </c>
    </row>
    <row r="11" spans="1:6" x14ac:dyDescent="0.2">
      <c r="A11" s="715" t="s">
        <v>409</v>
      </c>
      <c r="B11" s="1750">
        <f>'Revenues 9-14'!J5</f>
        <v>650594</v>
      </c>
      <c r="C11" s="585"/>
      <c r="D11" s="1753">
        <f t="shared" si="0"/>
        <v>650594</v>
      </c>
      <c r="E11" s="585">
        <f>618982+32442</f>
        <v>651424</v>
      </c>
      <c r="F11" s="1753">
        <f t="shared" si="1"/>
        <v>651424</v>
      </c>
    </row>
    <row r="12" spans="1:6" ht="13.7" customHeight="1" x14ac:dyDescent="0.2">
      <c r="A12" s="715" t="s">
        <v>157</v>
      </c>
      <c r="B12" s="1750">
        <f>'Revenues 9-14'!K5</f>
        <v>31432</v>
      </c>
      <c r="C12" s="585"/>
      <c r="D12" s="1753">
        <f t="shared" si="0"/>
        <v>31432</v>
      </c>
      <c r="E12" s="585">
        <v>32686</v>
      </c>
      <c r="F12" s="1753">
        <f t="shared" si="1"/>
        <v>32686</v>
      </c>
    </row>
    <row r="13" spans="1:6" ht="13.7" customHeight="1" x14ac:dyDescent="0.2">
      <c r="A13" s="715" t="s">
        <v>936</v>
      </c>
      <c r="B13" s="1750">
        <f>SUM('Revenues 9-14'!C6:D6)</f>
        <v>31432</v>
      </c>
      <c r="C13" s="585"/>
      <c r="D13" s="1753">
        <f t="shared" si="0"/>
        <v>31432</v>
      </c>
      <c r="E13" s="585">
        <v>32686</v>
      </c>
      <c r="F13" s="1753">
        <f t="shared" si="1"/>
        <v>32686</v>
      </c>
    </row>
    <row r="14" spans="1:6" ht="13.7" customHeight="1" x14ac:dyDescent="0.2">
      <c r="A14" s="715" t="s">
        <v>410</v>
      </c>
      <c r="B14" s="1750">
        <f>SUM('Revenues 9-14'!C7:D7,'Revenues 9-14'!F7:H7)</f>
        <v>25146</v>
      </c>
      <c r="C14" s="585"/>
      <c r="D14" s="1753">
        <f t="shared" si="0"/>
        <v>25146</v>
      </c>
      <c r="E14" s="585">
        <f>24844+1305</f>
        <v>26149</v>
      </c>
      <c r="F14" s="1753">
        <f t="shared" si="1"/>
        <v>26149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50091</v>
      </c>
      <c r="C16" s="585"/>
      <c r="D16" s="1753">
        <f t="shared" si="0"/>
        <v>50091</v>
      </c>
      <c r="E16" s="585">
        <f>47638+2496</f>
        <v>50134</v>
      </c>
      <c r="F16" s="1753">
        <f t="shared" si="1"/>
        <v>50134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3375479</v>
      </c>
      <c r="C19" s="1751">
        <f>SUM(C4:C18)</f>
        <v>0</v>
      </c>
      <c r="D19" s="1751">
        <f>SUM(D4:D18)</f>
        <v>3375479</v>
      </c>
      <c r="E19" s="1751">
        <f>SUM(E4:E18)</f>
        <v>3457306</v>
      </c>
      <c r="F19" s="1751">
        <f>SUM(F4:F18)</f>
        <v>3457306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B36" sqref="B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1802</v>
      </c>
      <c r="B2" s="2208"/>
      <c r="C2" s="1884" t="s">
        <v>1956</v>
      </c>
      <c r="D2" s="723" t="s">
        <v>1957</v>
      </c>
      <c r="E2" s="723" t="s">
        <v>1958</v>
      </c>
      <c r="F2" s="1884" t="s">
        <v>1959</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55">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55">
        <f>SUM(C17+D17)-E17</f>
        <v>0</v>
      </c>
    </row>
    <row r="18" spans="1:11" ht="12.75" customHeight="1" thickTop="1" thickBot="1" x14ac:dyDescent="0.25">
      <c r="A18" s="2219" t="s">
        <v>6</v>
      </c>
      <c r="B18" s="2220"/>
      <c r="C18" s="726"/>
      <c r="D18" s="585"/>
      <c r="E18" s="726"/>
      <c r="F18" s="1755">
        <f>SUM(C18+D18)-E18</f>
        <v>0</v>
      </c>
    </row>
    <row r="19" spans="1:11" ht="12.75" customHeight="1" thickTop="1" thickBot="1" x14ac:dyDescent="0.25">
      <c r="A19" s="2219" t="s">
        <v>388</v>
      </c>
      <c r="B19" s="2220"/>
      <c r="C19" s="726"/>
      <c r="D19" s="585"/>
      <c r="E19" s="726"/>
      <c r="F19" s="1755">
        <f>SUM(C19+D19)-E19</f>
        <v>0</v>
      </c>
    </row>
    <row r="20" spans="1:11" ht="12.75" customHeight="1" thickTop="1" thickBot="1" x14ac:dyDescent="0.25">
      <c r="A20" s="2219" t="s">
        <v>448</v>
      </c>
      <c r="B20" s="2220"/>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55">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55">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407</v>
      </c>
      <c r="B31" s="733">
        <v>40026</v>
      </c>
      <c r="C31" s="734">
        <v>550000</v>
      </c>
      <c r="D31" s="735">
        <v>1</v>
      </c>
      <c r="E31" s="734">
        <v>40000</v>
      </c>
      <c r="F31" s="734"/>
      <c r="G31" s="734"/>
      <c r="H31" s="734">
        <v>40000</v>
      </c>
      <c r="I31" s="1756">
        <f>((E31+F31)-H31)+G31</f>
        <v>0</v>
      </c>
      <c r="J31" s="734"/>
      <c r="K31" s="736"/>
    </row>
    <row r="32" spans="1:11" ht="12" customHeight="1" x14ac:dyDescent="0.2">
      <c r="A32" s="732" t="s">
        <v>2096</v>
      </c>
      <c r="B32" s="733">
        <v>40026</v>
      </c>
      <c r="C32" s="734">
        <v>1290000</v>
      </c>
      <c r="D32" s="735">
        <v>4</v>
      </c>
      <c r="E32" s="734">
        <v>660000</v>
      </c>
      <c r="F32" s="734"/>
      <c r="G32" s="734"/>
      <c r="H32" s="734">
        <v>130000</v>
      </c>
      <c r="I32" s="1756">
        <f>((E32+F32)-H32)+G32</f>
        <v>530000</v>
      </c>
      <c r="J32" s="734">
        <v>64309</v>
      </c>
      <c r="K32" s="736"/>
    </row>
    <row r="33" spans="1:11" ht="12" customHeight="1" x14ac:dyDescent="0.2">
      <c r="A33" s="732" t="s">
        <v>2097</v>
      </c>
      <c r="B33" s="733">
        <v>42067</v>
      </c>
      <c r="C33" s="734">
        <v>764000</v>
      </c>
      <c r="D33" s="735">
        <v>2</v>
      </c>
      <c r="E33" s="734">
        <v>221000</v>
      </c>
      <c r="F33" s="734"/>
      <c r="G33" s="734"/>
      <c r="H33" s="734">
        <v>221000</v>
      </c>
      <c r="I33" s="1756">
        <f t="shared" ref="I33:I48" si="1">((E33+F33)-H33)+G33</f>
        <v>0</v>
      </c>
      <c r="J33" s="734"/>
      <c r="K33" s="736"/>
    </row>
    <row r="34" spans="1:11" ht="12" customHeight="1" x14ac:dyDescent="0.2">
      <c r="A34" s="732" t="s">
        <v>407</v>
      </c>
      <c r="B34" s="733">
        <v>43152</v>
      </c>
      <c r="C34" s="734">
        <v>906000</v>
      </c>
      <c r="D34" s="735">
        <v>1</v>
      </c>
      <c r="E34" s="734">
        <v>906000</v>
      </c>
      <c r="F34" s="734"/>
      <c r="G34" s="734"/>
      <c r="H34" s="734">
        <v>298000</v>
      </c>
      <c r="I34" s="1756">
        <f t="shared" si="1"/>
        <v>608000</v>
      </c>
      <c r="J34" s="734">
        <v>608000</v>
      </c>
      <c r="K34" s="737"/>
    </row>
    <row r="35" spans="1:11" ht="12" customHeight="1" x14ac:dyDescent="0.2">
      <c r="A35" s="732" t="s">
        <v>2132</v>
      </c>
      <c r="B35" s="733">
        <v>42908</v>
      </c>
      <c r="C35" s="738">
        <v>58924</v>
      </c>
      <c r="D35" s="735">
        <v>7</v>
      </c>
      <c r="E35" s="738">
        <v>46635</v>
      </c>
      <c r="F35" s="738"/>
      <c r="G35" s="738"/>
      <c r="H35" s="738"/>
      <c r="I35" s="1756">
        <f t="shared" si="1"/>
        <v>46635</v>
      </c>
      <c r="J35" s="738">
        <v>46635</v>
      </c>
      <c r="K35" s="737"/>
    </row>
    <row r="36" spans="1:11" ht="12" customHeight="1" x14ac:dyDescent="0.2">
      <c r="A36" s="732" t="s">
        <v>648</v>
      </c>
      <c r="B36" s="733">
        <v>42858</v>
      </c>
      <c r="C36" s="734">
        <v>436640</v>
      </c>
      <c r="D36" s="735">
        <v>8</v>
      </c>
      <c r="E36" s="734">
        <v>292995</v>
      </c>
      <c r="F36" s="734"/>
      <c r="G36" s="734"/>
      <c r="H36" s="734"/>
      <c r="I36" s="1756">
        <f t="shared" si="1"/>
        <v>292995</v>
      </c>
      <c r="J36" s="734">
        <v>292995</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4005564</v>
      </c>
      <c r="D49" s="745"/>
      <c r="E49" s="1756">
        <f t="shared" ref="E49:J49" si="2">SUM(E31:E48)</f>
        <v>2166630</v>
      </c>
      <c r="F49" s="1756">
        <f t="shared" si="2"/>
        <v>0</v>
      </c>
      <c r="G49" s="1756">
        <f t="shared" si="2"/>
        <v>0</v>
      </c>
      <c r="H49" s="1756">
        <f t="shared" si="2"/>
        <v>689000</v>
      </c>
      <c r="I49" s="1756">
        <f t="shared" si="2"/>
        <v>1477630</v>
      </c>
      <c r="J49" s="1756">
        <f t="shared" si="2"/>
        <v>1011939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t="s">
        <v>2132</v>
      </c>
      <c r="G52" s="2216"/>
      <c r="H52" s="736"/>
      <c r="I52" s="736"/>
      <c r="J52" s="746"/>
    </row>
    <row r="53" spans="1:11" ht="11.25" customHeight="1" x14ac:dyDescent="0.2">
      <c r="A53" s="750" t="s">
        <v>913</v>
      </c>
      <c r="B53" s="751" t="s">
        <v>951</v>
      </c>
      <c r="C53" s="746"/>
      <c r="D53" s="737"/>
      <c r="E53" s="749" t="s">
        <v>497</v>
      </c>
      <c r="F53" s="2217" t="s">
        <v>2133</v>
      </c>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5" sqref="J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30"/>
      <c r="I1" s="760"/>
      <c r="J1" s="433"/>
    </row>
    <row r="2" spans="1:11" ht="26.25" x14ac:dyDescent="0.2">
      <c r="A2" s="2226" t="s">
        <v>1677</v>
      </c>
      <c r="B2" s="2227"/>
      <c r="C2" s="2227"/>
      <c r="D2" s="2227"/>
      <c r="E2" s="2228"/>
      <c r="F2" s="761" t="s">
        <v>904</v>
      </c>
      <c r="G2" s="762" t="s">
        <v>1674</v>
      </c>
      <c r="H2" s="762" t="s">
        <v>410</v>
      </c>
      <c r="I2" s="762" t="s">
        <v>1158</v>
      </c>
      <c r="J2" s="762" t="s">
        <v>1812</v>
      </c>
      <c r="K2" s="762" t="s">
        <v>138</v>
      </c>
    </row>
    <row r="3" spans="1:11" x14ac:dyDescent="0.2">
      <c r="A3" s="2229" t="s">
        <v>1964</v>
      </c>
      <c r="B3" s="2230"/>
      <c r="C3" s="2230"/>
      <c r="D3" s="2230"/>
      <c r="E3" s="2231"/>
      <c r="F3" s="763"/>
      <c r="G3" s="764"/>
      <c r="H3" s="764"/>
      <c r="I3" s="764"/>
      <c r="J3" s="765"/>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v>25146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8680</v>
      </c>
      <c r="K8" s="769"/>
    </row>
    <row r="9" spans="1:11" x14ac:dyDescent="0.2">
      <c r="A9" s="778" t="s">
        <v>138</v>
      </c>
      <c r="B9" s="779"/>
      <c r="C9" s="779"/>
      <c r="D9" s="779"/>
      <c r="E9" s="780"/>
      <c r="F9" s="777" t="s">
        <v>853</v>
      </c>
      <c r="G9" s="782"/>
      <c r="H9" s="771"/>
      <c r="I9" s="771"/>
      <c r="J9" s="781"/>
      <c r="K9" s="765"/>
    </row>
    <row r="10" spans="1:11" x14ac:dyDescent="0.2">
      <c r="A10" s="2250" t="s">
        <v>1813</v>
      </c>
      <c r="B10" s="2223"/>
      <c r="C10" s="2223"/>
      <c r="D10" s="2223"/>
      <c r="E10" s="2252"/>
      <c r="F10" s="783" t="s">
        <v>862</v>
      </c>
      <c r="G10" s="782"/>
      <c r="H10" s="784"/>
      <c r="I10" s="764"/>
      <c r="J10" s="765"/>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7"/>
      <c r="G12" s="1758">
        <f>SUM(G5:G11)</f>
        <v>0</v>
      </c>
      <c r="H12" s="1758">
        <f>SUM(H5:H11)</f>
        <v>25146</v>
      </c>
      <c r="I12" s="1758">
        <f>SUM(I5:I11)</f>
        <v>0</v>
      </c>
      <c r="J12" s="1758">
        <f>SUM(J5:J11)</f>
        <v>8680</v>
      </c>
      <c r="K12" s="1758">
        <f>SUM(K5:K11)</f>
        <v>0</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v>25146</v>
      </c>
      <c r="I14" s="771"/>
      <c r="J14" s="773"/>
      <c r="K14" s="765"/>
    </row>
    <row r="15" spans="1:11" x14ac:dyDescent="0.2">
      <c r="A15" s="2223" t="s">
        <v>4</v>
      </c>
      <c r="B15" s="2223"/>
      <c r="C15" s="2223"/>
      <c r="D15" s="2223"/>
      <c r="E15" s="2251"/>
      <c r="F15" s="789" t="s">
        <v>855</v>
      </c>
      <c r="G15" s="771"/>
      <c r="H15" s="764"/>
      <c r="I15" s="764"/>
      <c r="J15" s="765"/>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v>8680</v>
      </c>
      <c r="K18" s="795"/>
    </row>
    <row r="19" spans="1:11" ht="21.75" customHeight="1" x14ac:dyDescent="0.2">
      <c r="A19" s="2258" t="s">
        <v>1809</v>
      </c>
      <c r="B19" s="2258"/>
      <c r="C19" s="2258"/>
      <c r="D19" s="2258"/>
      <c r="E19" s="2259"/>
      <c r="F19" s="789" t="s">
        <v>933</v>
      </c>
      <c r="G19" s="782"/>
      <c r="H19" s="782"/>
      <c r="I19" s="782"/>
      <c r="J19" s="765"/>
      <c r="K19" s="795"/>
    </row>
    <row r="20" spans="1:11" x14ac:dyDescent="0.2">
      <c r="A20" s="2237" t="s">
        <v>1814</v>
      </c>
      <c r="B20" s="2238"/>
      <c r="C20" s="2238"/>
      <c r="D20" s="2238"/>
      <c r="E20" s="2239"/>
      <c r="F20" s="789" t="s">
        <v>934</v>
      </c>
      <c r="G20" s="782"/>
      <c r="H20" s="782"/>
      <c r="I20" s="782"/>
      <c r="J20" s="765"/>
      <c r="K20" s="795"/>
    </row>
    <row r="21" spans="1:11" ht="13.5" thickBot="1" x14ac:dyDescent="0.25">
      <c r="A21" s="2243" t="s">
        <v>638</v>
      </c>
      <c r="B21" s="2243"/>
      <c r="C21" s="2243"/>
      <c r="D21" s="2243"/>
      <c r="E21" s="2243"/>
      <c r="F21" s="1759"/>
      <c r="G21" s="792"/>
      <c r="H21" s="796"/>
      <c r="I21" s="796"/>
      <c r="J21" s="1760">
        <f>SUM(J18:J20)</f>
        <v>8680</v>
      </c>
      <c r="K21" s="793"/>
    </row>
    <row r="22" spans="1:11" ht="13.5" thickTop="1" x14ac:dyDescent="0.2">
      <c r="A22" s="2223" t="s">
        <v>1815</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61"/>
      <c r="G23" s="1758">
        <f>SUM(G14:G16,G21,G22)</f>
        <v>0</v>
      </c>
      <c r="H23" s="1758">
        <f>SUM(H14:H16,H21,H22)</f>
        <v>25146</v>
      </c>
      <c r="I23" s="1758">
        <f>SUM(I14:I16,I21,I22)</f>
        <v>0</v>
      </c>
      <c r="J23" s="1758">
        <f>SUM(J14:J16,J21,J22)</f>
        <v>8680</v>
      </c>
      <c r="K23" s="1758">
        <f>SUM(K14:K16,K21,K22)</f>
        <v>0</v>
      </c>
    </row>
    <row r="24" spans="1:11" ht="14.25" thickTop="1" thickBot="1" x14ac:dyDescent="0.25">
      <c r="A24" s="2244" t="s">
        <v>1965</v>
      </c>
      <c r="B24" s="2243"/>
      <c r="C24" s="2243"/>
      <c r="D24" s="2243"/>
      <c r="E24" s="224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22" sqref="D2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1909</v>
      </c>
      <c r="B1" s="2263"/>
      <c r="C1" s="2264"/>
      <c r="D1" s="826"/>
      <c r="E1" s="827"/>
      <c r="F1" s="827"/>
      <c r="G1" s="828"/>
      <c r="H1" s="829"/>
      <c r="I1" s="830"/>
      <c r="J1" s="2260"/>
      <c r="K1" s="2261"/>
      <c r="L1" s="226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98609</v>
      </c>
      <c r="D5" s="841"/>
      <c r="E5" s="841"/>
      <c r="F5" s="1760">
        <f>(C5+D5)-E5</f>
        <v>98609</v>
      </c>
      <c r="G5" s="837"/>
      <c r="H5" s="842"/>
      <c r="I5" s="842"/>
      <c r="J5" s="842"/>
      <c r="K5" s="793"/>
      <c r="L5" s="1769">
        <f>F5-K5</f>
        <v>98609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7327335</v>
      </c>
      <c r="D8" s="844"/>
      <c r="E8" s="844"/>
      <c r="F8" s="1760">
        <f>(C8+D8)-E8</f>
        <v>7327335</v>
      </c>
      <c r="G8" s="843">
        <v>50</v>
      </c>
      <c r="H8" s="765">
        <v>4054548</v>
      </c>
      <c r="I8" s="765">
        <v>180485</v>
      </c>
      <c r="J8" s="765"/>
      <c r="K8" s="1769">
        <f>(H8+I8)-J8</f>
        <v>4235033</v>
      </c>
      <c r="L8" s="1769">
        <f>F8-K8</f>
        <v>3092302</v>
      </c>
    </row>
    <row r="9" spans="1:14" ht="14.25" thickTop="1" thickBot="1" x14ac:dyDescent="0.25">
      <c r="A9" s="778" t="s">
        <v>1119</v>
      </c>
      <c r="B9" s="840">
        <v>232</v>
      </c>
      <c r="C9" s="765">
        <v>15593</v>
      </c>
      <c r="D9" s="765"/>
      <c r="E9" s="765"/>
      <c r="F9" s="1760">
        <f>(C9+D9)-E9</f>
        <v>15593</v>
      </c>
      <c r="G9" s="843">
        <v>20</v>
      </c>
      <c r="H9" s="765">
        <v>12480</v>
      </c>
      <c r="I9" s="765">
        <v>780</v>
      </c>
      <c r="J9" s="765"/>
      <c r="K9" s="1769">
        <f>(H9+I9)-J9</f>
        <v>13260</v>
      </c>
      <c r="L9" s="1769">
        <f>F9-K9</f>
        <v>2333</v>
      </c>
    </row>
    <row r="10" spans="1:14" ht="24" thickTop="1" thickBot="1" x14ac:dyDescent="0.25">
      <c r="A10" s="845" t="s">
        <v>1120</v>
      </c>
      <c r="B10" s="840">
        <v>240</v>
      </c>
      <c r="C10" s="846">
        <v>54132</v>
      </c>
      <c r="D10" s="846"/>
      <c r="E10" s="846"/>
      <c r="F10" s="1764">
        <f>(C10+D10)-E10</f>
        <v>54132</v>
      </c>
      <c r="G10" s="843">
        <v>20</v>
      </c>
      <c r="H10" s="847">
        <v>51602</v>
      </c>
      <c r="I10" s="847">
        <v>422</v>
      </c>
      <c r="J10" s="847"/>
      <c r="K10" s="1769">
        <f>(H10+I10)-J10</f>
        <v>52024</v>
      </c>
      <c r="L10" s="1769">
        <f>F10-K10</f>
        <v>2108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189965</v>
      </c>
      <c r="D12" s="844"/>
      <c r="E12" s="844"/>
      <c r="F12" s="1760">
        <f>(C12+D12)-E12</f>
        <v>189965</v>
      </c>
      <c r="G12" s="843">
        <v>10</v>
      </c>
      <c r="H12" s="765">
        <v>176007</v>
      </c>
      <c r="I12" s="765">
        <v>2161</v>
      </c>
      <c r="J12" s="765"/>
      <c r="K12" s="1769">
        <f>(H12+I12)-J12</f>
        <v>178168</v>
      </c>
      <c r="L12" s="1769">
        <f>F12-K12</f>
        <v>11797</v>
      </c>
    </row>
    <row r="13" spans="1:14" ht="14.25" thickTop="1" thickBot="1" x14ac:dyDescent="0.25">
      <c r="A13" s="848" t="s">
        <v>1122</v>
      </c>
      <c r="B13" s="840">
        <v>252</v>
      </c>
      <c r="C13" s="844">
        <v>1204884</v>
      </c>
      <c r="D13" s="844">
        <v>88119</v>
      </c>
      <c r="E13" s="844">
        <v>37900</v>
      </c>
      <c r="F13" s="1760">
        <f>(C13+D13)-E13</f>
        <v>1255103</v>
      </c>
      <c r="G13" s="843">
        <v>5</v>
      </c>
      <c r="H13" s="765">
        <v>724510</v>
      </c>
      <c r="I13" s="765">
        <v>129128</v>
      </c>
      <c r="J13" s="765">
        <v>37900</v>
      </c>
      <c r="K13" s="1769">
        <f>(H13+I13)-J13</f>
        <v>815738</v>
      </c>
      <c r="L13" s="1769">
        <f>F13-K13</f>
        <v>439365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8890518</v>
      </c>
      <c r="D16" s="1760">
        <f>SUM(D3,D5:D6,D8:D10,D12:D15)</f>
        <v>88119</v>
      </c>
      <c r="E16" s="1760">
        <f>SUM(E3,E5:E6,E8:E10,E12:E15)</f>
        <v>37900</v>
      </c>
      <c r="F16" s="1760">
        <f>SUM(F3,F5:F6,F8:F10,F12:F15)</f>
        <v>8940737</v>
      </c>
      <c r="G16" s="843"/>
      <c r="H16" s="1760">
        <f>SUM(H3,H6,H8:H10,H12:H14,)</f>
        <v>5019147</v>
      </c>
      <c r="I16" s="1760">
        <f>SUM(I3,I6,I8:I10,I12:I14,)</f>
        <v>312976</v>
      </c>
      <c r="J16" s="1760">
        <f>SUM(J3,J6,J8:J10,J12:J14,)</f>
        <v>37900</v>
      </c>
      <c r="K16" s="1760">
        <f>(H16+I16)-J16</f>
        <v>5294223</v>
      </c>
      <c r="L16" s="1760">
        <f>F16-K16</f>
        <v>3646514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312976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D22" sqref="D22"/>
      <selection pane="bottomLeft" activeCell="D22" sqref="D2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1975</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3642517</v>
      </c>
      <c r="G8" s="865"/>
    </row>
    <row r="9" spans="1:7" x14ac:dyDescent="0.2">
      <c r="A9" s="869" t="s">
        <v>460</v>
      </c>
      <c r="B9" s="870" t="s">
        <v>1877</v>
      </c>
      <c r="C9" s="871"/>
      <c r="D9" s="869" t="s">
        <v>501</v>
      </c>
      <c r="E9" s="868"/>
      <c r="F9" s="1909">
        <f>'Expenditures 15-22'!K151</f>
        <v>466856</v>
      </c>
      <c r="G9" s="872"/>
    </row>
    <row r="10" spans="1:7" x14ac:dyDescent="0.2">
      <c r="A10" s="869" t="s">
        <v>499</v>
      </c>
      <c r="B10" s="870" t="s">
        <v>1878</v>
      </c>
      <c r="C10" s="871"/>
      <c r="D10" s="869" t="s">
        <v>501</v>
      </c>
      <c r="E10" s="868"/>
      <c r="F10" s="1909">
        <f>'Expenditures 15-22'!K174</f>
        <v>765284</v>
      </c>
      <c r="G10" s="872"/>
    </row>
    <row r="11" spans="1:7" x14ac:dyDescent="0.2">
      <c r="A11" s="869" t="s">
        <v>461</v>
      </c>
      <c r="B11" s="870" t="s">
        <v>1879</v>
      </c>
      <c r="C11" s="871"/>
      <c r="D11" s="869" t="s">
        <v>501</v>
      </c>
      <c r="E11" s="868"/>
      <c r="F11" s="1909">
        <f>'Expenditures 15-22'!K210</f>
        <v>202925</v>
      </c>
      <c r="G11" s="872"/>
    </row>
    <row r="12" spans="1:7" x14ac:dyDescent="0.2">
      <c r="A12" s="869" t="s">
        <v>462</v>
      </c>
      <c r="B12" s="870" t="s">
        <v>1880</v>
      </c>
      <c r="C12" s="871"/>
      <c r="D12" s="869" t="s">
        <v>501</v>
      </c>
      <c r="E12" s="868"/>
      <c r="F12" s="1909">
        <f>'Expenditures 15-22'!K295</f>
        <v>132419</v>
      </c>
      <c r="G12" s="872"/>
    </row>
    <row r="13" spans="1:7" x14ac:dyDescent="0.2">
      <c r="A13" s="869" t="s">
        <v>106</v>
      </c>
      <c r="B13" s="870" t="s">
        <v>1881</v>
      </c>
      <c r="C13" s="871"/>
      <c r="D13" s="869" t="s">
        <v>501</v>
      </c>
      <c r="E13" s="868"/>
      <c r="F13" s="1909">
        <f>'Expenditures 15-22'!K342</f>
        <v>589598</v>
      </c>
      <c r="G13" s="873"/>
    </row>
    <row r="14" spans="1:7" ht="12" customHeight="1" thickBot="1" x14ac:dyDescent="0.25">
      <c r="A14" s="1770"/>
      <c r="B14" s="1771"/>
      <c r="C14" s="1772"/>
      <c r="D14" s="1773" t="s">
        <v>501</v>
      </c>
      <c r="E14" s="1774" t="s">
        <v>958</v>
      </c>
      <c r="F14" s="1775">
        <f>SUM(F8:F13)</f>
        <v>5799599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262476</v>
      </c>
      <c r="G53" s="865"/>
    </row>
    <row r="54" spans="1:7" x14ac:dyDescent="0.2">
      <c r="A54" s="869" t="s">
        <v>459</v>
      </c>
      <c r="B54" s="869" t="s">
        <v>1476</v>
      </c>
      <c r="C54" s="889" t="s">
        <v>982</v>
      </c>
      <c r="D54" s="885" t="s">
        <v>1095</v>
      </c>
      <c r="E54" s="868"/>
      <c r="F54" s="1913">
        <f>'Expenditures 15-22'!G114</f>
        <v>51005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689000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12004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1014485</v>
      </c>
      <c r="G76" s="865"/>
    </row>
    <row r="77" spans="1:8" s="893" customFormat="1" ht="12" customHeight="1" thickTop="1" thickBot="1" x14ac:dyDescent="0.25">
      <c r="A77" s="1779"/>
      <c r="B77" s="1776"/>
      <c r="C77" s="1772"/>
      <c r="D77" s="1777" t="s">
        <v>1900</v>
      </c>
      <c r="E77" s="1774"/>
      <c r="F77" s="1780">
        <f>(F14-F76)</f>
        <v>4785114</v>
      </c>
      <c r="G77" s="869"/>
    </row>
    <row r="78" spans="1:8" s="893" customFormat="1" ht="12" customHeight="1" thickTop="1" x14ac:dyDescent="0.2">
      <c r="A78" s="1781"/>
      <c r="B78" s="1776"/>
      <c r="C78" s="1772"/>
      <c r="D78" s="1777" t="s">
        <v>2062</v>
      </c>
      <c r="E78" s="1774"/>
      <c r="F78" s="898">
        <v>467.9</v>
      </c>
      <c r="G78" s="899"/>
      <c r="H78" s="869"/>
    </row>
    <row r="79" spans="1:8" s="893" customFormat="1" ht="12" customHeight="1" thickBot="1" x14ac:dyDescent="0.25">
      <c r="A79" s="1782"/>
      <c r="B79" s="1776"/>
      <c r="C79" s="1772"/>
      <c r="D79" s="1777" t="s">
        <v>1901</v>
      </c>
      <c r="E79" s="1774" t="s">
        <v>958</v>
      </c>
      <c r="F79" s="1783">
        <f>IF(F78&gt;0,F77/F78," Complete Line 78")</f>
        <v>10226.787775165634</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66255</v>
      </c>
      <c r="G94" s="912"/>
    </row>
    <row r="95" spans="1:7" x14ac:dyDescent="0.2">
      <c r="A95" s="908" t="s">
        <v>140</v>
      </c>
      <c r="B95" s="908" t="s">
        <v>175</v>
      </c>
      <c r="C95" s="910">
        <v>1700</v>
      </c>
      <c r="D95" s="918" t="str">
        <f>'Revenues 9-14'!A82</f>
        <v>Total District/School Activity Income</v>
      </c>
      <c r="E95" s="906"/>
      <c r="F95" s="1789">
        <f>SUM('Revenues 9-14'!C82,'Revenues 9-14'!D82)</f>
        <v>51109</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13432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1854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7801</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154847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107278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117979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118537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552</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22493</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3180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12321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677638</v>
      </c>
    </row>
    <row r="175" spans="1:7" ht="12" customHeight="1" x14ac:dyDescent="0.2">
      <c r="A175" s="1770"/>
      <c r="B175" s="1784"/>
      <c r="C175" s="1785"/>
      <c r="D175" s="1786" t="s">
        <v>2057</v>
      </c>
      <c r="E175" s="1787"/>
      <c r="F175" s="1789">
        <f>'PCTC-OEPP 27-28'!F77-F174</f>
        <v>4107476</v>
      </c>
    </row>
    <row r="176" spans="1:7" ht="12" customHeight="1" x14ac:dyDescent="0.2">
      <c r="A176" s="1770"/>
      <c r="B176" s="1784"/>
      <c r="C176" s="1785"/>
      <c r="D176" s="1786" t="s">
        <v>1817</v>
      </c>
      <c r="E176" s="1787"/>
      <c r="F176" s="1789">
        <f>'Cap Outlay Deprec 26'!I18</f>
        <v>312976</v>
      </c>
    </row>
    <row r="177" spans="1:7" ht="12" customHeight="1" x14ac:dyDescent="0.2">
      <c r="A177" s="1770"/>
      <c r="B177" s="1784"/>
      <c r="C177" s="1785"/>
      <c r="D177" s="1786" t="s">
        <v>2058</v>
      </c>
      <c r="E177" s="1787"/>
      <c r="F177" s="1789">
        <f>F175+F176</f>
        <v>4420452</v>
      </c>
    </row>
    <row r="178" spans="1:7" ht="12" customHeight="1" x14ac:dyDescent="0.2">
      <c r="A178" s="1770"/>
      <c r="B178" s="1790"/>
      <c r="C178" s="1785"/>
      <c r="D178" s="1786" t="str">
        <f>D78</f>
        <v>9 Month ADA from District Average Daily Attendance/Prior General State Aid Inquiry 2018-2019</v>
      </c>
      <c r="E178" s="1787"/>
      <c r="F178" s="1791">
        <f>'PCTC-OEPP 27-28'!F78</f>
        <v>467.9</v>
      </c>
      <c r="G178" s="930"/>
    </row>
    <row r="179" spans="1:7" ht="12" customHeight="1" thickBot="1" x14ac:dyDescent="0.25">
      <c r="A179" s="1770"/>
      <c r="B179" s="1790"/>
      <c r="C179" s="1785"/>
      <c r="D179" s="1786" t="s">
        <v>2059</v>
      </c>
      <c r="E179" s="1787" t="s">
        <v>1545</v>
      </c>
      <c r="F179" s="1792">
        <f>F177/F178</f>
        <v>9447.4289378072244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12" sqref="A12:G1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534" t="s">
        <v>1819</v>
      </c>
      <c r="B6" s="1535"/>
      <c r="C6" s="1535"/>
      <c r="D6" s="1535"/>
      <c r="E6" s="1535"/>
      <c r="F6" s="1535"/>
      <c r="G6" s="1536"/>
    </row>
    <row r="7" spans="1:7" ht="30.75" customHeight="1" x14ac:dyDescent="0.25">
      <c r="A7" s="2285" t="s">
        <v>1932</v>
      </c>
      <c r="B7" s="2286"/>
      <c r="C7" s="2286"/>
      <c r="D7" s="2286"/>
      <c r="E7" s="2286"/>
      <c r="F7" s="2286"/>
      <c r="G7" s="2287"/>
    </row>
    <row r="8" spans="1:7" ht="15.75" customHeight="1" x14ac:dyDescent="0.25">
      <c r="A8" s="2288" t="s">
        <v>1907</v>
      </c>
      <c r="B8" s="2289"/>
      <c r="C8" s="2289"/>
      <c r="D8" s="2289"/>
      <c r="E8" s="2289"/>
      <c r="F8" s="2289"/>
      <c r="G8" s="2290"/>
    </row>
    <row r="9" spans="1:7" ht="35.25" customHeight="1" x14ac:dyDescent="0.25">
      <c r="A9" s="2285" t="s">
        <v>1935</v>
      </c>
      <c r="B9" s="2286"/>
      <c r="C9" s="2286"/>
      <c r="D9" s="2286"/>
      <c r="E9" s="2286"/>
      <c r="F9" s="2286"/>
      <c r="G9" s="2287"/>
    </row>
    <row r="10" spans="1:7" ht="15" customHeight="1" x14ac:dyDescent="0.25">
      <c r="A10" s="1537" t="s">
        <v>1820</v>
      </c>
      <c r="B10" s="1538"/>
      <c r="C10" s="1538"/>
      <c r="D10" s="1538"/>
      <c r="E10" s="1538"/>
      <c r="F10" s="1538"/>
      <c r="G10" s="1539"/>
    </row>
    <row r="11" spans="1:7" ht="17.25" customHeight="1" x14ac:dyDescent="0.25">
      <c r="A11" s="2285" t="s">
        <v>1934</v>
      </c>
      <c r="B11" s="2286"/>
      <c r="C11" s="2286"/>
      <c r="D11" s="2286"/>
      <c r="E11" s="2286"/>
      <c r="F11" s="2286"/>
      <c r="G11" s="2287"/>
    </row>
    <row r="12" spans="1:7" ht="15" customHeight="1" x14ac:dyDescent="0.25">
      <c r="A12" s="1537" t="s">
        <v>1825</v>
      </c>
      <c r="B12" s="1538"/>
      <c r="C12" s="1538"/>
      <c r="D12" s="1538"/>
      <c r="E12" s="1538"/>
      <c r="F12" s="1538"/>
      <c r="G12" s="1539"/>
    </row>
    <row r="13" spans="1:7" ht="32.25" customHeight="1" x14ac:dyDescent="0.25">
      <c r="A13" s="2276" t="s">
        <v>1976</v>
      </c>
      <c r="B13" s="2277"/>
      <c r="C13" s="2277"/>
      <c r="D13" s="2277"/>
      <c r="E13" s="2277"/>
      <c r="F13" s="2277"/>
      <c r="G13" s="227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6" t="s">
        <v>2111</v>
      </c>
      <c r="B17" s="1947" t="s">
        <v>2112</v>
      </c>
      <c r="C17" s="1948" t="s">
        <v>2113</v>
      </c>
      <c r="D17" s="1844">
        <v>7680</v>
      </c>
      <c r="E17" s="1540">
        <f t="shared" ref="E17:E141" si="0">IF(D17&lt;=25000,D17,IF(D17&gt;25000,25000,0))</f>
        <v>7680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7680</v>
      </c>
      <c r="G17" s="1793">
        <f>IF(F17=0,0,D17-F17)</f>
        <v>0</v>
      </c>
      <c r="H17" s="1647"/>
    </row>
    <row r="18" spans="1:8" x14ac:dyDescent="0.25">
      <c r="A18" s="1946" t="s">
        <v>2114</v>
      </c>
      <c r="B18" s="1947" t="s">
        <v>2115</v>
      </c>
      <c r="C18" s="1948" t="s">
        <v>2116</v>
      </c>
      <c r="D18" s="1844">
        <v>6301</v>
      </c>
      <c r="E18" s="1540">
        <f t="shared" ref="E18:E140" si="2">IF(D18&lt;=25000,D18,IF(D18&gt;25000,25000,0))</f>
        <v>6301</v>
      </c>
      <c r="F18" s="1932">
        <f t="shared" si="1"/>
        <v>6301</v>
      </c>
      <c r="G18" s="1793">
        <f t="shared" ref="G18:G140" si="3">IF(F18=0,0,D18-F18)</f>
        <v>0</v>
      </c>
    </row>
    <row r="19" spans="1:8" x14ac:dyDescent="0.25">
      <c r="A19" s="1946" t="s">
        <v>2114</v>
      </c>
      <c r="B19" s="1947" t="s">
        <v>2115</v>
      </c>
      <c r="C19" s="1948" t="s">
        <v>2117</v>
      </c>
      <c r="D19" s="1844">
        <v>44280</v>
      </c>
      <c r="E19" s="1540">
        <f t="shared" si="2"/>
        <v>25000</v>
      </c>
      <c r="F19" s="1932">
        <f t="shared" si="1"/>
        <v>25000</v>
      </c>
      <c r="G19" s="1793">
        <f t="shared" si="3"/>
        <v>19280</v>
      </c>
    </row>
    <row r="20" spans="1:8" x14ac:dyDescent="0.25">
      <c r="A20" s="1946" t="s">
        <v>2114</v>
      </c>
      <c r="B20" s="1947" t="s">
        <v>2115</v>
      </c>
      <c r="C20" s="1948" t="s">
        <v>2118</v>
      </c>
      <c r="D20" s="1844">
        <v>10455</v>
      </c>
      <c r="E20" s="1540">
        <f t="shared" si="2"/>
        <v>10455</v>
      </c>
      <c r="F20" s="1932">
        <f t="shared" si="1"/>
        <v>10455</v>
      </c>
      <c r="G20" s="1793">
        <f t="shared" si="3"/>
        <v>0</v>
      </c>
    </row>
    <row r="21" spans="1:8" x14ac:dyDescent="0.25">
      <c r="A21" s="1946" t="s">
        <v>2114</v>
      </c>
      <c r="B21" s="1947" t="s">
        <v>2115</v>
      </c>
      <c r="C21" s="1948" t="s">
        <v>2119</v>
      </c>
      <c r="D21" s="1844">
        <v>16767</v>
      </c>
      <c r="E21" s="1540">
        <f t="shared" si="2"/>
        <v>16767</v>
      </c>
      <c r="F21" s="1932">
        <f t="shared" si="1"/>
        <v>16767</v>
      </c>
      <c r="G21" s="1793">
        <f t="shared" si="3"/>
        <v>0</v>
      </c>
    </row>
    <row r="22" spans="1:8" x14ac:dyDescent="0.25">
      <c r="A22" s="1946" t="s">
        <v>2122</v>
      </c>
      <c r="B22" s="1947" t="s">
        <v>2121</v>
      </c>
      <c r="C22" s="1948" t="s">
        <v>2120</v>
      </c>
      <c r="D22" s="1844">
        <v>29837</v>
      </c>
      <c r="E22" s="1540">
        <f t="shared" si="2"/>
        <v>25000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115320</v>
      </c>
      <c r="E141" s="1541">
        <f t="shared" si="0"/>
        <v>25000</v>
      </c>
      <c r="F141" s="1933">
        <f>SUM(F17:F140)</f>
        <v>66203</v>
      </c>
      <c r="G141" s="1795">
        <f>SUM(G17:G140)</f>
        <v>19280</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4" fitToHeight="0" orientation="landscape" useFirstPageNumber="1" r:id="rId1"/>
  <headerFooter differentFirst="1" scaleWithDoc="0">
    <oddFooter>&amp;LSee notes to financial statements.&amp;C&amp;P</oddFooter>
    <firstFooter>&amp;LSee notes to financial statements.&amp;C34</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89574</v>
      </c>
      <c r="F10" s="974"/>
      <c r="G10" s="975"/>
      <c r="H10" s="162"/>
      <c r="I10" s="162"/>
    </row>
    <row r="11" spans="1:9" s="668" customFormat="1" ht="22.5" customHeight="1" x14ac:dyDescent="0.2">
      <c r="A11" s="2296" t="s">
        <v>1977</v>
      </c>
      <c r="B11" s="2297"/>
      <c r="C11" s="2297"/>
      <c r="D11" s="2298"/>
      <c r="E11" s="977">
        <v>13852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2620910</v>
      </c>
      <c r="F19" s="1799"/>
      <c r="G19" s="1801">
        <f>'Expenditures 15-22'!K33-SUM('Expenditures 15-22'!G33,'Expenditures 15-22'!I33)+'Expenditures 15-22'!D229</f>
        <v>2620910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104426</v>
      </c>
      <c r="F21" s="1802"/>
      <c r="G21" s="1805">
        <f>'Expenditures 15-22'!K42-SUM('Expenditures 15-22'!G42,'Expenditures 15-22'!I42)+'Expenditures 15-22'!K120-SUM('Expenditures 15-22'!G120,'Expenditures 15-22'!I120)+'Expenditures 15-22'!K180-SUM('Expenditures 15-22'!G180,'Expenditures 15-22'!I180)+'Expenditures 15-22'!D238</f>
        <v>104426</v>
      </c>
      <c r="H21" s="987"/>
      <c r="I21" s="162"/>
    </row>
    <row r="22" spans="1:9" s="668" customFormat="1" ht="12" customHeight="1" x14ac:dyDescent="0.2">
      <c r="A22" s="994" t="s">
        <v>564</v>
      </c>
      <c r="B22" s="995"/>
      <c r="C22" s="993">
        <v>2200</v>
      </c>
      <c r="D22" s="1802"/>
      <c r="E22" s="1804">
        <f>'Expenditures 15-22'!K47-SUM('Expenditures 15-22'!G47,'Expenditures 15-22'!I47)+'Expenditures 15-22'!D243</f>
        <v>84123</v>
      </c>
      <c r="F22" s="1802"/>
      <c r="G22" s="1805">
        <f>'Expenditures 15-22'!K47-SUM('Expenditures 15-22'!G47,'Expenditures 15-22'!I47)+'Expenditures 15-22'!D243</f>
        <v>84123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741428</v>
      </c>
      <c r="F23" s="1802"/>
      <c r="G23" s="1804">
        <f>'Expenditures 15-22'!K53-SUM('Expenditures 15-22'!G53,'Expenditures 15-22'!I53)+'Expenditures 15-22'!D257+'Expenditures 15-22'!K330-SUM('Expenditures 15-22'!G330,'Expenditures 15-22'!I330)</f>
        <v>741428</v>
      </c>
      <c r="H23" s="987"/>
      <c r="I23" s="162"/>
    </row>
    <row r="24" spans="1:9" s="668" customFormat="1" ht="12" customHeight="1" x14ac:dyDescent="0.2">
      <c r="A24" s="994" t="s">
        <v>566</v>
      </c>
      <c r="B24" s="995"/>
      <c r="C24" s="993">
        <v>2400</v>
      </c>
      <c r="D24" s="1802"/>
      <c r="E24" s="1804">
        <f>'Expenditures 15-22'!K57-SUM('Expenditures 15-22'!G57,'Expenditures 15-22'!I57)+'Expenditures 15-22'!D261</f>
        <v>220824</v>
      </c>
      <c r="F24" s="1802"/>
      <c r="G24" s="1805">
        <f>'Expenditures 15-22'!K57-SUM('Expenditures 15-22'!G57,'Expenditures 15-22'!I57)+'Expenditures 15-22'!D261</f>
        <v>220824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95276</v>
      </c>
      <c r="E27" s="1804">
        <f>E8</f>
        <v>0</v>
      </c>
      <c r="F27" s="1804">
        <f>'Expenditures 15-22'!K60-SUM('Expenditures 15-22'!G60,'Expenditures 15-22'!I60)+'Expenditures 15-22'!D264-E8</f>
        <v>95276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498680</v>
      </c>
      <c r="F28" s="1806">
        <f>'Expenditures 15-22'!K61-SUM('Expenditures 15-22'!G61,'Expenditures 15-22'!I61)+'Expenditures 15-22'!K124-SUM('Expenditures 15-22'!G124,'Expenditures 15-22'!I124)+'Expenditures 15-22'!D266-E9</f>
        <v>498680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207579</v>
      </c>
      <c r="F29" s="1802"/>
      <c r="G29" s="1805">
        <f>'Expenditures 15-22'!K62-SUM('Expenditures 15-22'!G62,'Expenditures 15-22'!I62)+'Expenditures 15-22'!K125-SUM('Expenditures 15-22'!G125,'Expenditures 15-22'!I125)+'Expenditures 15-22'!K182-SUM('Expenditures 15-22'!G182,'Expenditures 15-22'!I182)+'Expenditures 15-22'!D267</f>
        <v>207579</v>
      </c>
      <c r="H29" s="985"/>
    </row>
    <row r="30" spans="1:9" ht="12" customHeight="1" x14ac:dyDescent="0.2">
      <c r="A30" s="994" t="s">
        <v>100</v>
      </c>
      <c r="B30" s="997"/>
      <c r="C30" s="993">
        <v>2560</v>
      </c>
      <c r="D30" s="1802"/>
      <c r="E30" s="1804">
        <f>'Expenditures 15-22'!K63-SUM('Expenditures 15-22'!G63,'Expenditures 15-22'!I63)+'Expenditures 15-22'!D268-E10</f>
        <v>46010</v>
      </c>
      <c r="F30" s="1802"/>
      <c r="G30" s="1804">
        <f>'Expenditures 15-22'!K63-SUM('Expenditures 15-22'!G63,'Expenditures 15-22'!I63)+'Expenditures 15-22'!D268-E10</f>
        <v>46010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-19280</v>
      </c>
      <c r="F40" s="1802"/>
      <c r="G40" s="1806">
        <f>-'Contracts Paid in CY 29'!G141</f>
        <v>-19280</v>
      </c>
    </row>
    <row r="41" spans="1:7" ht="12" customHeight="1" x14ac:dyDescent="0.2">
      <c r="A41" s="998" t="s">
        <v>156</v>
      </c>
      <c r="B41" s="999"/>
      <c r="C41" s="1000"/>
      <c r="D41" s="1806">
        <f>SUM(D19:D39)</f>
        <v>95276</v>
      </c>
      <c r="E41" s="1806">
        <f>SUM(E19:E40)</f>
        <v>4504700</v>
      </c>
      <c r="F41" s="1806">
        <f>SUM(F19:F39)</f>
        <v>593956</v>
      </c>
      <c r="G41" s="1806">
        <f>SUM(G19:G40)</f>
        <v>4006020</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95276</v>
      </c>
      <c r="F43" s="1807" t="s">
        <v>473</v>
      </c>
      <c r="G43" s="1808">
        <f>F41</f>
        <v>593956</v>
      </c>
    </row>
    <row r="44" spans="1:7" ht="12" customHeight="1" x14ac:dyDescent="0.2">
      <c r="A44" s="987"/>
      <c r="B44" s="162"/>
      <c r="C44" s="1001"/>
      <c r="D44" s="1807" t="s">
        <v>474</v>
      </c>
      <c r="E44" s="1808">
        <f>E41</f>
        <v>4504700</v>
      </c>
      <c r="F44" s="1807" t="s">
        <v>474</v>
      </c>
      <c r="G44" s="1808">
        <f>G41</f>
        <v>4006020</v>
      </c>
    </row>
    <row r="45" spans="1:7" ht="12" customHeight="1" x14ac:dyDescent="0.2">
      <c r="A45" s="987"/>
      <c r="B45" s="162"/>
      <c r="C45" s="162"/>
      <c r="D45" s="1809" t="s">
        <v>1006</v>
      </c>
      <c r="E45" s="1810">
        <f>(E43/E44)</f>
        <v>2.115035407463316E-2</v>
      </c>
      <c r="F45" s="1809" t="s">
        <v>1006</v>
      </c>
      <c r="G45" s="1810">
        <f>(G43/G44)</f>
        <v>0.14826585988087929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12" sqref="C12:F15"/>
      <selection pane="bottomLeft" activeCell="C12" sqref="C12:F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New Athens CUSD 60</v>
      </c>
      <c r="D6" s="2306"/>
      <c r="E6" s="2306"/>
      <c r="F6" s="1852"/>
    </row>
    <row r="7" spans="1:10" ht="11.25" customHeight="1" thickBot="1" x14ac:dyDescent="0.3">
      <c r="A7" s="1850"/>
      <c r="B7" s="1851"/>
      <c r="C7" s="2307">
        <f>COVER!A13</f>
        <v>50082060026</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2098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3"/>
      <c r="B39" s="1873"/>
      <c r="C39" s="1873"/>
      <c r="D39" s="1873"/>
      <c r="E39" s="1873"/>
      <c r="F39" s="1873"/>
    </row>
    <row r="40" spans="1:11" s="1870" customFormat="1" ht="12" customHeight="1" x14ac:dyDescent="0.25">
      <c r="A40" s="1874" t="s">
        <v>1391</v>
      </c>
      <c r="B40" s="1875"/>
      <c r="C40" s="2316"/>
      <c r="D40" s="2316"/>
      <c r="E40" s="2316"/>
      <c r="F40" s="2317"/>
      <c r="H40" s="1879"/>
      <c r="I40" s="1879"/>
      <c r="J40" s="1879"/>
      <c r="K40" s="1879"/>
    </row>
    <row r="41" spans="1:11" s="1870" customFormat="1" ht="12" customHeight="1" x14ac:dyDescent="0.25">
      <c r="A41" s="2318"/>
      <c r="B41" s="2319"/>
      <c r="C41" s="2319"/>
      <c r="D41" s="2319"/>
      <c r="E41" s="2319"/>
      <c r="F41" s="2320"/>
      <c r="H41" s="1879"/>
      <c r="I41" s="1879"/>
      <c r="J41" s="1879"/>
      <c r="K41" s="1879"/>
    </row>
    <row r="42" spans="1:11" s="1870" customFormat="1" ht="12" customHeight="1" x14ac:dyDescent="0.25">
      <c r="A42" s="2318"/>
      <c r="B42" s="2319"/>
      <c r="C42" s="2319"/>
      <c r="D42" s="2319"/>
      <c r="E42" s="2319"/>
      <c r="F42" s="2320"/>
      <c r="H42" s="1879"/>
      <c r="I42" s="1879"/>
      <c r="J42" s="1879"/>
      <c r="K42" s="1879"/>
    </row>
    <row r="43" spans="1:11" s="1870" customFormat="1" ht="15" x14ac:dyDescent="0.25">
      <c r="A43" s="2310"/>
      <c r="B43" s="2311"/>
      <c r="C43" s="2311"/>
      <c r="D43" s="2311"/>
      <c r="E43" s="2311"/>
      <c r="F43" s="2312"/>
      <c r="H43" s="1879"/>
      <c r="I43" s="1879"/>
      <c r="J43" s="1879"/>
      <c r="K43" s="1879"/>
    </row>
    <row r="44" spans="1:11" s="1870" customFormat="1" ht="12" hidden="1" customHeight="1" x14ac:dyDescent="0.25">
      <c r="A44" s="2310"/>
      <c r="B44" s="2311"/>
      <c r="C44" s="2311"/>
      <c r="D44" s="2311"/>
      <c r="E44" s="2311"/>
      <c r="F44" s="231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84" orientation="landscape" r:id="rId1"/>
  <headerFooter scaleWithDoc="0">
    <oddFooter>&amp;LSee notes to financial statements.&amp;C39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42" sqref="E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New Athens CUSD 60</v>
      </c>
      <c r="J6" s="2327"/>
      <c r="Q6" s="1664"/>
    </row>
    <row r="7" spans="1:17" x14ac:dyDescent="0.2">
      <c r="A7" s="2328" t="s">
        <v>869</v>
      </c>
      <c r="B7" s="2329"/>
      <c r="C7" s="2329"/>
      <c r="D7" s="2329"/>
      <c r="E7" s="2330"/>
      <c r="F7" s="1017"/>
      <c r="G7" s="1009"/>
      <c r="H7" s="1016" t="s">
        <v>372</v>
      </c>
      <c r="I7" s="2331">
        <f>COVER!A13</f>
        <v>50082060026</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137116</v>
      </c>
      <c r="F12" s="1039"/>
      <c r="G12" s="1811">
        <f t="shared" ref="G12:G18" si="0">SUM(E12:F12)</f>
        <v>137116</v>
      </c>
      <c r="H12" s="1040">
        <v>146623</v>
      </c>
      <c r="I12" s="1039"/>
      <c r="J12" s="1811">
        <f t="shared" ref="J12:J18" si="1">SUM(H12:I12)</f>
        <v>146623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137116</v>
      </c>
      <c r="F19" s="1813">
        <f t="shared" si="2"/>
        <v>0</v>
      </c>
      <c r="G19" s="1813">
        <f t="shared" si="2"/>
        <v>137116</v>
      </c>
      <c r="H19" s="1813">
        <f t="shared" si="2"/>
        <v>146623</v>
      </c>
      <c r="I19" s="1813">
        <f t="shared" si="2"/>
        <v>0</v>
      </c>
      <c r="J19" s="1813">
        <f t="shared" si="2"/>
        <v>146623</v>
      </c>
    </row>
    <row r="20" spans="1:10" ht="13.5" thickTop="1" x14ac:dyDescent="0.2">
      <c r="A20" s="1035">
        <v>9</v>
      </c>
      <c r="B20" s="2338" t="s">
        <v>1981</v>
      </c>
      <c r="C20" s="2338"/>
      <c r="D20" s="2339"/>
      <c r="E20" s="1046"/>
      <c r="F20" s="1046"/>
      <c r="G20" s="1046"/>
      <c r="H20" s="1046"/>
      <c r="I20" s="1046"/>
      <c r="J20" s="1814">
        <f>IF(AND(G19&gt;0,J19&gt;0),(((J19-G19)/G19)),"Enter Budget Data")</f>
        <v>6.9335453192916952E-2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1983</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t="s">
        <v>2064</v>
      </c>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statements.&amp;C40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E65"/>
  <sheetViews>
    <sheetView showGridLines="0" zoomScale="110" zoomScaleNormal="110" workbookViewId="0">
      <selection activeCell="E8" sqref="E8"/>
    </sheetView>
  </sheetViews>
  <sheetFormatPr defaultColWidth="9.140625" defaultRowHeight="12.75" x14ac:dyDescent="0.2"/>
  <cols>
    <col min="1" max="1" width="6.42578125" style="329" customWidth="1"/>
    <col min="2" max="2" width="5.85546875" style="329" customWidth="1"/>
    <col min="3" max="3" width="20.85546875" style="329" bestFit="1" customWidth="1"/>
    <col min="4" max="4" width="29.7109375" style="329" customWidth="1"/>
    <col min="5" max="16384" width="9.140625" style="329"/>
  </cols>
  <sheetData>
    <row r="2" spans="1:5" x14ac:dyDescent="0.2">
      <c r="A2" s="389" t="s">
        <v>258</v>
      </c>
    </row>
    <row r="3" spans="1:5" x14ac:dyDescent="0.2">
      <c r="A3" s="329" t="s">
        <v>259</v>
      </c>
    </row>
    <row r="5" spans="1:5" x14ac:dyDescent="0.2">
      <c r="A5" s="1938" t="s">
        <v>2090</v>
      </c>
      <c r="B5" s="1940" t="s">
        <v>2091</v>
      </c>
      <c r="C5" s="1940" t="s">
        <v>1077</v>
      </c>
      <c r="D5" s="1940" t="s">
        <v>481</v>
      </c>
      <c r="E5" s="1940" t="s">
        <v>865</v>
      </c>
    </row>
    <row r="6" spans="1:5" x14ac:dyDescent="0.2">
      <c r="A6" s="1068"/>
    </row>
    <row r="7" spans="1:5" x14ac:dyDescent="0.2">
      <c r="A7" s="1941">
        <v>11</v>
      </c>
      <c r="B7" s="1941">
        <v>107</v>
      </c>
      <c r="C7" s="1939" t="s">
        <v>1155</v>
      </c>
      <c r="D7" s="1942" t="s">
        <v>2099</v>
      </c>
      <c r="E7" s="1943">
        <v>992</v>
      </c>
    </row>
    <row r="8" spans="1:5" x14ac:dyDescent="0.2">
      <c r="A8" s="1941">
        <v>11</v>
      </c>
      <c r="B8" s="1941">
        <v>107</v>
      </c>
      <c r="C8" s="1939" t="s">
        <v>1155</v>
      </c>
      <c r="D8" s="1942" t="s">
        <v>2100</v>
      </c>
      <c r="E8" s="1943">
        <v>2354</v>
      </c>
    </row>
    <row r="9" spans="1:5" ht="13.5" thickBot="1" x14ac:dyDescent="0.25">
      <c r="A9" s="1941"/>
      <c r="B9" s="1941"/>
      <c r="C9" s="1939"/>
      <c r="D9" s="1942" t="s">
        <v>156</v>
      </c>
      <c r="E9" s="1944">
        <f>E8+E7</f>
        <v>3346</v>
      </c>
    </row>
    <row r="10" spans="1:5" ht="13.5" thickTop="1" x14ac:dyDescent="0.2">
      <c r="A10" s="1941"/>
      <c r="B10" s="1941"/>
      <c r="C10" s="1939"/>
      <c r="D10" s="1942"/>
      <c r="E10" s="1943"/>
    </row>
    <row r="11" spans="1:5" x14ac:dyDescent="0.2">
      <c r="A11" s="1941">
        <v>11</v>
      </c>
      <c r="B11" s="1941">
        <v>107</v>
      </c>
      <c r="C11" s="1939" t="s">
        <v>460</v>
      </c>
      <c r="D11" s="1942" t="s">
        <v>2101</v>
      </c>
      <c r="E11" s="1943">
        <v>900</v>
      </c>
    </row>
    <row r="12" spans="1:5" x14ac:dyDescent="0.2">
      <c r="A12" s="1941">
        <v>11</v>
      </c>
      <c r="B12" s="1941">
        <v>107</v>
      </c>
      <c r="C12" s="1939" t="s">
        <v>460</v>
      </c>
      <c r="D12" s="1942" t="s">
        <v>2100</v>
      </c>
      <c r="E12" s="1943">
        <v>3684</v>
      </c>
    </row>
    <row r="13" spans="1:5" ht="13.5" thickBot="1" x14ac:dyDescent="0.25">
      <c r="A13" s="1941"/>
      <c r="B13" s="1941"/>
      <c r="C13" s="1939"/>
      <c r="D13" s="1942" t="s">
        <v>156</v>
      </c>
      <c r="E13" s="1944">
        <f>E11+E12</f>
        <v>4584</v>
      </c>
    </row>
    <row r="14" spans="1:5" ht="13.5" thickTop="1" x14ac:dyDescent="0.2">
      <c r="A14" s="1941"/>
      <c r="B14" s="1941"/>
      <c r="C14" s="1939"/>
      <c r="D14" s="1942"/>
      <c r="E14" s="1943"/>
    </row>
    <row r="15" spans="1:5" x14ac:dyDescent="0.2">
      <c r="A15" s="1941">
        <v>11</v>
      </c>
      <c r="B15" s="1941">
        <v>107</v>
      </c>
      <c r="C15" s="1939" t="s">
        <v>155</v>
      </c>
      <c r="D15" s="1942" t="s">
        <v>2100</v>
      </c>
      <c r="E15" s="1943">
        <v>1116</v>
      </c>
    </row>
    <row r="16" spans="1:5" x14ac:dyDescent="0.2">
      <c r="A16" s="1941"/>
      <c r="B16" s="1941"/>
      <c r="C16" s="1939"/>
      <c r="D16" s="1942"/>
      <c r="E16" s="1943"/>
    </row>
    <row r="17" spans="1:5" x14ac:dyDescent="0.2">
      <c r="A17" s="1941">
        <v>11</v>
      </c>
      <c r="B17" s="1941">
        <v>107</v>
      </c>
      <c r="C17" s="1939" t="s">
        <v>157</v>
      </c>
      <c r="D17" s="1942" t="s">
        <v>2102</v>
      </c>
      <c r="E17" s="1943">
        <v>10000</v>
      </c>
    </row>
    <row r="18" spans="1:5" x14ac:dyDescent="0.2">
      <c r="A18" s="1941"/>
      <c r="B18" s="1941"/>
      <c r="C18" s="1939"/>
      <c r="D18" s="1942"/>
      <c r="E18" s="1943"/>
    </row>
    <row r="19" spans="1:5" x14ac:dyDescent="0.2">
      <c r="A19" s="1941">
        <v>12</v>
      </c>
      <c r="B19" s="1941">
        <v>174</v>
      </c>
      <c r="C19" s="1939" t="s">
        <v>1155</v>
      </c>
      <c r="D19" s="1942" t="s">
        <v>2103</v>
      </c>
      <c r="E19" s="1943">
        <v>51636</v>
      </c>
    </row>
    <row r="20" spans="1:5" x14ac:dyDescent="0.2">
      <c r="A20" s="1941"/>
      <c r="B20" s="1941"/>
      <c r="C20" s="1939"/>
      <c r="D20" s="1942"/>
      <c r="E20" s="1943"/>
    </row>
    <row r="21" spans="1:5" x14ac:dyDescent="0.2">
      <c r="A21" s="1941">
        <v>13</v>
      </c>
      <c r="B21" s="1941">
        <v>220</v>
      </c>
      <c r="C21" s="1939" t="s">
        <v>1155</v>
      </c>
      <c r="D21" s="1942" t="s">
        <v>2104</v>
      </c>
      <c r="E21" s="1943">
        <v>552</v>
      </c>
    </row>
    <row r="22" spans="1:5" x14ac:dyDescent="0.2">
      <c r="A22" s="1941"/>
      <c r="B22" s="1941"/>
      <c r="C22" s="1939"/>
      <c r="D22" s="1942"/>
      <c r="E22" s="1943"/>
    </row>
    <row r="23" spans="1:5" x14ac:dyDescent="0.2">
      <c r="A23" s="1941">
        <v>15</v>
      </c>
      <c r="B23" s="1941">
        <v>41</v>
      </c>
      <c r="C23" s="1939" t="s">
        <v>2106</v>
      </c>
      <c r="D23" s="1942" t="s">
        <v>2107</v>
      </c>
      <c r="E23" s="1943">
        <v>2684</v>
      </c>
    </row>
    <row r="24" spans="1:5" x14ac:dyDescent="0.2">
      <c r="A24" s="1941"/>
      <c r="B24" s="1941"/>
      <c r="C24" s="1939"/>
      <c r="D24" s="1942" t="s">
        <v>2108</v>
      </c>
      <c r="E24" s="1945">
        <v>649</v>
      </c>
    </row>
    <row r="25" spans="1:5" ht="13.5" thickBot="1" x14ac:dyDescent="0.25">
      <c r="A25" s="1941"/>
      <c r="B25" s="1941"/>
      <c r="C25" s="1939"/>
      <c r="D25" s="1942"/>
      <c r="E25" s="1944">
        <f>E23+E24</f>
        <v>3333</v>
      </c>
    </row>
    <row r="26" spans="1:5" ht="13.5" thickTop="1" x14ac:dyDescent="0.2">
      <c r="A26" s="1941"/>
      <c r="B26" s="1941"/>
      <c r="C26" s="1939"/>
      <c r="D26" s="1942"/>
      <c r="E26" s="1943"/>
    </row>
    <row r="27" spans="1:5" x14ac:dyDescent="0.2">
      <c r="A27" s="1941">
        <v>15</v>
      </c>
      <c r="B27" s="1941">
        <v>41</v>
      </c>
      <c r="C27" s="1939" t="s">
        <v>2105</v>
      </c>
      <c r="D27" s="1942" t="s">
        <v>2100</v>
      </c>
      <c r="E27" s="1943">
        <v>400</v>
      </c>
    </row>
    <row r="28" spans="1:5" x14ac:dyDescent="0.2">
      <c r="A28" s="1941"/>
      <c r="B28" s="1941"/>
      <c r="C28" s="1939"/>
      <c r="D28" s="1942"/>
      <c r="E28" s="1943"/>
    </row>
    <row r="29" spans="1:5" x14ac:dyDescent="0.2">
      <c r="A29" s="1941">
        <v>18</v>
      </c>
      <c r="B29" s="1941">
        <v>171</v>
      </c>
      <c r="C29" s="1939" t="s">
        <v>2109</v>
      </c>
      <c r="D29" s="1942" t="s">
        <v>2110</v>
      </c>
      <c r="E29" s="1943">
        <v>1183</v>
      </c>
    </row>
    <row r="30" spans="1:5" x14ac:dyDescent="0.2">
      <c r="A30" s="1069"/>
      <c r="C30" s="1939"/>
      <c r="D30" s="1942"/>
      <c r="E30" s="1943"/>
    </row>
    <row r="31" spans="1:5" x14ac:dyDescent="0.2">
      <c r="A31" s="1069"/>
      <c r="D31" s="1942"/>
      <c r="E31" s="1943"/>
    </row>
    <row r="32" spans="1:5" x14ac:dyDescent="0.2">
      <c r="A32" s="1069"/>
      <c r="D32" s="1942"/>
      <c r="E32" s="1943"/>
    </row>
    <row r="33" spans="1:5" x14ac:dyDescent="0.2">
      <c r="A33" s="1069"/>
      <c r="D33" s="1942"/>
      <c r="E33" s="1943"/>
    </row>
    <row r="34" spans="1:5" x14ac:dyDescent="0.2">
      <c r="A34" s="1069"/>
      <c r="D34" s="1942"/>
      <c r="E34" s="1943"/>
    </row>
    <row r="35" spans="1:5" x14ac:dyDescent="0.2">
      <c r="A35" s="1069"/>
      <c r="D35" s="1942"/>
      <c r="E35" s="1943"/>
    </row>
    <row r="36" spans="1:5" x14ac:dyDescent="0.2">
      <c r="A36" s="1069"/>
      <c r="D36" s="1942"/>
      <c r="E36" s="1943"/>
    </row>
    <row r="37" spans="1:5" x14ac:dyDescent="0.2">
      <c r="A37" s="1069"/>
      <c r="D37" s="1942"/>
      <c r="E37" s="1943"/>
    </row>
    <row r="38" spans="1:5" x14ac:dyDescent="0.2">
      <c r="A38" s="1069"/>
      <c r="D38" s="1942"/>
      <c r="E38" s="1943"/>
    </row>
    <row r="39" spans="1:5" x14ac:dyDescent="0.2">
      <c r="A39" s="1069"/>
      <c r="D39" s="1942"/>
      <c r="E39" s="1943"/>
    </row>
    <row r="40" spans="1:5" x14ac:dyDescent="0.2">
      <c r="A40" s="1069"/>
      <c r="D40" s="1942"/>
      <c r="E40" s="1943"/>
    </row>
    <row r="41" spans="1:5" x14ac:dyDescent="0.2">
      <c r="A41" s="1069"/>
      <c r="D41" s="1942"/>
      <c r="E41" s="1943"/>
    </row>
    <row r="42" spans="1:5" x14ac:dyDescent="0.2">
      <c r="A42" s="1069"/>
      <c r="D42" s="1942"/>
      <c r="E42" s="1943"/>
    </row>
    <row r="43" spans="1:5" x14ac:dyDescent="0.2">
      <c r="A43" s="1069"/>
      <c r="D43" s="1942"/>
      <c r="E43" s="1943"/>
    </row>
    <row r="44" spans="1:5" x14ac:dyDescent="0.2">
      <c r="A44" s="1069"/>
      <c r="D44" s="1942"/>
      <c r="E44" s="1943"/>
    </row>
    <row r="45" spans="1:5" x14ac:dyDescent="0.2">
      <c r="A45" s="1069"/>
      <c r="D45" s="1942"/>
      <c r="E45" s="1943"/>
    </row>
    <row r="46" spans="1:5" x14ac:dyDescent="0.2">
      <c r="A46" s="1069"/>
      <c r="D46" s="1942"/>
      <c r="E46" s="1943"/>
    </row>
    <row r="47" spans="1:5" x14ac:dyDescent="0.2">
      <c r="A47" s="1069"/>
      <c r="D47" s="1942"/>
      <c r="E47" s="1943"/>
    </row>
    <row r="48" spans="1:5" x14ac:dyDescent="0.2">
      <c r="A48" s="1069"/>
      <c r="D48" s="1942"/>
      <c r="E48" s="1943"/>
    </row>
    <row r="49" spans="1:5" x14ac:dyDescent="0.2">
      <c r="A49" s="1069"/>
      <c r="D49" s="1942"/>
      <c r="E49" s="1943"/>
    </row>
    <row r="50" spans="1:5" x14ac:dyDescent="0.2">
      <c r="A50" s="1069"/>
      <c r="D50" s="1942"/>
      <c r="E50" s="1943"/>
    </row>
    <row r="51" spans="1:5" x14ac:dyDescent="0.2">
      <c r="A51" s="1069"/>
      <c r="D51" s="1942"/>
      <c r="E51" s="1943"/>
    </row>
    <row r="52" spans="1:5" x14ac:dyDescent="0.2">
      <c r="A52" s="1069"/>
      <c r="D52" s="1942"/>
      <c r="E52" s="1943"/>
    </row>
    <row r="53" spans="1:5" x14ac:dyDescent="0.2">
      <c r="A53" s="1069"/>
      <c r="D53" s="1942"/>
      <c r="E53" s="1943"/>
    </row>
    <row r="54" spans="1:5" x14ac:dyDescent="0.2">
      <c r="A54" s="1069"/>
      <c r="D54" s="1942"/>
      <c r="E54" s="1943"/>
    </row>
    <row r="55" spans="1:5" x14ac:dyDescent="0.2">
      <c r="A55" s="1069"/>
      <c r="D55" s="1942"/>
      <c r="E55" s="1943"/>
    </row>
    <row r="56" spans="1:5" x14ac:dyDescent="0.2">
      <c r="A56" s="1069"/>
    </row>
    <row r="57" spans="1:5" x14ac:dyDescent="0.2">
      <c r="A57" s="1069"/>
    </row>
    <row r="58" spans="1:5" x14ac:dyDescent="0.2">
      <c r="A58" s="1069"/>
    </row>
    <row r="59" spans="1:5" x14ac:dyDescent="0.2">
      <c r="A59" s="1069"/>
    </row>
    <row r="60" spans="1:5" x14ac:dyDescent="0.2">
      <c r="A60" s="1069"/>
    </row>
    <row r="61" spans="1:5" x14ac:dyDescent="0.2">
      <c r="A61" s="1069"/>
    </row>
    <row r="62" spans="1:5" x14ac:dyDescent="0.2">
      <c r="A62" s="1069"/>
    </row>
    <row r="63" spans="1:5" x14ac:dyDescent="0.2">
      <c r="A63" s="1069"/>
    </row>
    <row r="64" spans="1:5" x14ac:dyDescent="0.2">
      <c r="A64" s="1069"/>
      <c r="B64" s="258" t="str">
        <f>COVER!A17</f>
        <v>New Athens CUSD 60</v>
      </c>
    </row>
    <row r="65" spans="2:2" x14ac:dyDescent="0.2">
      <c r="B65" s="1070">
        <f>COVER!A13</f>
        <v>50082060026</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statements.&amp;C41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2" sqref="C12:F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1190625</xdr:colOff>
                <xdr:row>4</xdr:row>
                <xdr:rowOff>85725</xdr:rowOff>
              </from>
              <to>
                <xdr:col>1</xdr:col>
                <xdr:colOff>2105025</xdr:colOff>
                <xdr:row>8</xdr:row>
                <xdr:rowOff>123825</xdr:rowOff>
              </to>
            </anchor>
          </objectPr>
        </oleObject>
      </mc:Choice>
      <mc:Fallback>
        <oleObject progId="Acrobat Document" dvAspect="DVASPECT_ICON" shapeId="5222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1987</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1988</v>
      </c>
      <c r="B4" s="2366"/>
      <c r="C4" s="2366"/>
      <c r="D4" s="2366"/>
      <c r="E4" s="2366"/>
      <c r="F4" s="2367"/>
      <c r="G4" s="1074"/>
      <c r="H4" s="1074"/>
    </row>
    <row r="5" spans="1:8" ht="14.25" customHeight="1" x14ac:dyDescent="0.2">
      <c r="A5" s="2368" t="s">
        <v>1984</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3430751</v>
      </c>
      <c r="C8" s="1815">
        <f>'Acct Summary 7-8'!D8</f>
        <v>350945</v>
      </c>
      <c r="D8" s="1815">
        <f>'Acct Summary 7-8'!F8</f>
        <v>283526</v>
      </c>
      <c r="E8" s="1815">
        <f>'Acct Summary 7-8'!I8</f>
        <v>31696</v>
      </c>
      <c r="F8" s="1815">
        <f>SUM(B8:E8)</f>
        <v>4096918</v>
      </c>
    </row>
    <row r="9" spans="1:8" s="1079" customFormat="1" ht="14.25" customHeight="1" thickBot="1" x14ac:dyDescent="0.25">
      <c r="A9" s="1078" t="s">
        <v>1369</v>
      </c>
      <c r="B9" s="1816">
        <f>'Acct Summary 7-8'!C17</f>
        <v>3642517</v>
      </c>
      <c r="C9" s="1816">
        <f>'Acct Summary 7-8'!D17</f>
        <v>466856</v>
      </c>
      <c r="D9" s="1816">
        <f>'Acct Summary 7-8'!F17</f>
        <v>202925</v>
      </c>
      <c r="E9" s="1815"/>
      <c r="F9" s="1815">
        <f>SUM(B9:E9)</f>
        <v>4312298</v>
      </c>
    </row>
    <row r="10" spans="1:8" s="1079" customFormat="1" ht="14.25" thickTop="1" thickBot="1" x14ac:dyDescent="0.25">
      <c r="A10" s="1080" t="s">
        <v>1370</v>
      </c>
      <c r="B10" s="1817">
        <f>(B8-B9)</f>
        <v>-211766</v>
      </c>
      <c r="C10" s="1817">
        <f>(C8-C9)</f>
        <v>-115911</v>
      </c>
      <c r="D10" s="1817">
        <f>(D8-D9)</f>
        <v>80601</v>
      </c>
      <c r="E10" s="1816">
        <f>(E8-E9)</f>
        <v>31696</v>
      </c>
      <c r="F10" s="1818">
        <f>SUM(F8-F9)</f>
        <v>-215380</v>
      </c>
    </row>
    <row r="11" spans="1:8" s="1079" customFormat="1" ht="14.25" thickTop="1" thickBot="1" x14ac:dyDescent="0.25">
      <c r="A11" s="1081" t="s">
        <v>1985</v>
      </c>
      <c r="B11" s="1819">
        <f>'Acct Summary 7-8'!C81</f>
        <v>215173</v>
      </c>
      <c r="C11" s="1819">
        <f>'Acct Summary 7-8'!D81</f>
        <v>163510</v>
      </c>
      <c r="D11" s="1819">
        <f>'Acct Summary 7-8'!F81</f>
        <v>128187</v>
      </c>
      <c r="E11" s="1819">
        <f>'Acct Summary 7-8'!I81</f>
        <v>269117</v>
      </c>
      <c r="F11" s="1820">
        <f>SUM(B11:E11)</f>
        <v>775987</v>
      </c>
    </row>
    <row r="12" spans="1:8" ht="16.5" customHeight="1" thickTop="1" x14ac:dyDescent="0.2">
      <c r="A12" s="1082"/>
      <c r="B12" s="1083"/>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statements.&amp;C42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0" colorId="8" zoomScale="110" zoomScaleNormal="110" workbookViewId="0">
      <selection activeCell="C74" sqref="C7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statements.&amp;C43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50082060026</v>
      </c>
    </row>
    <row r="3" spans="1:2" x14ac:dyDescent="0.2">
      <c r="A3" t="s">
        <v>956</v>
      </c>
      <c r="B3" s="138" t="str">
        <f>COVER!A15</f>
        <v>ST. CLAIR</v>
      </c>
    </row>
    <row r="4" spans="1:2" x14ac:dyDescent="0.2">
      <c r="A4" t="s">
        <v>1007</v>
      </c>
      <c r="B4" s="138" t="str">
        <f>COVER!A17</f>
        <v>New Athens CUSD 60</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065-023476</v>
      </c>
    </row>
    <row r="16" spans="1:2" x14ac:dyDescent="0.2">
      <c r="A16" t="s">
        <v>422</v>
      </c>
      <c r="B16" s="138" t="str">
        <f>COVER!T13</f>
        <v>SCHEFFEL BOYLE</v>
      </c>
    </row>
    <row r="17" spans="1:2" x14ac:dyDescent="0.2">
      <c r="A17" t="s">
        <v>884</v>
      </c>
      <c r="B17" s="138" t="str">
        <f>COVER!T15</f>
        <v>BRIAN A. OTTEN, CPA</v>
      </c>
    </row>
    <row r="18" spans="1:2" x14ac:dyDescent="0.2">
      <c r="A18" t="s">
        <v>1150</v>
      </c>
      <c r="B18" s="138" t="str">
        <f>COVER!T17</f>
        <v>222 EAST MAIN STREET</v>
      </c>
    </row>
    <row r="19" spans="1:2" x14ac:dyDescent="0.2">
      <c r="A19" t="s">
        <v>886</v>
      </c>
      <c r="B19" s="138" t="str">
        <f>COVER!T25</f>
        <v>brian.otten@scheffelboyle.com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215173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215173</v>
      </c>
      <c r="D92" s="2" t="str">
        <f t="shared" si="0"/>
        <v>Error?</v>
      </c>
    </row>
    <row r="93" spans="1:4" x14ac:dyDescent="0.2">
      <c r="A93" s="5">
        <v>32</v>
      </c>
      <c r="B93" s="138">
        <f>'Assets-Liab 5-6'!C41</f>
        <v>215173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163510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163510</v>
      </c>
      <c r="D123" s="2" t="str">
        <f t="shared" si="0"/>
        <v>Error?</v>
      </c>
    </row>
    <row r="124" spans="1:4" x14ac:dyDescent="0.2">
      <c r="A124" s="5">
        <v>63</v>
      </c>
      <c r="B124" s="138">
        <f>'Assets-Liab 5-6'!D41</f>
        <v>163510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60726</v>
      </c>
      <c r="D129" s="2" t="str">
        <f t="shared" si="1"/>
        <v>Error?</v>
      </c>
    </row>
    <row r="130" spans="1:4" x14ac:dyDescent="0.2">
      <c r="A130" s="5">
        <v>69</v>
      </c>
      <c r="B130" s="138">
        <f>'Assets-Liab 5-6'!E12</f>
        <v>0</v>
      </c>
      <c r="D130" s="2" t="str">
        <f t="shared" si="1"/>
        <v>Error?</v>
      </c>
    </row>
    <row r="131" spans="1:4" x14ac:dyDescent="0.2">
      <c r="A131" s="5">
        <v>70</v>
      </c>
      <c r="B131" s="138">
        <f>'Assets-Liab 5-6'!E13</f>
        <v>465691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465691</v>
      </c>
      <c r="D140" s="2" t="str">
        <f t="shared" si="1"/>
        <v>Error?</v>
      </c>
    </row>
    <row r="141" spans="1:4" x14ac:dyDescent="0.2">
      <c r="A141" s="5">
        <v>80</v>
      </c>
      <c r="B141" s="138">
        <f>'Assets-Liab 5-6'!E41</f>
        <v>465691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467817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339630</v>
      </c>
      <c r="C169" s="2" t="s">
        <v>573</v>
      </c>
      <c r="D169" s="2" t="str">
        <f t="shared" si="1"/>
        <v>Error?</v>
      </c>
    </row>
    <row r="170" spans="1:4" x14ac:dyDescent="0.2">
      <c r="A170" s="5">
        <v>109</v>
      </c>
      <c r="B170" s="138">
        <f>'Assets-Liab 5-6'!F39</f>
        <v>128187</v>
      </c>
      <c r="D170" s="2" t="str">
        <f t="shared" si="1"/>
        <v>Error?</v>
      </c>
    </row>
    <row r="171" spans="1:4" x14ac:dyDescent="0.2">
      <c r="A171" s="5">
        <v>110</v>
      </c>
      <c r="B171" s="138">
        <f>'Assets-Liab 5-6'!F41</f>
        <v>467817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221166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221166</v>
      </c>
      <c r="D189" s="2" t="str">
        <f t="shared" si="1"/>
        <v>Error?</v>
      </c>
    </row>
    <row r="190" spans="1:4" x14ac:dyDescent="0.2">
      <c r="A190" s="5">
        <v>129</v>
      </c>
      <c r="B190" s="138">
        <f>'Assets-Liab 5-6'!G41</f>
        <v>221166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98609</v>
      </c>
      <c r="D273" s="2" t="str">
        <f t="shared" si="3"/>
        <v>Error?</v>
      </c>
    </row>
    <row r="274" spans="1:4" x14ac:dyDescent="0.2">
      <c r="A274" s="5">
        <v>213</v>
      </c>
      <c r="B274" s="138">
        <f>'Assets-Liab 5-6'!M17</f>
        <v>3094635</v>
      </c>
      <c r="D274" s="2" t="str">
        <f t="shared" si="3"/>
        <v>Error?</v>
      </c>
    </row>
    <row r="275" spans="1:4" x14ac:dyDescent="0.2">
      <c r="A275" s="5">
        <v>214</v>
      </c>
      <c r="B275" s="138">
        <f>'Assets-Liab 5-6'!M18</f>
        <v>2108</v>
      </c>
      <c r="D275" s="2" t="str">
        <f t="shared" si="3"/>
        <v>Error?</v>
      </c>
    </row>
    <row r="276" spans="1:4" x14ac:dyDescent="0.2">
      <c r="A276" s="5">
        <v>215</v>
      </c>
      <c r="B276" s="138">
        <f>'Assets-Liab 5-6'!M19</f>
        <v>451162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3646514</v>
      </c>
      <c r="C279" s="2" t="s">
        <v>573</v>
      </c>
      <c r="D279" s="2" t="str">
        <f t="shared" si="3"/>
        <v>Error?</v>
      </c>
    </row>
    <row r="280" spans="1:4" x14ac:dyDescent="0.2">
      <c r="A280" s="5">
        <v>219</v>
      </c>
      <c r="B280" s="138">
        <f>'Assets-Liab 5-6'!M40</f>
        <v>3646514</v>
      </c>
      <c r="D280" s="2" t="str">
        <f t="shared" si="3"/>
        <v>Error?</v>
      </c>
    </row>
    <row r="281" spans="1:4" x14ac:dyDescent="0.2">
      <c r="A281" s="5">
        <v>220</v>
      </c>
      <c r="B281" s="138">
        <f>'Assets-Liab 5-6'!M41</f>
        <v>3646514</v>
      </c>
      <c r="C281" s="2" t="s">
        <v>573</v>
      </c>
      <c r="D281" s="2" t="str">
        <f t="shared" si="3"/>
        <v>Error?</v>
      </c>
    </row>
    <row r="282" spans="1:4" x14ac:dyDescent="0.2">
      <c r="A282" s="5">
        <v>221</v>
      </c>
      <c r="B282" s="138">
        <f>'Assets-Liab 5-6'!N21</f>
        <v>465691</v>
      </c>
      <c r="D282" s="2" t="str">
        <f t="shared" si="3"/>
        <v>Error?</v>
      </c>
    </row>
    <row r="283" spans="1:4" x14ac:dyDescent="0.2">
      <c r="A283" s="5">
        <v>222</v>
      </c>
      <c r="B283" s="138">
        <f>'Assets-Liab 5-6'!N22</f>
        <v>1011939</v>
      </c>
      <c r="D283" s="2" t="str">
        <f t="shared" si="3"/>
        <v>Error?</v>
      </c>
    </row>
    <row r="284" spans="1:4" x14ac:dyDescent="0.2">
      <c r="A284" s="5">
        <v>223</v>
      </c>
      <c r="B284" s="138">
        <f>'Assets-Liab 5-6'!N23</f>
        <v>1477630</v>
      </c>
      <c r="C284" s="2" t="s">
        <v>573</v>
      </c>
      <c r="D284" s="2" t="str">
        <f t="shared" si="3"/>
        <v>Error?</v>
      </c>
    </row>
    <row r="285" spans="1:4" x14ac:dyDescent="0.2">
      <c r="A285" s="5">
        <v>224</v>
      </c>
      <c r="B285" s="138">
        <f>'Assets-Liab 5-6'!N36</f>
        <v>1477630</v>
      </c>
      <c r="D285" s="2" t="str">
        <f t="shared" si="3"/>
        <v>Error?</v>
      </c>
    </row>
    <row r="286" spans="1:4" x14ac:dyDescent="0.2">
      <c r="A286" s="10">
        <v>225</v>
      </c>
      <c r="D286" s="2" t="str">
        <f t="shared" si="3"/>
        <v>OK</v>
      </c>
    </row>
    <row r="287" spans="1:4" x14ac:dyDescent="0.2">
      <c r="A287" s="5">
        <v>226</v>
      </c>
      <c r="B287" s="138">
        <f>'Assets-Liab 5-6'!N37</f>
        <v>1477630</v>
      </c>
      <c r="C287" s="2" t="s">
        <v>573</v>
      </c>
      <c r="D287" s="2" t="str">
        <f t="shared" si="3"/>
        <v>Error?</v>
      </c>
    </row>
    <row r="288" spans="1:4" x14ac:dyDescent="0.2">
      <c r="A288" s="5">
        <v>227</v>
      </c>
      <c r="B288" s="138">
        <f>'Assets-Liab 5-6'!N41</f>
        <v>1477630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1211133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188178</v>
      </c>
      <c r="D717" s="2" t="str">
        <f t="shared" si="10"/>
        <v>Error?</v>
      </c>
    </row>
    <row r="718" spans="1:4" x14ac:dyDescent="0.2">
      <c r="A718" s="5">
        <v>657</v>
      </c>
      <c r="B718" s="138">
        <f>'Expenditures 15-22'!C14</f>
        <v>74421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1833724</v>
      </c>
      <c r="C720" s="2" t="s">
        <v>573</v>
      </c>
      <c r="D720" s="2" t="str">
        <f t="shared" si="10"/>
        <v>Error?</v>
      </c>
    </row>
    <row r="721" spans="1:4" x14ac:dyDescent="0.2">
      <c r="A721" s="5">
        <v>660</v>
      </c>
      <c r="B721" s="138">
        <f>'Expenditures 15-22'!C36</f>
        <v>27576</v>
      </c>
      <c r="D721" s="2" t="str">
        <f t="shared" si="10"/>
        <v>Error?</v>
      </c>
    </row>
    <row r="722" spans="1:4" x14ac:dyDescent="0.2">
      <c r="A722" s="5">
        <v>661</v>
      </c>
      <c r="B722" s="138">
        <f>'Expenditures 15-22'!C37</f>
        <v>2718</v>
      </c>
      <c r="D722" s="2" t="str">
        <f t="shared" si="10"/>
        <v>Error?</v>
      </c>
    </row>
    <row r="723" spans="1:4" x14ac:dyDescent="0.2">
      <c r="A723" s="5">
        <v>662</v>
      </c>
      <c r="B723" s="138">
        <f>'Expenditures 15-22'!C38</f>
        <v>9465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39759</v>
      </c>
      <c r="C727" s="2" t="s">
        <v>573</v>
      </c>
      <c r="D727" s="2" t="str">
        <f t="shared" si="10"/>
        <v>Error?</v>
      </c>
    </row>
    <row r="728" spans="1:4" x14ac:dyDescent="0.2">
      <c r="A728" s="5">
        <v>667</v>
      </c>
      <c r="B728" s="138">
        <f>'Expenditures 15-22'!C44</f>
        <v>48673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48673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98696</v>
      </c>
      <c r="D733" s="2" t="str">
        <f t="shared" si="10"/>
        <v>Error?</v>
      </c>
    </row>
    <row r="734" spans="1:4" x14ac:dyDescent="0.2">
      <c r="A734" s="5">
        <v>673</v>
      </c>
      <c r="B734" s="138">
        <f>'Expenditures 15-22'!C53</f>
        <v>98696</v>
      </c>
      <c r="C734" s="2" t="s">
        <v>573</v>
      </c>
      <c r="D734" s="2" t="str">
        <f t="shared" si="10"/>
        <v>Error?</v>
      </c>
    </row>
    <row r="735" spans="1:4" x14ac:dyDescent="0.2">
      <c r="A735" s="5">
        <v>674</v>
      </c>
      <c r="B735" s="138">
        <f>'Expenditures 15-22'!C55</f>
        <v>146611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146611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81641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25210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106851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440590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2274314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379218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57392</v>
      </c>
      <c r="D775" s="2" t="str">
        <f t="shared" si="11"/>
        <v>Error?</v>
      </c>
    </row>
    <row r="776" spans="1:4" x14ac:dyDescent="0.2">
      <c r="A776" s="5">
        <v>715</v>
      </c>
      <c r="B776" s="138">
        <f>'Expenditures 15-22'!D14</f>
        <v>3425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564031</v>
      </c>
      <c r="C778" s="2" t="s">
        <v>573</v>
      </c>
      <c r="D778" s="2" t="str">
        <f t="shared" si="11"/>
        <v>Error?</v>
      </c>
    </row>
    <row r="779" spans="1:4" x14ac:dyDescent="0.2">
      <c r="A779" s="5">
        <v>718</v>
      </c>
      <c r="B779" s="138">
        <f>'Expenditures 15-22'!D36</f>
        <v>15368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6289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21657</v>
      </c>
      <c r="C785" s="2" t="s">
        <v>573</v>
      </c>
      <c r="D785" s="2" t="str">
        <f t="shared" si="11"/>
        <v>Error?</v>
      </c>
    </row>
    <row r="786" spans="1:4" x14ac:dyDescent="0.2">
      <c r="A786" s="5">
        <v>725</v>
      </c>
      <c r="B786" s="138">
        <f>'Expenditures 15-22'!D44</f>
        <v>15952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15952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32574</v>
      </c>
      <c r="D791" s="2" t="str">
        <f t="shared" si="11"/>
        <v>Error?</v>
      </c>
    </row>
    <row r="792" spans="1:4" x14ac:dyDescent="0.2">
      <c r="A792" s="5">
        <v>731</v>
      </c>
      <c r="B792" s="138">
        <f>'Expenditures 15-22'!D53</f>
        <v>32574</v>
      </c>
      <c r="C792" s="2" t="s">
        <v>573</v>
      </c>
      <c r="D792" s="2" t="str">
        <f t="shared" si="11"/>
        <v>Error?</v>
      </c>
    </row>
    <row r="793" spans="1:4" x14ac:dyDescent="0.2">
      <c r="A793" s="5">
        <v>732</v>
      </c>
      <c r="B793" s="138">
        <f>'Expenditures 15-22'!D55</f>
        <v>45156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45156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14005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14124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129463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693494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250</v>
      </c>
      <c r="D833" s="2" t="str">
        <f t="shared" si="12"/>
        <v>Error?</v>
      </c>
    </row>
    <row r="834" spans="1:4" x14ac:dyDescent="0.2">
      <c r="A834" s="5">
        <v>773</v>
      </c>
      <c r="B834" s="138">
        <f>'Expenditures 15-22'!E14</f>
        <v>20693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49720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112</v>
      </c>
      <c r="D838" s="2" t="str">
        <f t="shared" si="12"/>
        <v>Error?</v>
      </c>
    </row>
    <row r="839" spans="1:4" x14ac:dyDescent="0.2">
      <c r="A839" s="5">
        <v>778</v>
      </c>
      <c r="B839" s="138">
        <f>'Expenditures 15-22'!E38</f>
        <v>927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29837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30876</v>
      </c>
      <c r="C843" s="2" t="s">
        <v>573</v>
      </c>
      <c r="D843" s="2" t="str">
        <f t="shared" si="12"/>
        <v>Error?</v>
      </c>
    </row>
    <row r="844" spans="1:4" x14ac:dyDescent="0.2">
      <c r="A844" s="5">
        <v>783</v>
      </c>
      <c r="B844" s="138">
        <f>'Expenditures 15-22'!E44</f>
        <v>4816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4816</v>
      </c>
      <c r="C847" s="2" t="s">
        <v>573</v>
      </c>
      <c r="D847" s="2" t="str">
        <f t="shared" si="12"/>
        <v>Error?</v>
      </c>
    </row>
    <row r="848" spans="1:4" x14ac:dyDescent="0.2">
      <c r="A848" s="5">
        <v>787</v>
      </c>
      <c r="B848" s="138">
        <f>'Expenditures 15-22'!E49</f>
        <v>8516</v>
      </c>
      <c r="D848" s="2" t="str">
        <f t="shared" si="12"/>
        <v>Error?</v>
      </c>
    </row>
    <row r="849" spans="1:4" x14ac:dyDescent="0.2">
      <c r="A849" s="5">
        <v>788</v>
      </c>
      <c r="B849" s="138">
        <f>'Expenditures 15-22'!E50</f>
        <v>4675</v>
      </c>
      <c r="D849" s="2" t="str">
        <f t="shared" si="12"/>
        <v>Error?</v>
      </c>
    </row>
    <row r="850" spans="1:4" x14ac:dyDescent="0.2">
      <c r="A850" s="5">
        <v>789</v>
      </c>
      <c r="B850" s="138">
        <f>'Expenditures 15-22'!E53</f>
        <v>13191</v>
      </c>
      <c r="C850" s="2" t="s">
        <v>573</v>
      </c>
      <c r="D850" s="2" t="str">
        <f t="shared" si="12"/>
        <v>Error?</v>
      </c>
    </row>
    <row r="851" spans="1:4" x14ac:dyDescent="0.2">
      <c r="A851" s="5">
        <v>790</v>
      </c>
      <c r="B851" s="138">
        <f>'Expenditures 15-22'!E55</f>
        <v>20992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20992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70004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119724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106082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2323</v>
      </c>
      <c r="D891" s="2" t="str">
        <f t="shared" si="12"/>
        <v>Error?</v>
      </c>
    </row>
    <row r="892" spans="1:4" x14ac:dyDescent="0.2">
      <c r="A892" s="5">
        <v>831</v>
      </c>
      <c r="B892" s="138">
        <f>'Expenditures 15-22'!F14</f>
        <v>6466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115220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2080</v>
      </c>
      <c r="D896" s="2" t="str">
        <f t="shared" si="13"/>
        <v>Error?</v>
      </c>
    </row>
    <row r="897" spans="1:4" x14ac:dyDescent="0.2">
      <c r="A897" s="5">
        <v>836</v>
      </c>
      <c r="B897" s="138">
        <f>'Expenditures 15-22'!F38</f>
        <v>1358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3333</v>
      </c>
      <c r="D900" s="2" t="str">
        <f t="shared" si="13"/>
        <v>Error?</v>
      </c>
    </row>
    <row r="901" spans="1:4" x14ac:dyDescent="0.2">
      <c r="A901" s="5">
        <v>840</v>
      </c>
      <c r="B901" s="138">
        <f>'Expenditures 15-22'!F42</f>
        <v>6771</v>
      </c>
      <c r="C901" s="2" t="s">
        <v>573</v>
      </c>
      <c r="D901" s="2" t="str">
        <f t="shared" si="13"/>
        <v>Error?</v>
      </c>
    </row>
    <row r="902" spans="1:4" x14ac:dyDescent="0.2">
      <c r="A902" s="5">
        <v>841</v>
      </c>
      <c r="B902" s="138">
        <f>'Expenditures 15-22'!F44</f>
        <v>10952</v>
      </c>
      <c r="D902" s="2" t="str">
        <f t="shared" si="13"/>
        <v>Error?</v>
      </c>
    </row>
    <row r="903" spans="1:4" x14ac:dyDescent="0.2">
      <c r="A903" s="5">
        <v>842</v>
      </c>
      <c r="B903" s="138">
        <f>'Expenditures 15-22'!F45</f>
        <v>2553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13505</v>
      </c>
      <c r="C905" s="2" t="s">
        <v>573</v>
      </c>
      <c r="D905" s="2" t="str">
        <f t="shared" si="13"/>
        <v>Error?</v>
      </c>
    </row>
    <row r="906" spans="1:4" x14ac:dyDescent="0.2">
      <c r="A906" s="5">
        <v>845</v>
      </c>
      <c r="B906" s="138">
        <f>'Expenditures 15-22'!F49</f>
        <v>1013</v>
      </c>
      <c r="D906" s="2" t="str">
        <f t="shared" si="13"/>
        <v>Error?</v>
      </c>
    </row>
    <row r="907" spans="1:4" x14ac:dyDescent="0.2">
      <c r="A907" s="5">
        <v>846</v>
      </c>
      <c r="B907" s="138">
        <f>'Expenditures 15-22'!F50</f>
        <v>1056</v>
      </c>
      <c r="D907" s="2" t="str">
        <f t="shared" si="13"/>
        <v>Error?</v>
      </c>
    </row>
    <row r="908" spans="1:4" x14ac:dyDescent="0.2">
      <c r="A908" s="5">
        <v>847</v>
      </c>
      <c r="B908" s="138">
        <f>'Expenditures 15-22'!F53</f>
        <v>2069</v>
      </c>
      <c r="C908" s="2" t="s">
        <v>573</v>
      </c>
      <c r="D908" s="2" t="str">
        <f t="shared" si="13"/>
        <v>Error?</v>
      </c>
    </row>
    <row r="909" spans="1:4" x14ac:dyDescent="0.2">
      <c r="A909" s="5">
        <v>848</v>
      </c>
      <c r="B909" s="138">
        <f>'Expenditures 15-22'!F55</f>
        <v>536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89455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89455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112336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227556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51005</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51005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51005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51005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8662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470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400</v>
      </c>
      <c r="D1016" s="2" t="str">
        <f t="shared" si="14"/>
        <v>Error?</v>
      </c>
    </row>
    <row r="1017" spans="1:4" x14ac:dyDescent="0.2">
      <c r="A1017" s="5">
        <v>956</v>
      </c>
      <c r="B1017" s="138">
        <f>'Expenditures 15-22'!H42</f>
        <v>870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3252</v>
      </c>
      <c r="D1022" s="2" t="str">
        <f t="shared" si="14"/>
        <v>Error?</v>
      </c>
    </row>
    <row r="1023" spans="1:4" x14ac:dyDescent="0.2">
      <c r="A1023" s="5">
        <v>962</v>
      </c>
      <c r="B1023" s="138">
        <f>'Expenditures 15-22'!H50</f>
        <v>115</v>
      </c>
      <c r="D1023" s="2" t="str">
        <f t="shared" ref="D1023:D1086" si="15">IF(ISBLANK(B1023),"OK",IF(A1023-B1023=0,"OK","Error?"))</f>
        <v>Error?</v>
      </c>
    </row>
    <row r="1024" spans="1:4" x14ac:dyDescent="0.2">
      <c r="A1024" s="5">
        <v>963</v>
      </c>
      <c r="B1024" s="138">
        <f>'Expenditures 15-22'!H53</f>
        <v>3367</v>
      </c>
      <c r="C1024" s="2" t="s">
        <v>573</v>
      </c>
      <c r="D1024" s="2" t="str">
        <f t="shared" si="15"/>
        <v>Error?</v>
      </c>
    </row>
    <row r="1025" spans="1:4" x14ac:dyDescent="0.2">
      <c r="A1025" s="5">
        <v>964</v>
      </c>
      <c r="B1025" s="138">
        <f>'Expenditures 15-22'!H55</f>
        <v>930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262476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276424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1719904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248143</v>
      </c>
      <c r="C1105" s="2" t="s">
        <v>573</v>
      </c>
      <c r="D1105" s="2" t="str">
        <f t="shared" si="16"/>
        <v>Error?</v>
      </c>
    </row>
    <row r="1106" spans="1:4" x14ac:dyDescent="0.2">
      <c r="A1106" s="5">
        <v>1045</v>
      </c>
      <c r="B1106" s="138">
        <f>'Expenditures 15-22'!K14</f>
        <v>111670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2571357</v>
      </c>
      <c r="C1108" s="2" t="s">
        <v>573</v>
      </c>
      <c r="D1108" s="2" t="str">
        <f t="shared" si="16"/>
        <v>Error?</v>
      </c>
    </row>
    <row r="1109" spans="1:4" x14ac:dyDescent="0.2">
      <c r="A1109" s="5">
        <v>1048</v>
      </c>
      <c r="B1109" s="138">
        <f>'Expenditures 15-22'!K36</f>
        <v>42944</v>
      </c>
      <c r="C1109" s="2" t="s">
        <v>573</v>
      </c>
      <c r="D1109" s="2" t="str">
        <f t="shared" si="16"/>
        <v>Error?</v>
      </c>
    </row>
    <row r="1110" spans="1:4" x14ac:dyDescent="0.2">
      <c r="A1110" s="5">
        <v>1049</v>
      </c>
      <c r="B1110" s="138">
        <f>'Expenditures 15-22'!K37</f>
        <v>4910</v>
      </c>
      <c r="C1110" s="2" t="s">
        <v>573</v>
      </c>
      <c r="D1110" s="2" t="str">
        <f t="shared" si="16"/>
        <v>Error?</v>
      </c>
    </row>
    <row r="1111" spans="1:4" x14ac:dyDescent="0.2">
      <c r="A1111" s="5">
        <v>1050</v>
      </c>
      <c r="B1111" s="138">
        <f>'Expenditures 15-22'!K38</f>
        <v>18509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29837</v>
      </c>
      <c r="C1113" s="2" t="s">
        <v>573</v>
      </c>
      <c r="D1113" s="2" t="str">
        <f t="shared" si="16"/>
        <v>Error?</v>
      </c>
    </row>
    <row r="1114" spans="1:4" x14ac:dyDescent="0.2">
      <c r="A1114" s="5">
        <v>1053</v>
      </c>
      <c r="B1114" s="138">
        <f>'Expenditures 15-22'!K41</f>
        <v>3733</v>
      </c>
      <c r="C1114" s="2" t="s">
        <v>573</v>
      </c>
      <c r="D1114" s="2" t="str">
        <f t="shared" si="16"/>
        <v>Error?</v>
      </c>
    </row>
    <row r="1115" spans="1:4" x14ac:dyDescent="0.2">
      <c r="A1115" s="5">
        <v>1054</v>
      </c>
      <c r="B1115" s="138">
        <f>'Expenditures 15-22'!K42</f>
        <v>99933</v>
      </c>
      <c r="C1115" s="2" t="s">
        <v>573</v>
      </c>
      <c r="D1115" s="2" t="str">
        <f t="shared" si="16"/>
        <v>Error?</v>
      </c>
    </row>
    <row r="1116" spans="1:4" x14ac:dyDescent="0.2">
      <c r="A1116" s="5">
        <v>1055</v>
      </c>
      <c r="B1116" s="138">
        <f>'Expenditures 15-22'!K44</f>
        <v>80393</v>
      </c>
      <c r="C1116" s="2" t="s">
        <v>573</v>
      </c>
      <c r="D1116" s="2" t="str">
        <f t="shared" si="16"/>
        <v>Error?</v>
      </c>
    </row>
    <row r="1117" spans="1:4" x14ac:dyDescent="0.2">
      <c r="A1117" s="5">
        <v>1056</v>
      </c>
      <c r="B1117" s="138">
        <f>'Expenditures 15-22'!K45</f>
        <v>2553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82946</v>
      </c>
      <c r="C1119" s="2" t="s">
        <v>573</v>
      </c>
      <c r="D1119" s="2" t="str">
        <f t="shared" si="16"/>
        <v>Error?</v>
      </c>
    </row>
    <row r="1120" spans="1:4" x14ac:dyDescent="0.2">
      <c r="A1120" s="5">
        <v>1059</v>
      </c>
      <c r="B1120" s="138">
        <f>'Expenditures 15-22'!K49</f>
        <v>12781</v>
      </c>
      <c r="C1120" s="2" t="s">
        <v>573</v>
      </c>
      <c r="D1120" s="2" t="str">
        <f t="shared" si="16"/>
        <v>Error?</v>
      </c>
    </row>
    <row r="1121" spans="1:4" x14ac:dyDescent="0.2">
      <c r="A1121" s="5">
        <v>1060</v>
      </c>
      <c r="B1121" s="138">
        <f>'Expenditures 15-22'!K50</f>
        <v>137116</v>
      </c>
      <c r="C1121" s="2" t="s">
        <v>573</v>
      </c>
      <c r="D1121" s="2" t="str">
        <f t="shared" si="16"/>
        <v>Error?</v>
      </c>
    </row>
    <row r="1122" spans="1:4" x14ac:dyDescent="0.2">
      <c r="A1122" s="5">
        <v>1061</v>
      </c>
      <c r="B1122" s="138">
        <f>'Expenditures 15-22'!K53</f>
        <v>149897</v>
      </c>
      <c r="C1122" s="2" t="s">
        <v>573</v>
      </c>
      <c r="D1122" s="2" t="str">
        <f t="shared" si="16"/>
        <v>Error?</v>
      </c>
    </row>
    <row r="1123" spans="1:4" x14ac:dyDescent="0.2">
      <c r="A1123" s="5">
        <v>1062</v>
      </c>
      <c r="B1123" s="138">
        <f>'Expenditures 15-22'!K55</f>
        <v>214225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214225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81889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51005</v>
      </c>
      <c r="C1129" s="2" t="s">
        <v>573</v>
      </c>
      <c r="D1129" s="2" t="str">
        <f t="shared" si="16"/>
        <v>Error?</v>
      </c>
    </row>
    <row r="1130" spans="1:4" x14ac:dyDescent="0.2">
      <c r="A1130" s="5">
        <v>1069</v>
      </c>
      <c r="B1130" s="138">
        <f>'Expenditures 15-22'!K63</f>
        <v>128789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261683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808684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262476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3642517</v>
      </c>
      <c r="C1152" s="2" t="s">
        <v>573</v>
      </c>
      <c r="D1152" s="2" t="str">
        <f t="shared" si="17"/>
        <v>Error?</v>
      </c>
    </row>
    <row r="1153" spans="1:4" x14ac:dyDescent="0.2">
      <c r="A1153" s="5">
        <v>1092</v>
      </c>
      <c r="B1153" s="138">
        <f>'Expenditures 15-22'!K115</f>
        <v>-211766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136028</v>
      </c>
      <c r="D1221" s="2" t="str">
        <f t="shared" si="18"/>
        <v>Error?</v>
      </c>
    </row>
    <row r="1222" spans="1:4" x14ac:dyDescent="0.2">
      <c r="A1222" s="10">
        <v>1161</v>
      </c>
      <c r="D1222" s="2" t="str">
        <f t="shared" si="18"/>
        <v>OK</v>
      </c>
    </row>
    <row r="1223" spans="1:4" x14ac:dyDescent="0.2">
      <c r="A1223" s="5">
        <v>1162</v>
      </c>
      <c r="B1223" s="138">
        <f>'Expenditures 15-22'!C127</f>
        <v>136028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136028</v>
      </c>
      <c r="C1225" s="2" t="s">
        <v>573</v>
      </c>
      <c r="D1225" s="2" t="str">
        <f t="shared" si="18"/>
        <v>Error?</v>
      </c>
    </row>
    <row r="1226" spans="1:4" x14ac:dyDescent="0.2">
      <c r="A1226" s="5">
        <v>1165</v>
      </c>
      <c r="B1226" s="138">
        <f>'Expenditures 15-22'!C151</f>
        <v>136028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36012</v>
      </c>
      <c r="D1229" s="2" t="str">
        <f t="shared" si="18"/>
        <v>Error?</v>
      </c>
    </row>
    <row r="1230" spans="1:4" x14ac:dyDescent="0.2">
      <c r="A1230" s="10">
        <v>1169</v>
      </c>
      <c r="D1230" s="2" t="str">
        <f t="shared" si="18"/>
        <v>OK</v>
      </c>
    </row>
    <row r="1231" spans="1:4" x14ac:dyDescent="0.2">
      <c r="A1231" s="5">
        <v>1170</v>
      </c>
      <c r="B1231" s="138">
        <f>'Expenditures 15-22'!D127</f>
        <v>36012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36012</v>
      </c>
      <c r="C1233" s="2" t="s">
        <v>573</v>
      </c>
      <c r="D1233" s="2" t="str">
        <f t="shared" si="18"/>
        <v>Error?</v>
      </c>
    </row>
    <row r="1234" spans="1:4" x14ac:dyDescent="0.2">
      <c r="A1234" s="5">
        <v>1173</v>
      </c>
      <c r="B1234" s="138">
        <f>'Expenditures 15-22'!D151</f>
        <v>36012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114098</v>
      </c>
      <c r="D1237" s="2" t="str">
        <f t="shared" si="18"/>
        <v>Error?</v>
      </c>
    </row>
    <row r="1238" spans="1:4" x14ac:dyDescent="0.2">
      <c r="A1238" s="10">
        <v>1177</v>
      </c>
      <c r="D1238" s="2" t="str">
        <f t="shared" si="18"/>
        <v>OK</v>
      </c>
    </row>
    <row r="1239" spans="1:4" x14ac:dyDescent="0.2">
      <c r="A1239" s="5">
        <v>1178</v>
      </c>
      <c r="B1239" s="138">
        <f>'Expenditures 15-22'!E127</f>
        <v>114098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114098</v>
      </c>
      <c r="C1241" s="2" t="s">
        <v>573</v>
      </c>
      <c r="D1241" s="2" t="str">
        <f t="shared" si="18"/>
        <v>Error?</v>
      </c>
    </row>
    <row r="1242" spans="1:4" x14ac:dyDescent="0.2">
      <c r="A1242" s="5">
        <v>1181</v>
      </c>
      <c r="B1242" s="138">
        <f>'Expenditures 15-22'!E151</f>
        <v>114098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180718</v>
      </c>
      <c r="D1245" s="2" t="str">
        <f t="shared" si="18"/>
        <v>Error?</v>
      </c>
    </row>
    <row r="1246" spans="1:4" x14ac:dyDescent="0.2">
      <c r="A1246" s="10">
        <v>1185</v>
      </c>
      <c r="D1246" s="2" t="str">
        <f t="shared" si="18"/>
        <v>OK</v>
      </c>
    </row>
    <row r="1247" spans="1:4" x14ac:dyDescent="0.2">
      <c r="A1247" s="5">
        <v>1186</v>
      </c>
      <c r="B1247" s="138">
        <f>'Expenditures 15-22'!F127</f>
        <v>180718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180718</v>
      </c>
      <c r="C1249" s="2" t="s">
        <v>573</v>
      </c>
      <c r="D1249" s="2" t="str">
        <f t="shared" si="18"/>
        <v>Error?</v>
      </c>
    </row>
    <row r="1250" spans="1:4" x14ac:dyDescent="0.2">
      <c r="A1250" s="5">
        <v>1189</v>
      </c>
      <c r="B1250" s="138">
        <f>'Expenditures 15-22'!F151</f>
        <v>180718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466856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466856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466856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466856</v>
      </c>
      <c r="C1288" s="2" t="s">
        <v>573</v>
      </c>
      <c r="D1288" s="2" t="str">
        <f t="shared" si="19"/>
        <v>Error?</v>
      </c>
    </row>
    <row r="1289" spans="1:4" x14ac:dyDescent="0.2">
      <c r="A1289" s="5">
        <v>1228</v>
      </c>
      <c r="B1289" s="138">
        <f>'Expenditures 15-22'!K152</f>
        <v>-115911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75101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689000</v>
      </c>
      <c r="D1315" s="2" t="str">
        <f t="shared" si="19"/>
        <v>Error?</v>
      </c>
    </row>
    <row r="1316" spans="1:4" x14ac:dyDescent="0.2">
      <c r="A1316" s="5">
        <v>1255</v>
      </c>
      <c r="B1316" s="138">
        <f>'Expenditures 15-22'!H171</f>
        <v>1183</v>
      </c>
      <c r="D1316" s="2" t="str">
        <f t="shared" si="19"/>
        <v>Error?</v>
      </c>
    </row>
    <row r="1317" spans="1:4" x14ac:dyDescent="0.2">
      <c r="A1317" s="5">
        <v>1256</v>
      </c>
      <c r="B1317" s="138">
        <f>'Expenditures 15-22'!H172</f>
        <v>765284</v>
      </c>
      <c r="C1317" s="2" t="s">
        <v>573</v>
      </c>
      <c r="D1317" s="2" t="str">
        <f t="shared" si="19"/>
        <v>Error?</v>
      </c>
    </row>
    <row r="1318" spans="1:4" x14ac:dyDescent="0.2">
      <c r="A1318" s="5">
        <v>1257</v>
      </c>
      <c r="B1318" s="138">
        <f>'Expenditures 15-22'!H174</f>
        <v>765284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75101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689000</v>
      </c>
      <c r="C1329" s="2" t="s">
        <v>573</v>
      </c>
      <c r="D1329" s="2" t="str">
        <f t="shared" si="19"/>
        <v>Error?</v>
      </c>
    </row>
    <row r="1330" spans="1:4" x14ac:dyDescent="0.2">
      <c r="A1330" s="5">
        <v>1269</v>
      </c>
      <c r="B1330" s="138">
        <f>'Expenditures 15-22'!K171</f>
        <v>1183</v>
      </c>
      <c r="C1330" s="2" t="s">
        <v>573</v>
      </c>
      <c r="D1330" s="2" t="str">
        <f t="shared" si="19"/>
        <v>Error?</v>
      </c>
    </row>
    <row r="1331" spans="1:4" x14ac:dyDescent="0.2">
      <c r="A1331" s="5">
        <v>1270</v>
      </c>
      <c r="B1331" s="138">
        <f>'Expenditures 15-22'!K172</f>
        <v>765284</v>
      </c>
      <c r="C1331" s="2" t="s">
        <v>573</v>
      </c>
      <c r="D1331" s="2" t="str">
        <f t="shared" si="19"/>
        <v>Error?</v>
      </c>
    </row>
    <row r="1332" spans="1:4" x14ac:dyDescent="0.2">
      <c r="A1332" s="5">
        <v>1271</v>
      </c>
      <c r="B1332" s="138">
        <f>'Expenditures 15-22'!K174</f>
        <v>765284</v>
      </c>
      <c r="C1332" s="2" t="s">
        <v>573</v>
      </c>
      <c r="D1332" s="2" t="str">
        <f t="shared" si="19"/>
        <v>Error?</v>
      </c>
    </row>
    <row r="1333" spans="1:4" x14ac:dyDescent="0.2">
      <c r="A1333" s="5">
        <v>1272</v>
      </c>
      <c r="B1333" s="138">
        <f>'Expenditures 15-22'!K175</f>
        <v>-162528</v>
      </c>
      <c r="C1333" s="2" t="s">
        <v>573</v>
      </c>
      <c r="D1333" s="2" t="str">
        <f t="shared" si="19"/>
        <v>Error?</v>
      </c>
    </row>
    <row r="1334" spans="1:4" x14ac:dyDescent="0.2">
      <c r="A1334" s="10">
        <v>1273</v>
      </c>
      <c r="D1334" s="2" t="str">
        <f t="shared" si="19"/>
        <v>OK</v>
      </c>
    </row>
    <row r="1335" spans="1:4" x14ac:dyDescent="0.2">
      <c r="A1335" s="5">
        <v>1274</v>
      </c>
      <c r="B1335" s="138">
        <f>'Expenditures 15-22'!C182</f>
        <v>102285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102285</v>
      </c>
      <c r="C1339" s="2" t="s">
        <v>573</v>
      </c>
      <c r="D1339" s="2" t="str">
        <f t="shared" si="19"/>
        <v>Error?</v>
      </c>
    </row>
    <row r="1340" spans="1:4" x14ac:dyDescent="0.2">
      <c r="A1340" s="5">
        <v>1279</v>
      </c>
      <c r="B1340" s="138">
        <f>'Expenditures 15-22'!C210</f>
        <v>102285</v>
      </c>
      <c r="C1340" s="2" t="s">
        <v>573</v>
      </c>
      <c r="D1340" s="2" t="str">
        <f t="shared" si="19"/>
        <v>Error?</v>
      </c>
    </row>
    <row r="1341" spans="1:4" x14ac:dyDescent="0.2">
      <c r="A1341" s="5">
        <v>1280</v>
      </c>
      <c r="B1341" s="138">
        <f>'Expenditures 15-22'!D182</f>
        <v>15641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15641</v>
      </c>
      <c r="C1345" s="2" t="s">
        <v>573</v>
      </c>
      <c r="D1345" s="2" t="str">
        <f t="shared" si="20"/>
        <v>Error?</v>
      </c>
    </row>
    <row r="1346" spans="1:4" x14ac:dyDescent="0.2">
      <c r="A1346" s="5">
        <v>1285</v>
      </c>
      <c r="B1346" s="138">
        <f>'Expenditures 15-22'!D210</f>
        <v>15641</v>
      </c>
      <c r="C1346" s="2" t="s">
        <v>573</v>
      </c>
      <c r="D1346" s="2" t="str">
        <f t="shared" si="20"/>
        <v>Error?</v>
      </c>
    </row>
    <row r="1347" spans="1:4" x14ac:dyDescent="0.2">
      <c r="A1347" s="5">
        <v>1286</v>
      </c>
      <c r="B1347" s="138">
        <f>'Expenditures 15-22'!E182</f>
        <v>13048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13048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13048</v>
      </c>
      <c r="C1353" s="2" t="s">
        <v>573</v>
      </c>
      <c r="D1353" s="2" t="str">
        <f t="shared" si="20"/>
        <v>Error?</v>
      </c>
    </row>
    <row r="1354" spans="1:4" x14ac:dyDescent="0.2">
      <c r="A1354" s="5">
        <v>1293</v>
      </c>
      <c r="B1354" s="138">
        <f>'Expenditures 15-22'!F182</f>
        <v>59506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59506</v>
      </c>
      <c r="C1358" s="2" t="s">
        <v>573</v>
      </c>
      <c r="D1358" s="2" t="str">
        <f t="shared" si="20"/>
        <v>Error?</v>
      </c>
    </row>
    <row r="1359" spans="1:4" x14ac:dyDescent="0.2">
      <c r="A1359" s="5">
        <v>1298</v>
      </c>
      <c r="B1359" s="138">
        <f>'Expenditures 15-22'!F210</f>
        <v>59506</v>
      </c>
      <c r="C1359" s="2" t="s">
        <v>573</v>
      </c>
      <c r="D1359" s="2" t="str">
        <f t="shared" si="20"/>
        <v>Error?</v>
      </c>
    </row>
    <row r="1360" spans="1:4" x14ac:dyDescent="0.2">
      <c r="A1360" s="5">
        <v>1299</v>
      </c>
      <c r="B1360" s="138">
        <f>'Expenditures 15-22'!G182</f>
        <v>12004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12004</v>
      </c>
      <c r="C1364" s="2" t="s">
        <v>573</v>
      </c>
      <c r="D1364" s="2" t="str">
        <f t="shared" si="20"/>
        <v>Error?</v>
      </c>
    </row>
    <row r="1365" spans="1:4" x14ac:dyDescent="0.2">
      <c r="A1365" s="5">
        <v>1304</v>
      </c>
      <c r="B1365" s="138">
        <f>'Expenditures 15-22'!G210</f>
        <v>12004</v>
      </c>
      <c r="C1365" s="2" t="s">
        <v>573</v>
      </c>
      <c r="D1365" s="2" t="str">
        <f t="shared" si="20"/>
        <v>Error?</v>
      </c>
    </row>
    <row r="1366" spans="1:4" x14ac:dyDescent="0.2">
      <c r="A1366" s="5">
        <v>1305</v>
      </c>
      <c r="B1366" s="138">
        <f>'Expenditures 15-22'!H182</f>
        <v>441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441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441</v>
      </c>
      <c r="C1376" s="2" t="s">
        <v>573</v>
      </c>
      <c r="D1376" s="2" t="str">
        <f t="shared" si="20"/>
        <v>Error?</v>
      </c>
    </row>
    <row r="1377" spans="1:4" x14ac:dyDescent="0.2">
      <c r="A1377" s="5">
        <v>1316</v>
      </c>
      <c r="B1377" s="138">
        <f>'Expenditures 15-22'!K182</f>
        <v>202925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202925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202925</v>
      </c>
      <c r="C1388" s="2" t="s">
        <v>573</v>
      </c>
      <c r="D1388" s="2" t="str">
        <f t="shared" si="20"/>
        <v>Error?</v>
      </c>
    </row>
    <row r="1389" spans="1:4" x14ac:dyDescent="0.2">
      <c r="A1389" s="5">
        <v>1328</v>
      </c>
      <c r="B1389" s="138">
        <f>'Expenditures 15-22'!K211</f>
        <v>80601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2787</v>
      </c>
      <c r="D1407" s="2" t="str">
        <f t="shared" ref="D1407:D1470" si="21">IF(ISBLANK(B1407),"OK",IF(A1407-B1407=0,"OK","Error?"))</f>
        <v>Error?</v>
      </c>
    </row>
    <row r="1408" spans="1:4" x14ac:dyDescent="0.2">
      <c r="A1408" s="5">
        <v>1347</v>
      </c>
      <c r="B1408" s="138">
        <f>'Expenditures 15-22'!D223</f>
        <v>3402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49553</v>
      </c>
      <c r="C1410" s="2" t="s">
        <v>573</v>
      </c>
      <c r="D1410" s="2" t="str">
        <f t="shared" si="21"/>
        <v>Error?</v>
      </c>
    </row>
    <row r="1411" spans="1:4" x14ac:dyDescent="0.2">
      <c r="A1411" s="5">
        <v>1350</v>
      </c>
      <c r="B1411" s="138">
        <f>'Expenditures 15-22'!D232</f>
        <v>766</v>
      </c>
      <c r="D1411" s="2" t="str">
        <f t="shared" si="21"/>
        <v>Error?</v>
      </c>
    </row>
    <row r="1412" spans="1:4" x14ac:dyDescent="0.2">
      <c r="A1412" s="5">
        <v>1351</v>
      </c>
      <c r="B1412" s="138">
        <f>'Expenditures 15-22'!D233</f>
        <v>452</v>
      </c>
      <c r="D1412" s="2" t="str">
        <f t="shared" si="21"/>
        <v>Error?</v>
      </c>
    </row>
    <row r="1413" spans="1:4" x14ac:dyDescent="0.2">
      <c r="A1413" s="5">
        <v>1352</v>
      </c>
      <c r="B1413" s="138">
        <f>'Expenditures 15-22'!D234</f>
        <v>3275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4493</v>
      </c>
      <c r="C1417" s="2" t="s">
        <v>573</v>
      </c>
      <c r="D1417" s="2" t="str">
        <f t="shared" si="21"/>
        <v>Error?</v>
      </c>
    </row>
    <row r="1418" spans="1:4" x14ac:dyDescent="0.2">
      <c r="A1418" s="5">
        <v>1357</v>
      </c>
      <c r="B1418" s="138">
        <f>'Expenditures 15-22'!D240</f>
        <v>1177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1177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1637</v>
      </c>
      <c r="D1423" s="2" t="str">
        <f t="shared" si="21"/>
        <v>Error?</v>
      </c>
    </row>
    <row r="1424" spans="1:4" x14ac:dyDescent="0.2">
      <c r="A1424" s="5">
        <v>1363</v>
      </c>
      <c r="B1424" s="138">
        <f>'Expenditures 15-22'!D257</f>
        <v>1933</v>
      </c>
      <c r="C1424" s="2" t="s">
        <v>573</v>
      </c>
      <c r="D1424" s="2" t="str">
        <f t="shared" si="21"/>
        <v>Error?</v>
      </c>
    </row>
    <row r="1425" spans="1:4" x14ac:dyDescent="0.2">
      <c r="A1425" s="5">
        <v>1364</v>
      </c>
      <c r="B1425" s="138">
        <f>'Expenditures 15-22'!D259</f>
        <v>6599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6599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13387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31824</v>
      </c>
      <c r="D1431" s="2" t="str">
        <f t="shared" si="21"/>
        <v>Error?</v>
      </c>
    </row>
    <row r="1432" spans="1:4" x14ac:dyDescent="0.2">
      <c r="A1432" s="5">
        <v>1371</v>
      </c>
      <c r="B1432" s="138">
        <f>'Expenditures 15-22'!D267</f>
        <v>16658</v>
      </c>
      <c r="D1432" s="2" t="str">
        <f t="shared" si="21"/>
        <v>Error?</v>
      </c>
    </row>
    <row r="1433" spans="1:4" x14ac:dyDescent="0.2">
      <c r="A1433" s="5">
        <v>1372</v>
      </c>
      <c r="B1433" s="138">
        <f>'Expenditures 15-22'!D268</f>
        <v>6795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68664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82866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132419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2787</v>
      </c>
      <c r="C1471" s="2" t="s">
        <v>573</v>
      </c>
      <c r="D1471" s="2" t="str">
        <f t="shared" ref="D1471:D1534" si="22">IF(ISBLANK(B1471),"OK",IF(A1471-B1471=0,"OK","Error?"))</f>
        <v>Error?</v>
      </c>
    </row>
    <row r="1472" spans="1:4" x14ac:dyDescent="0.2">
      <c r="A1472" s="5">
        <v>1411</v>
      </c>
      <c r="B1472" s="138">
        <f>'Expenditures 15-22'!K223</f>
        <v>3402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49553</v>
      </c>
      <c r="C1474" s="2" t="s">
        <v>573</v>
      </c>
      <c r="D1474" s="2" t="str">
        <f t="shared" si="22"/>
        <v>Error?</v>
      </c>
    </row>
    <row r="1475" spans="1:4" x14ac:dyDescent="0.2">
      <c r="A1475" s="5">
        <v>1414</v>
      </c>
      <c r="B1475" s="138">
        <f>'Expenditures 15-22'!K232</f>
        <v>766</v>
      </c>
      <c r="C1475" s="2" t="s">
        <v>573</v>
      </c>
      <c r="D1475" s="2" t="str">
        <f t="shared" si="22"/>
        <v>Error?</v>
      </c>
    </row>
    <row r="1476" spans="1:4" x14ac:dyDescent="0.2">
      <c r="A1476" s="5">
        <v>1415</v>
      </c>
      <c r="B1476" s="138">
        <f>'Expenditures 15-22'!K233</f>
        <v>452</v>
      </c>
      <c r="C1476" s="2" t="s">
        <v>573</v>
      </c>
      <c r="D1476" s="2" t="str">
        <f t="shared" si="22"/>
        <v>Error?</v>
      </c>
    </row>
    <row r="1477" spans="1:4" x14ac:dyDescent="0.2">
      <c r="A1477" s="5">
        <v>1416</v>
      </c>
      <c r="B1477" s="138">
        <f>'Expenditures 15-22'!K234</f>
        <v>3275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4493</v>
      </c>
      <c r="C1481" s="2" t="s">
        <v>573</v>
      </c>
      <c r="D1481" s="2" t="str">
        <f t="shared" si="22"/>
        <v>Error?</v>
      </c>
    </row>
    <row r="1482" spans="1:4" x14ac:dyDescent="0.2">
      <c r="A1482" s="5">
        <v>1421</v>
      </c>
      <c r="B1482" s="138">
        <f>'Expenditures 15-22'!K240</f>
        <v>1177</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1177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1637</v>
      </c>
      <c r="C1487" s="2" t="s">
        <v>573</v>
      </c>
      <c r="D1487" s="2" t="str">
        <f t="shared" si="22"/>
        <v>Error?</v>
      </c>
    </row>
    <row r="1488" spans="1:4" x14ac:dyDescent="0.2">
      <c r="A1488" s="5">
        <v>1427</v>
      </c>
      <c r="B1488" s="138">
        <f>'Expenditures 15-22'!K257</f>
        <v>1933</v>
      </c>
      <c r="C1488" s="2" t="s">
        <v>573</v>
      </c>
      <c r="D1488" s="2" t="str">
        <f t="shared" si="22"/>
        <v>Error?</v>
      </c>
    </row>
    <row r="1489" spans="1:4" x14ac:dyDescent="0.2">
      <c r="A1489" s="5">
        <v>1428</v>
      </c>
      <c r="B1489" s="138">
        <f>'Expenditures 15-22'!K259</f>
        <v>6599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6599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13387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31824</v>
      </c>
      <c r="C1495" s="2" t="s">
        <v>573</v>
      </c>
      <c r="D1495" s="2" t="str">
        <f t="shared" si="22"/>
        <v>Error?</v>
      </c>
    </row>
    <row r="1496" spans="1:4" x14ac:dyDescent="0.2">
      <c r="A1496" s="5">
        <v>1435</v>
      </c>
      <c r="B1496" s="138">
        <f>'Expenditures 15-22'!K267</f>
        <v>16658</v>
      </c>
      <c r="C1496" s="2" t="s">
        <v>573</v>
      </c>
      <c r="D1496" s="2" t="str">
        <f t="shared" si="22"/>
        <v>Error?</v>
      </c>
    </row>
    <row r="1497" spans="1:4" x14ac:dyDescent="0.2">
      <c r="A1497" s="5">
        <v>1436</v>
      </c>
      <c r="B1497" s="138">
        <f>'Expenditures 15-22'!K268</f>
        <v>6795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68664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82866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132419</v>
      </c>
      <c r="C1517" s="2" t="s">
        <v>573</v>
      </c>
      <c r="D1517" s="2" t="str">
        <f t="shared" si="22"/>
        <v>Error?</v>
      </c>
    </row>
    <row r="1518" spans="1:4" x14ac:dyDescent="0.2">
      <c r="A1518" s="5">
        <v>1457</v>
      </c>
      <c r="B1518" s="138">
        <f>'Expenditures 15-22'!K296</f>
        <v>8935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426939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215173</v>
      </c>
      <c r="C1630" s="2" t="s">
        <v>573</v>
      </c>
      <c r="D1630" s="2" t="str">
        <f t="shared" si="24"/>
        <v>Error?</v>
      </c>
    </row>
    <row r="1631" spans="1:4" x14ac:dyDescent="0.2">
      <c r="A1631" s="5">
        <v>1570</v>
      </c>
      <c r="B1631" s="138">
        <f>'Acct Summary 7-8'!D79</f>
        <v>279421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163510</v>
      </c>
      <c r="C1644" s="2" t="s">
        <v>573</v>
      </c>
      <c r="D1644" s="2" t="str">
        <f t="shared" si="24"/>
        <v>Error?</v>
      </c>
    </row>
    <row r="1645" spans="1:4" x14ac:dyDescent="0.2">
      <c r="A1645" s="5">
        <v>1584</v>
      </c>
      <c r="B1645" s="138">
        <f>'Acct Summary 7-8'!E79</f>
        <v>628219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465691</v>
      </c>
      <c r="C1658" s="2" t="s">
        <v>573</v>
      </c>
      <c r="D1658" s="2" t="str">
        <f t="shared" si="24"/>
        <v>Error?</v>
      </c>
    </row>
    <row r="1659" spans="1:4" x14ac:dyDescent="0.2">
      <c r="A1659" s="5">
        <v>1598</v>
      </c>
      <c r="B1659" s="138">
        <f>'Acct Summary 7-8'!F79</f>
        <v>47586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128187</v>
      </c>
      <c r="C1672" s="2" t="s">
        <v>573</v>
      </c>
      <c r="D1672" s="2" t="str">
        <f t="shared" si="25"/>
        <v>Error?</v>
      </c>
    </row>
    <row r="1673" spans="1:4" x14ac:dyDescent="0.2">
      <c r="A1673" s="5">
        <v>1612</v>
      </c>
      <c r="B1673" s="138">
        <f>'Acct Summary 7-8'!G79</f>
        <v>212231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221166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1445910</v>
      </c>
      <c r="C1744" s="2" t="s">
        <v>573</v>
      </c>
      <c r="D1744" s="2" t="str">
        <f t="shared" si="26"/>
        <v>Error?</v>
      </c>
    </row>
    <row r="1745" spans="1:5" x14ac:dyDescent="0.2">
      <c r="A1745" s="5">
        <v>1684</v>
      </c>
      <c r="B1745" s="138">
        <f>'Tax Sched 23'!B5</f>
        <v>314325</v>
      </c>
      <c r="C1745" s="2" t="s">
        <v>573</v>
      </c>
      <c r="D1745" s="2" t="str">
        <f t="shared" si="26"/>
        <v>Error?</v>
      </c>
    </row>
    <row r="1746" spans="1:5" x14ac:dyDescent="0.2">
      <c r="A1746" s="5">
        <v>1685</v>
      </c>
      <c r="B1746" s="138">
        <f>'Tax Sched 23'!B6</f>
        <v>589313</v>
      </c>
      <c r="C1746" s="2" t="s">
        <v>573</v>
      </c>
      <c r="D1746" s="2" t="str">
        <f t="shared" si="26"/>
        <v>Error?</v>
      </c>
    </row>
    <row r="1747" spans="1:5" x14ac:dyDescent="0.2">
      <c r="A1747" s="5">
        <v>1686</v>
      </c>
      <c r="B1747" s="138">
        <f>'Tax Sched 23'!B7</f>
        <v>125730</v>
      </c>
      <c r="C1747" s="2" t="s">
        <v>573</v>
      </c>
      <c r="D1747" s="2" t="str">
        <f t="shared" si="26"/>
        <v>Error?</v>
      </c>
    </row>
    <row r="1748" spans="1:5" x14ac:dyDescent="0.2">
      <c r="A1748" s="5">
        <v>1687</v>
      </c>
      <c r="B1748" s="138">
        <f>'Tax Sched 23'!B8</f>
        <v>80074</v>
      </c>
      <c r="C1748" s="2" t="s">
        <v>573</v>
      </c>
      <c r="D1748" s="2" t="str">
        <f t="shared" si="26"/>
        <v>Error?</v>
      </c>
    </row>
    <row r="1749" spans="1:5" x14ac:dyDescent="0.2">
      <c r="A1749" s="5">
        <v>1688</v>
      </c>
      <c r="B1749" s="138">
        <f>'Tax Sched 23'!B10</f>
        <v>31432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650594</v>
      </c>
      <c r="C1752" s="2" t="s">
        <v>573</v>
      </c>
      <c r="D1752" s="2" t="str">
        <f t="shared" si="26"/>
        <v>Error?</v>
      </c>
    </row>
    <row r="1753" spans="1:5" x14ac:dyDescent="0.2">
      <c r="A1753" s="5">
        <v>1692</v>
      </c>
      <c r="B1753" s="138">
        <f>'Tax Sched 23'!B12</f>
        <v>31432</v>
      </c>
      <c r="C1753" s="2" t="s">
        <v>573</v>
      </c>
      <c r="D1753" s="2" t="str">
        <f t="shared" si="26"/>
        <v>Error?</v>
      </c>
    </row>
    <row r="1754" spans="1:5" x14ac:dyDescent="0.2">
      <c r="A1754" s="5">
        <v>1693</v>
      </c>
      <c r="B1754" s="138">
        <f>'Tax Sched 23'!B14</f>
        <v>25146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3375479</v>
      </c>
      <c r="C1759" s="2" t="s">
        <v>573</v>
      </c>
      <c r="D1759" s="2" t="str">
        <f t="shared" si="26"/>
        <v>Error?</v>
      </c>
    </row>
    <row r="1760" spans="1:5" x14ac:dyDescent="0.2">
      <c r="A1760" s="5">
        <v>1699</v>
      </c>
      <c r="B1760" s="138">
        <f>'Tax Sched 23'!D4</f>
        <v>1445910</v>
      </c>
      <c r="C1760" s="2" t="s">
        <v>573</v>
      </c>
      <c r="D1760" s="2" t="str">
        <f t="shared" si="26"/>
        <v>Error?</v>
      </c>
    </row>
    <row r="1761" spans="1:5" x14ac:dyDescent="0.2">
      <c r="A1761" s="5">
        <v>1700</v>
      </c>
      <c r="B1761" s="138">
        <f>'Tax Sched 23'!D5</f>
        <v>314325</v>
      </c>
      <c r="C1761" s="2" t="s">
        <v>573</v>
      </c>
      <c r="D1761" s="2" t="str">
        <f t="shared" si="26"/>
        <v>Error?</v>
      </c>
    </row>
    <row r="1762" spans="1:5" s="8" customFormat="1" x14ac:dyDescent="0.2">
      <c r="A1762" s="5">
        <v>1701</v>
      </c>
      <c r="B1762" s="138">
        <f>'Tax Sched 23'!D6</f>
        <v>589313</v>
      </c>
      <c r="C1762" s="2" t="s">
        <v>573</v>
      </c>
      <c r="D1762" s="2" t="str">
        <f t="shared" si="26"/>
        <v>Error?</v>
      </c>
      <c r="E1762" s="9"/>
    </row>
    <row r="1763" spans="1:5" x14ac:dyDescent="0.2">
      <c r="A1763" s="5">
        <v>1702</v>
      </c>
      <c r="B1763" s="138">
        <f>'Tax Sched 23'!D7</f>
        <v>125730</v>
      </c>
      <c r="C1763" s="2" t="s">
        <v>573</v>
      </c>
      <c r="D1763" s="2" t="str">
        <f t="shared" si="26"/>
        <v>Error?</v>
      </c>
    </row>
    <row r="1764" spans="1:5" x14ac:dyDescent="0.2">
      <c r="A1764" s="5">
        <v>1703</v>
      </c>
      <c r="B1764" s="138">
        <f>'Tax Sched 23'!D8</f>
        <v>80074</v>
      </c>
      <c r="C1764" s="2" t="s">
        <v>573</v>
      </c>
      <c r="D1764" s="2" t="str">
        <f t="shared" si="26"/>
        <v>Error?</v>
      </c>
    </row>
    <row r="1765" spans="1:5" x14ac:dyDescent="0.2">
      <c r="A1765" s="5">
        <v>1704</v>
      </c>
      <c r="B1765" s="138">
        <f>'Tax Sched 23'!D10</f>
        <v>31432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650594</v>
      </c>
      <c r="C1768" s="2" t="s">
        <v>573</v>
      </c>
      <c r="D1768" s="2" t="str">
        <f t="shared" si="26"/>
        <v>Error?</v>
      </c>
    </row>
    <row r="1769" spans="1:5" x14ac:dyDescent="0.2">
      <c r="A1769" s="5">
        <v>1708</v>
      </c>
      <c r="B1769" s="138">
        <f>'Tax Sched 23'!D12</f>
        <v>31432</v>
      </c>
      <c r="C1769" s="2" t="s">
        <v>573</v>
      </c>
      <c r="D1769" s="2" t="str">
        <f t="shared" si="26"/>
        <v>Error?</v>
      </c>
    </row>
    <row r="1770" spans="1:5" x14ac:dyDescent="0.2">
      <c r="A1770" s="5">
        <v>1709</v>
      </c>
      <c r="B1770" s="138">
        <f>'Tax Sched 23'!D14</f>
        <v>25146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3375479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1503559</v>
      </c>
      <c r="C1792" s="2" t="s">
        <v>573</v>
      </c>
      <c r="D1792" s="2" t="str">
        <f t="shared" si="27"/>
        <v>Error?</v>
      </c>
    </row>
    <row r="1793" spans="1:4" x14ac:dyDescent="0.2">
      <c r="A1793" s="5">
        <v>1732</v>
      </c>
      <c r="B1793" s="138">
        <f>'Tax Sched 23'!F5</f>
        <v>326860</v>
      </c>
      <c r="C1793" s="2" t="s">
        <v>573</v>
      </c>
      <c r="D1793" s="2" t="str">
        <f t="shared" si="27"/>
        <v>Error?</v>
      </c>
    </row>
    <row r="1794" spans="1:4" x14ac:dyDescent="0.2">
      <c r="A1794" s="5">
        <v>1733</v>
      </c>
      <c r="B1794" s="138">
        <f>'Tax Sched 23'!F6</f>
        <v>590177</v>
      </c>
      <c r="C1794" s="2" t="s">
        <v>573</v>
      </c>
      <c r="D1794" s="2" t="str">
        <f t="shared" si="27"/>
        <v>Error?</v>
      </c>
    </row>
    <row r="1795" spans="1:4" x14ac:dyDescent="0.2">
      <c r="A1795" s="5">
        <v>1734</v>
      </c>
      <c r="B1795" s="138">
        <f>'Tax Sched 23'!F7</f>
        <v>130744</v>
      </c>
      <c r="C1795" s="2" t="s">
        <v>573</v>
      </c>
      <c r="D1795" s="2" t="str">
        <f t="shared" si="27"/>
        <v>Error?</v>
      </c>
    </row>
    <row r="1796" spans="1:4" x14ac:dyDescent="0.2">
      <c r="A1796" s="5">
        <v>1735</v>
      </c>
      <c r="B1796" s="138">
        <f>'Tax Sched 23'!F8</f>
        <v>80201</v>
      </c>
      <c r="C1796" s="2" t="s">
        <v>573</v>
      </c>
      <c r="D1796" s="2" t="str">
        <f t="shared" si="27"/>
        <v>Error?</v>
      </c>
    </row>
    <row r="1797" spans="1:4" x14ac:dyDescent="0.2">
      <c r="A1797" s="5">
        <v>1736</v>
      </c>
      <c r="B1797" s="138">
        <f>'Tax Sched 23'!F10</f>
        <v>32686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651424</v>
      </c>
      <c r="C1800" s="2" t="s">
        <v>573</v>
      </c>
      <c r="D1800" s="2" t="str">
        <f t="shared" si="27"/>
        <v>Error?</v>
      </c>
    </row>
    <row r="1801" spans="1:4" x14ac:dyDescent="0.2">
      <c r="A1801" s="5">
        <v>1740</v>
      </c>
      <c r="B1801" s="138">
        <f>'Tax Sched 23'!F12</f>
        <v>32686</v>
      </c>
      <c r="C1801" s="2" t="s">
        <v>573</v>
      </c>
      <c r="D1801" s="2" t="str">
        <f t="shared" si="27"/>
        <v>Error?</v>
      </c>
    </row>
    <row r="1802" spans="1:4" x14ac:dyDescent="0.2">
      <c r="A1802" s="5">
        <v>1741</v>
      </c>
      <c r="B1802" s="138">
        <f>'Tax Sched 23'!F14</f>
        <v>26149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3457306</v>
      </c>
      <c r="C1807" s="2" t="s">
        <v>573</v>
      </c>
      <c r="D1807" s="2" t="str">
        <f t="shared" si="27"/>
        <v>Error?</v>
      </c>
    </row>
    <row r="1808" spans="1:4" x14ac:dyDescent="0.2">
      <c r="A1808" s="5">
        <v>1747</v>
      </c>
      <c r="B1808" s="138">
        <f>'Tax Sched 23'!E4</f>
        <v>1503559</v>
      </c>
      <c r="D1808" s="2" t="str">
        <f t="shared" si="27"/>
        <v>Error?</v>
      </c>
    </row>
    <row r="1809" spans="1:4" x14ac:dyDescent="0.2">
      <c r="A1809" s="5">
        <v>1748</v>
      </c>
      <c r="B1809" s="138">
        <f>'Tax Sched 23'!E5</f>
        <v>326860</v>
      </c>
      <c r="D1809" s="2" t="str">
        <f t="shared" si="27"/>
        <v>Error?</v>
      </c>
    </row>
    <row r="1810" spans="1:4" x14ac:dyDescent="0.2">
      <c r="A1810" s="5">
        <v>1749</v>
      </c>
      <c r="B1810" s="138">
        <f>'Tax Sched 23'!E6</f>
        <v>590177</v>
      </c>
      <c r="D1810" s="2" t="str">
        <f t="shared" si="27"/>
        <v>Error?</v>
      </c>
    </row>
    <row r="1811" spans="1:4" x14ac:dyDescent="0.2">
      <c r="A1811" s="5">
        <v>1750</v>
      </c>
      <c r="B1811" s="138">
        <f>'Tax Sched 23'!E7</f>
        <v>130744</v>
      </c>
      <c r="D1811" s="2" t="str">
        <f t="shared" si="27"/>
        <v>Error?</v>
      </c>
    </row>
    <row r="1812" spans="1:4" x14ac:dyDescent="0.2">
      <c r="A1812" s="5">
        <v>1751</v>
      </c>
      <c r="B1812" s="138">
        <f>'Tax Sched 23'!E8</f>
        <v>80201</v>
      </c>
      <c r="D1812" s="2" t="str">
        <f t="shared" si="27"/>
        <v>Error?</v>
      </c>
    </row>
    <row r="1813" spans="1:4" x14ac:dyDescent="0.2">
      <c r="A1813" s="5">
        <v>1752</v>
      </c>
      <c r="B1813" s="138">
        <f>'Tax Sched 23'!E10</f>
        <v>32686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651424</v>
      </c>
      <c r="D1816" s="2" t="str">
        <f t="shared" si="27"/>
        <v>Error?</v>
      </c>
    </row>
    <row r="1817" spans="1:4" x14ac:dyDescent="0.2">
      <c r="A1817" s="5">
        <v>1756</v>
      </c>
      <c r="B1817" s="138">
        <f>'Tax Sched 23'!E12</f>
        <v>32686</v>
      </c>
      <c r="D1817" s="2" t="str">
        <f t="shared" si="27"/>
        <v>Error?</v>
      </c>
    </row>
    <row r="1818" spans="1:4" x14ac:dyDescent="0.2">
      <c r="A1818" s="5">
        <v>1757</v>
      </c>
      <c r="B1818" s="138">
        <f>'Tax Sched 23'!E14</f>
        <v>26149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3457306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2166630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25146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25146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25146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98609</v>
      </c>
      <c r="D2008" s="2" t="str">
        <f t="shared" si="30"/>
        <v>Error?</v>
      </c>
    </row>
    <row r="2009" spans="1:4" x14ac:dyDescent="0.2">
      <c r="A2009" s="5">
        <v>1948</v>
      </c>
      <c r="B2009" s="138">
        <f>'Cap Outlay Deprec 26'!C8</f>
        <v>7327335</v>
      </c>
      <c r="D2009" s="2" t="str">
        <f t="shared" si="30"/>
        <v>Error?</v>
      </c>
    </row>
    <row r="2010" spans="1:4" x14ac:dyDescent="0.2">
      <c r="A2010" s="5">
        <v>1949</v>
      </c>
      <c r="B2010" s="138">
        <f>'Cap Outlay Deprec 26'!C10</f>
        <v>54132</v>
      </c>
      <c r="D2010" s="2" t="str">
        <f t="shared" si="30"/>
        <v>Error?</v>
      </c>
    </row>
    <row r="2011" spans="1:4" x14ac:dyDescent="0.2">
      <c r="A2011" s="5">
        <v>1950</v>
      </c>
      <c r="B2011" s="138">
        <f>'Cap Outlay Deprec 26'!C12</f>
        <v>189965</v>
      </c>
      <c r="D2011" s="2" t="str">
        <f t="shared" si="30"/>
        <v>Error?</v>
      </c>
    </row>
    <row r="2012" spans="1:4" x14ac:dyDescent="0.2">
      <c r="A2012" s="5">
        <v>1951</v>
      </c>
      <c r="B2012" s="138">
        <f>'Cap Outlay Deprec 26'!C13</f>
        <v>1204884</v>
      </c>
      <c r="D2012" s="2" t="str">
        <f t="shared" si="30"/>
        <v>Error?</v>
      </c>
    </row>
    <row r="2013" spans="1:4" x14ac:dyDescent="0.2">
      <c r="A2013" s="5">
        <v>1952</v>
      </c>
      <c r="B2013" s="138">
        <f>'Cap Outlay Deprec 26'!C16</f>
        <v>8890518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88119</v>
      </c>
      <c r="D2018" s="2" t="str">
        <f t="shared" si="30"/>
        <v>Error?</v>
      </c>
    </row>
    <row r="2019" spans="1:4" x14ac:dyDescent="0.2">
      <c r="A2019" s="5">
        <v>1958</v>
      </c>
      <c r="B2019" s="138">
        <f>'Cap Outlay Deprec 26'!D16</f>
        <v>88119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37900</v>
      </c>
      <c r="D2024" s="2" t="str">
        <f t="shared" si="30"/>
        <v>Error?</v>
      </c>
    </row>
    <row r="2025" spans="1:4" x14ac:dyDescent="0.2">
      <c r="A2025" s="5">
        <v>1964</v>
      </c>
      <c r="B2025" s="138">
        <f>'Cap Outlay Deprec 26'!E16</f>
        <v>37900</v>
      </c>
      <c r="C2025" s="2" t="s">
        <v>573</v>
      </c>
      <c r="D2025" s="2" t="str">
        <f t="shared" si="30"/>
        <v>Error?</v>
      </c>
    </row>
    <row r="2026" spans="1:4" x14ac:dyDescent="0.2">
      <c r="A2026" s="5">
        <v>1965</v>
      </c>
      <c r="B2026" s="138">
        <f>'Cap Outlay Deprec 26'!F5</f>
        <v>98609</v>
      </c>
      <c r="C2026" s="2" t="s">
        <v>573</v>
      </c>
      <c r="D2026" s="2" t="str">
        <f t="shared" si="30"/>
        <v>Error?</v>
      </c>
    </row>
    <row r="2027" spans="1:4" x14ac:dyDescent="0.2">
      <c r="A2027" s="5">
        <v>1966</v>
      </c>
      <c r="B2027" s="138">
        <f>'Cap Outlay Deprec 26'!F8</f>
        <v>7327335</v>
      </c>
      <c r="C2027" s="2" t="s">
        <v>573</v>
      </c>
      <c r="D2027" s="2" t="str">
        <f t="shared" si="30"/>
        <v>Error?</v>
      </c>
    </row>
    <row r="2028" spans="1:4" x14ac:dyDescent="0.2">
      <c r="A2028" s="5">
        <v>1967</v>
      </c>
      <c r="B2028" s="138">
        <f>'Cap Outlay Deprec 26'!F10</f>
        <v>54132</v>
      </c>
      <c r="C2028" s="2" t="s">
        <v>573</v>
      </c>
      <c r="D2028" s="2" t="str">
        <f t="shared" si="30"/>
        <v>Error?</v>
      </c>
    </row>
    <row r="2029" spans="1:4" x14ac:dyDescent="0.2">
      <c r="A2029" s="5">
        <v>1968</v>
      </c>
      <c r="B2029" s="138">
        <f>'Cap Outlay Deprec 26'!F12</f>
        <v>189965</v>
      </c>
      <c r="C2029" s="2" t="s">
        <v>573</v>
      </c>
      <c r="D2029" s="2" t="str">
        <f t="shared" si="30"/>
        <v>Error?</v>
      </c>
    </row>
    <row r="2030" spans="1:4" x14ac:dyDescent="0.2">
      <c r="A2030" s="5">
        <v>1969</v>
      </c>
      <c r="B2030" s="138">
        <f>'Cap Outlay Deprec 26'!F13</f>
        <v>1255103</v>
      </c>
      <c r="C2030" s="2" t="s">
        <v>573</v>
      </c>
      <c r="D2030" s="2" t="str">
        <f t="shared" si="30"/>
        <v>Error?</v>
      </c>
    </row>
    <row r="2031" spans="1:4" x14ac:dyDescent="0.2">
      <c r="A2031" s="5">
        <v>1970</v>
      </c>
      <c r="B2031" s="138">
        <f>'Cap Outlay Deprec 26'!F16</f>
        <v>8940737</v>
      </c>
      <c r="C2031" s="2" t="s">
        <v>573</v>
      </c>
      <c r="D2031" s="2" t="str">
        <f t="shared" si="30"/>
        <v>Error?</v>
      </c>
    </row>
    <row r="2032" spans="1:4" x14ac:dyDescent="0.2">
      <c r="A2032" s="10">
        <v>1971</v>
      </c>
      <c r="D2032" s="2" t="str">
        <f t="shared" si="30"/>
        <v>OK</v>
      </c>
    </row>
    <row r="2033" spans="1:4" x14ac:dyDescent="0.2">
      <c r="A2033" s="5">
        <v>1972</v>
      </c>
      <c r="B2033" s="138">
        <f>'Cap Outlay Deprec 26'!H8</f>
        <v>4054548</v>
      </c>
      <c r="D2033" s="2" t="str">
        <f t="shared" si="30"/>
        <v>Error?</v>
      </c>
    </row>
    <row r="2034" spans="1:4" x14ac:dyDescent="0.2">
      <c r="A2034" s="5">
        <v>1973</v>
      </c>
      <c r="B2034" s="138">
        <f>'Cap Outlay Deprec 26'!H10</f>
        <v>51602</v>
      </c>
      <c r="D2034" s="2" t="str">
        <f t="shared" si="30"/>
        <v>Error?</v>
      </c>
    </row>
    <row r="2035" spans="1:4" x14ac:dyDescent="0.2">
      <c r="A2035" s="5">
        <v>1974</v>
      </c>
      <c r="B2035" s="138">
        <f>'Cap Outlay Deprec 26'!H12</f>
        <v>176007</v>
      </c>
      <c r="D2035" s="2" t="str">
        <f t="shared" si="30"/>
        <v>Error?</v>
      </c>
    </row>
    <row r="2036" spans="1:4" x14ac:dyDescent="0.2">
      <c r="A2036" s="5">
        <v>1975</v>
      </c>
      <c r="B2036" s="138">
        <f>'Cap Outlay Deprec 26'!H13</f>
        <v>724510</v>
      </c>
      <c r="D2036" s="2" t="str">
        <f t="shared" si="30"/>
        <v>Error?</v>
      </c>
    </row>
    <row r="2037" spans="1:4" x14ac:dyDescent="0.2">
      <c r="A2037" s="5">
        <v>1976</v>
      </c>
      <c r="B2037" s="138">
        <f>'Cap Outlay Deprec 26'!H16</f>
        <v>5019147</v>
      </c>
      <c r="C2037" s="2" t="s">
        <v>573</v>
      </c>
      <c r="D2037" s="2" t="str">
        <f t="shared" si="30"/>
        <v>Error?</v>
      </c>
    </row>
    <row r="2038" spans="1:4" x14ac:dyDescent="0.2">
      <c r="A2038" s="10">
        <v>1977</v>
      </c>
      <c r="D2038" s="2" t="str">
        <f t="shared" si="30"/>
        <v>OK</v>
      </c>
    </row>
    <row r="2039" spans="1:4" x14ac:dyDescent="0.2">
      <c r="A2039" s="5">
        <v>1978</v>
      </c>
      <c r="B2039" s="138">
        <f>'Cap Outlay Deprec 26'!I8</f>
        <v>180485</v>
      </c>
      <c r="D2039" s="2" t="str">
        <f t="shared" si="30"/>
        <v>Error?</v>
      </c>
    </row>
    <row r="2040" spans="1:4" x14ac:dyDescent="0.2">
      <c r="A2040" s="5">
        <v>1979</v>
      </c>
      <c r="B2040" s="138">
        <f>'Cap Outlay Deprec 26'!I10</f>
        <v>422</v>
      </c>
      <c r="D2040" s="2" t="str">
        <f t="shared" si="30"/>
        <v>Error?</v>
      </c>
    </row>
    <row r="2041" spans="1:4" x14ac:dyDescent="0.2">
      <c r="A2041" s="5">
        <v>1980</v>
      </c>
      <c r="B2041" s="138">
        <f>'Cap Outlay Deprec 26'!I12</f>
        <v>2161</v>
      </c>
      <c r="D2041" s="2" t="str">
        <f t="shared" si="30"/>
        <v>Error?</v>
      </c>
    </row>
    <row r="2042" spans="1:4" x14ac:dyDescent="0.2">
      <c r="A2042" s="5">
        <v>1981</v>
      </c>
      <c r="B2042" s="138">
        <f>'Cap Outlay Deprec 26'!I13</f>
        <v>129128</v>
      </c>
      <c r="D2042" s="2" t="str">
        <f t="shared" si="30"/>
        <v>Error?</v>
      </c>
    </row>
    <row r="2043" spans="1:4" x14ac:dyDescent="0.2">
      <c r="A2043" s="5">
        <v>1982</v>
      </c>
      <c r="B2043" s="138">
        <f>'Cap Outlay Deprec 26'!I16</f>
        <v>312976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37900</v>
      </c>
      <c r="D2048" s="2" t="str">
        <f t="shared" si="31"/>
        <v>Error?</v>
      </c>
    </row>
    <row r="2049" spans="1:4" x14ac:dyDescent="0.2">
      <c r="A2049" s="5">
        <v>1988</v>
      </c>
      <c r="B2049" s="138">
        <f>'Cap Outlay Deprec 26'!J16</f>
        <v>37900</v>
      </c>
      <c r="C2049" s="2" t="s">
        <v>573</v>
      </c>
      <c r="D2049" s="2" t="str">
        <f t="shared" si="31"/>
        <v>Error?</v>
      </c>
    </row>
    <row r="2050" spans="1:4" x14ac:dyDescent="0.2">
      <c r="A2050" s="10">
        <v>1989</v>
      </c>
      <c r="D2050" s="2" t="str">
        <f t="shared" si="31"/>
        <v>OK</v>
      </c>
    </row>
    <row r="2051" spans="1:4" x14ac:dyDescent="0.2">
      <c r="A2051" s="5">
        <v>1990</v>
      </c>
      <c r="B2051" s="138">
        <f>'Cap Outlay Deprec 26'!K8</f>
        <v>4235033</v>
      </c>
      <c r="C2051" s="2" t="s">
        <v>573</v>
      </c>
      <c r="D2051" s="2" t="str">
        <f t="shared" si="31"/>
        <v>Error?</v>
      </c>
    </row>
    <row r="2052" spans="1:4" x14ac:dyDescent="0.2">
      <c r="A2052" s="5">
        <v>1991</v>
      </c>
      <c r="B2052" s="138">
        <f>'Cap Outlay Deprec 26'!K10</f>
        <v>52024</v>
      </c>
      <c r="C2052" s="2" t="s">
        <v>573</v>
      </c>
      <c r="D2052" s="2" t="str">
        <f t="shared" si="31"/>
        <v>Error?</v>
      </c>
    </row>
    <row r="2053" spans="1:4" x14ac:dyDescent="0.2">
      <c r="A2053" s="5">
        <v>1992</v>
      </c>
      <c r="B2053" s="138">
        <f>'Cap Outlay Deprec 26'!K12</f>
        <v>178168</v>
      </c>
      <c r="C2053" s="2" t="s">
        <v>573</v>
      </c>
      <c r="D2053" s="2" t="str">
        <f t="shared" si="31"/>
        <v>Error?</v>
      </c>
    </row>
    <row r="2054" spans="1:4" x14ac:dyDescent="0.2">
      <c r="A2054" s="5">
        <v>1993</v>
      </c>
      <c r="B2054" s="138">
        <f>'Cap Outlay Deprec 26'!K13</f>
        <v>815738</v>
      </c>
      <c r="C2054" s="2" t="s">
        <v>573</v>
      </c>
      <c r="D2054" s="2" t="str">
        <f t="shared" si="31"/>
        <v>Error?</v>
      </c>
    </row>
    <row r="2055" spans="1:4" x14ac:dyDescent="0.2">
      <c r="A2055" s="5">
        <v>1994</v>
      </c>
      <c r="B2055" s="138">
        <f>'Cap Outlay Deprec 26'!K16</f>
        <v>5294223</v>
      </c>
      <c r="C2055" s="2" t="s">
        <v>573</v>
      </c>
      <c r="D2055" s="2" t="str">
        <f t="shared" si="31"/>
        <v>Error?</v>
      </c>
    </row>
    <row r="2056" spans="1:4" x14ac:dyDescent="0.2">
      <c r="A2056" s="5">
        <v>1995</v>
      </c>
      <c r="B2056" s="138">
        <f>'Cap Outlay Deprec 26'!L5</f>
        <v>98609</v>
      </c>
      <c r="C2056" s="2" t="s">
        <v>573</v>
      </c>
      <c r="D2056" s="2" t="str">
        <f t="shared" si="31"/>
        <v>Error?</v>
      </c>
    </row>
    <row r="2057" spans="1:4" x14ac:dyDescent="0.2">
      <c r="A2057" s="5">
        <v>1996</v>
      </c>
      <c r="B2057" s="138">
        <f>'Cap Outlay Deprec 26'!L8</f>
        <v>3092302</v>
      </c>
      <c r="C2057" s="2" t="s">
        <v>573</v>
      </c>
      <c r="D2057" s="2" t="str">
        <f t="shared" si="31"/>
        <v>Error?</v>
      </c>
    </row>
    <row r="2058" spans="1:4" x14ac:dyDescent="0.2">
      <c r="A2058" s="5">
        <v>1997</v>
      </c>
      <c r="B2058" s="138">
        <f>'Cap Outlay Deprec 26'!L10</f>
        <v>2108</v>
      </c>
      <c r="C2058" s="2" t="s">
        <v>573</v>
      </c>
      <c r="D2058" s="2" t="str">
        <f t="shared" si="31"/>
        <v>Error?</v>
      </c>
    </row>
    <row r="2059" spans="1:4" x14ac:dyDescent="0.2">
      <c r="A2059" s="5">
        <v>1998</v>
      </c>
      <c r="B2059" s="138">
        <f>'Cap Outlay Deprec 26'!L12</f>
        <v>11797</v>
      </c>
      <c r="C2059" s="2" t="s">
        <v>573</v>
      </c>
      <c r="D2059" s="2" t="str">
        <f t="shared" si="31"/>
        <v>Error?</v>
      </c>
    </row>
    <row r="2060" spans="1:4" x14ac:dyDescent="0.2">
      <c r="A2060" s="5">
        <v>1999</v>
      </c>
      <c r="B2060" s="138">
        <f>'Cap Outlay Deprec 26'!L13</f>
        <v>439365</v>
      </c>
      <c r="C2060" s="2" t="s">
        <v>573</v>
      </c>
      <c r="D2060" s="2" t="str">
        <f t="shared" si="31"/>
        <v>Error?</v>
      </c>
    </row>
    <row r="2061" spans="1:4" x14ac:dyDescent="0.2">
      <c r="A2061" s="5">
        <v>2000</v>
      </c>
      <c r="B2061" s="138">
        <f>'Cap Outlay Deprec 26'!L16</f>
        <v>3646514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249637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249637</v>
      </c>
      <c r="C2088" s="2" t="s">
        <v>573</v>
      </c>
      <c r="D2088" s="2" t="str">
        <f t="shared" si="31"/>
        <v>Error?</v>
      </c>
    </row>
    <row r="2089" spans="1:4" x14ac:dyDescent="0.2">
      <c r="A2089" s="5">
        <v>2028</v>
      </c>
      <c r="B2089" s="138">
        <f>'Expenditures 15-22'!K92</f>
        <v>12839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1809319</v>
      </c>
      <c r="C2551" s="2" t="s">
        <v>573</v>
      </c>
      <c r="D2551" s="2" t="str">
        <f t="shared" si="38"/>
        <v>Error?</v>
      </c>
    </row>
    <row r="2552" spans="1:4" x14ac:dyDescent="0.2">
      <c r="A2552" s="10">
        <v>2491</v>
      </c>
      <c r="D2552" s="2" t="str">
        <f t="shared" si="38"/>
        <v>OK</v>
      </c>
    </row>
    <row r="2553" spans="1:4" x14ac:dyDescent="0.2">
      <c r="A2553" s="5">
        <v>2492</v>
      </c>
      <c r="B2553" s="138">
        <f>'Acct Summary 7-8'!C6</f>
        <v>1187456</v>
      </c>
      <c r="C2553" s="2" t="s">
        <v>573</v>
      </c>
      <c r="D2553" s="2" t="str">
        <f t="shared" si="38"/>
        <v>Error?</v>
      </c>
    </row>
    <row r="2554" spans="1:4" x14ac:dyDescent="0.2">
      <c r="A2554" s="5">
        <v>2493</v>
      </c>
      <c r="B2554" s="138">
        <f>'Acct Summary 7-8'!C7</f>
        <v>433976</v>
      </c>
      <c r="C2554" s="2" t="s">
        <v>573</v>
      </c>
      <c r="D2554" s="2" t="str">
        <f t="shared" si="38"/>
        <v>Error?</v>
      </c>
    </row>
    <row r="2555" spans="1:4" x14ac:dyDescent="0.2">
      <c r="A2555" s="5">
        <v>2494</v>
      </c>
      <c r="B2555" s="138">
        <f>'Acct Summary 7-8'!C8</f>
        <v>3430751</v>
      </c>
      <c r="C2555" s="2" t="s">
        <v>573</v>
      </c>
      <c r="D2555" s="2" t="str">
        <f t="shared" si="38"/>
        <v>Error?</v>
      </c>
    </row>
    <row r="2556" spans="1:4" x14ac:dyDescent="0.2">
      <c r="A2556" s="5">
        <v>2495</v>
      </c>
      <c r="B2556" s="138">
        <f>'Acct Summary 7-8'!C12</f>
        <v>2571357</v>
      </c>
      <c r="C2556" s="2" t="s">
        <v>573</v>
      </c>
      <c r="D2556" s="2" t="str">
        <f t="shared" si="38"/>
        <v>Error?</v>
      </c>
    </row>
    <row r="2557" spans="1:4" x14ac:dyDescent="0.2">
      <c r="A2557" s="5">
        <v>2496</v>
      </c>
      <c r="B2557" s="138">
        <f>'Acct Summary 7-8'!C13</f>
        <v>808684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262476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3642517</v>
      </c>
      <c r="C2561" s="2" t="s">
        <v>573</v>
      </c>
      <c r="D2561" s="2" t="str">
        <f t="shared" si="39"/>
        <v>Error?</v>
      </c>
    </row>
    <row r="2562" spans="1:4" x14ac:dyDescent="0.2">
      <c r="A2562" s="5">
        <v>2501</v>
      </c>
      <c r="B2562" s="138">
        <f>'Acct Summary 7-8'!C20</f>
        <v>-211766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350945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350945</v>
      </c>
      <c r="C2568" s="2" t="s">
        <v>573</v>
      </c>
      <c r="D2568" s="2" t="str">
        <f t="shared" si="39"/>
        <v>Error?</v>
      </c>
    </row>
    <row r="2569" spans="1:4" x14ac:dyDescent="0.2">
      <c r="A2569" s="5">
        <v>2508</v>
      </c>
      <c r="B2569" s="138">
        <f>'Acct Summary 7-8'!D13</f>
        <v>466856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466856</v>
      </c>
      <c r="C2573" s="2" t="s">
        <v>573</v>
      </c>
      <c r="D2573" s="2" t="str">
        <f t="shared" si="39"/>
        <v>Error?</v>
      </c>
    </row>
    <row r="2574" spans="1:4" x14ac:dyDescent="0.2">
      <c r="A2574" s="5">
        <v>2513</v>
      </c>
      <c r="B2574" s="138">
        <f>'Acct Summary 7-8'!D20</f>
        <v>-115911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128679</v>
      </c>
      <c r="C2591" s="2" t="s">
        <v>573</v>
      </c>
      <c r="D2591" s="2" t="str">
        <f t="shared" si="39"/>
        <v>Error?</v>
      </c>
    </row>
    <row r="2592" spans="1:4" x14ac:dyDescent="0.2">
      <c r="A2592" s="10">
        <v>2531</v>
      </c>
      <c r="D2592" s="2" t="str">
        <f t="shared" si="39"/>
        <v>OK</v>
      </c>
    </row>
    <row r="2593" spans="1:4" x14ac:dyDescent="0.2">
      <c r="A2593" s="5">
        <v>2532</v>
      </c>
      <c r="B2593" s="138">
        <f>'Acct Summary 7-8'!F6</f>
        <v>154847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283526</v>
      </c>
      <c r="C2595" s="2" t="s">
        <v>573</v>
      </c>
      <c r="D2595" s="2" t="str">
        <f t="shared" si="39"/>
        <v>Error?</v>
      </c>
    </row>
    <row r="2596" spans="1:4" x14ac:dyDescent="0.2">
      <c r="A2596" s="5">
        <v>2535</v>
      </c>
      <c r="B2596" s="138">
        <f>'Acct Summary 7-8'!F13</f>
        <v>202925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202925</v>
      </c>
      <c r="C2600" s="2" t="s">
        <v>573</v>
      </c>
      <c r="D2600" s="2" t="str">
        <f t="shared" si="39"/>
        <v>Error?</v>
      </c>
    </row>
    <row r="2601" spans="1:4" x14ac:dyDescent="0.2">
      <c r="A2601" s="5">
        <v>2540</v>
      </c>
      <c r="B2601" s="138">
        <f>'Acct Summary 7-8'!F20</f>
        <v>80601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141354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141354</v>
      </c>
      <c r="C2606" s="2" t="s">
        <v>573</v>
      </c>
      <c r="D2606" s="2" t="str">
        <f t="shared" si="39"/>
        <v>Error?</v>
      </c>
    </row>
    <row r="2607" spans="1:4" x14ac:dyDescent="0.2">
      <c r="A2607" s="5">
        <v>2546</v>
      </c>
      <c r="B2607" s="138">
        <f>'Acct Summary 7-8'!G12</f>
        <v>49553</v>
      </c>
      <c r="C2607" s="2" t="s">
        <v>573</v>
      </c>
      <c r="D2607" s="2" t="str">
        <f t="shared" si="39"/>
        <v>Error?</v>
      </c>
    </row>
    <row r="2608" spans="1:4" x14ac:dyDescent="0.2">
      <c r="A2608" s="5">
        <v>2547</v>
      </c>
      <c r="B2608" s="138">
        <f>'Acct Summary 7-8'!G13</f>
        <v>82866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132419</v>
      </c>
      <c r="C2612" s="2" t="s">
        <v>573</v>
      </c>
      <c r="D2612" s="2" t="str">
        <f t="shared" si="39"/>
        <v>Error?</v>
      </c>
    </row>
    <row r="2613" spans="1:4" x14ac:dyDescent="0.2">
      <c r="A2613" s="5">
        <v>2552</v>
      </c>
      <c r="B2613" s="138">
        <f>'Acct Summary 7-8'!G20</f>
        <v>8935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602756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602756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765284</v>
      </c>
      <c r="C2634" s="2" t="s">
        <v>573</v>
      </c>
      <c r="D2634" s="2" t="str">
        <f t="shared" si="40"/>
        <v>Error?</v>
      </c>
    </row>
    <row r="2635" spans="1:4" x14ac:dyDescent="0.2">
      <c r="A2635" s="5">
        <v>2574</v>
      </c>
      <c r="B2635" s="138">
        <f>'Acct Summary 7-8'!E17</f>
        <v>765284</v>
      </c>
      <c r="C2635" s="2" t="s">
        <v>573</v>
      </c>
      <c r="D2635" s="2" t="str">
        <f t="shared" si="40"/>
        <v>Error?</v>
      </c>
    </row>
    <row r="2636" spans="1:4" x14ac:dyDescent="0.2">
      <c r="A2636" s="5">
        <v>2575</v>
      </c>
      <c r="B2636" s="138">
        <f>'Acct Summary 7-8'!E20</f>
        <v>-162528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296</v>
      </c>
      <c r="D2725" s="2" t="str">
        <f t="shared" si="41"/>
        <v>Error?</v>
      </c>
    </row>
    <row r="2726" spans="1:4" x14ac:dyDescent="0.2">
      <c r="A2726" s="5">
        <v>2665</v>
      </c>
      <c r="B2726" s="138">
        <f>'Expenditures 15-22'!K247</f>
        <v>296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269117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80931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176285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269117</v>
      </c>
      <c r="D2912" s="2" t="str">
        <f t="shared" si="44"/>
        <v>Error?</v>
      </c>
    </row>
    <row r="2913" spans="1:4" x14ac:dyDescent="0.2">
      <c r="A2913" s="5">
        <v>2852</v>
      </c>
      <c r="B2913" s="138">
        <f>'Assets-Liab 5-6'!I41</f>
        <v>269117</v>
      </c>
      <c r="C2913" s="2" t="s">
        <v>573</v>
      </c>
      <c r="D2913" s="2" t="str">
        <f t="shared" si="44"/>
        <v>Error?</v>
      </c>
    </row>
    <row r="2914" spans="1:4" x14ac:dyDescent="0.2">
      <c r="A2914" s="5">
        <v>2853</v>
      </c>
      <c r="B2914" s="138">
        <f>'Assets-Liab 5-6'!L33</f>
        <v>176285</v>
      </c>
      <c r="D2914" s="2" t="str">
        <f t="shared" si="44"/>
        <v>Error?</v>
      </c>
    </row>
    <row r="2915" spans="1:4" x14ac:dyDescent="0.2">
      <c r="A2915" s="10">
        <v>2854</v>
      </c>
      <c r="D2915" s="2" t="str">
        <f t="shared" si="44"/>
        <v>OK</v>
      </c>
    </row>
    <row r="2916" spans="1:4" x14ac:dyDescent="0.2">
      <c r="A2916" s="5">
        <v>2855</v>
      </c>
      <c r="B2916" s="138">
        <f>'Assets-Liab 5-6'!L34</f>
        <v>176285</v>
      </c>
      <c r="C2916" s="2" t="s">
        <v>573</v>
      </c>
      <c r="D2916" s="2" t="str">
        <f t="shared" si="44"/>
        <v>Error?</v>
      </c>
    </row>
    <row r="2917" spans="1:4" x14ac:dyDescent="0.2">
      <c r="A2917" s="5">
        <v>2856</v>
      </c>
      <c r="B2917" s="138">
        <f>'Assets-Liab 5-6'!L41</f>
        <v>176285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249637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249637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63948</v>
      </c>
      <c r="D3055" s="2" t="str">
        <f t="shared" si="46"/>
        <v>Error?</v>
      </c>
    </row>
    <row r="3056" spans="1:4" x14ac:dyDescent="0.2">
      <c r="A3056" s="5">
        <v>2995</v>
      </c>
      <c r="B3056" s="138">
        <f>'Expenditures 15-22'!D10</f>
        <v>23780</v>
      </c>
      <c r="D3056" s="2" t="str">
        <f t="shared" si="46"/>
        <v>Error?</v>
      </c>
    </row>
    <row r="3057" spans="1:4" x14ac:dyDescent="0.2">
      <c r="A3057" s="5">
        <v>2996</v>
      </c>
      <c r="B3057" s="138">
        <f>'Expenditures 15-22'!E10</f>
        <v>6876</v>
      </c>
      <c r="D3057" s="2" t="str">
        <f t="shared" si="46"/>
        <v>Error?</v>
      </c>
    </row>
    <row r="3058" spans="1:4" x14ac:dyDescent="0.2">
      <c r="A3058" s="5">
        <v>2997</v>
      </c>
      <c r="B3058" s="138">
        <f>'Expenditures 15-22'!F10</f>
        <v>349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94953</v>
      </c>
      <c r="C3062" s="2" t="s">
        <v>573</v>
      </c>
      <c r="D3062" s="2" t="str">
        <f t="shared" si="46"/>
        <v>Error?</v>
      </c>
    </row>
    <row r="3063" spans="1:4" x14ac:dyDescent="0.2">
      <c r="A3063" s="10">
        <v>3002</v>
      </c>
      <c r="D3063" s="2" t="str">
        <f t="shared" si="46"/>
        <v>OK</v>
      </c>
    </row>
    <row r="3064" spans="1:4" x14ac:dyDescent="0.2">
      <c r="A3064" s="5">
        <v>3003</v>
      </c>
      <c r="B3064" s="138">
        <f>'Expenditures 15-22'!D219</f>
        <v>916</v>
      </c>
      <c r="D3064" s="2" t="str">
        <f t="shared" si="46"/>
        <v>Error?</v>
      </c>
    </row>
    <row r="3065" spans="1:4" x14ac:dyDescent="0.2">
      <c r="A3065" s="5">
        <v>3004</v>
      </c>
      <c r="B3065" s="138">
        <f>'Expenditures 15-22'!K219</f>
        <v>916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31696</v>
      </c>
      <c r="C3225" s="2" t="s">
        <v>573</v>
      </c>
      <c r="D3225" s="2" t="str">
        <f t="shared" si="49"/>
        <v>Error?</v>
      </c>
    </row>
    <row r="3226" spans="1:4" x14ac:dyDescent="0.2">
      <c r="A3226" s="5">
        <v>3165</v>
      </c>
      <c r="B3226" s="138">
        <f>'Acct Summary 7-8'!I8</f>
        <v>31696</v>
      </c>
      <c r="C3226" s="2" t="s">
        <v>573</v>
      </c>
      <c r="D3226" s="2" t="str">
        <f t="shared" si="49"/>
        <v>Error?</v>
      </c>
    </row>
    <row r="3227" spans="1:4" x14ac:dyDescent="0.2">
      <c r="A3227" s="5">
        <v>3166</v>
      </c>
      <c r="B3227" s="138">
        <f>'Acct Summary 7-8'!I20</f>
        <v>31696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-211766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-115911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80601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8935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-162528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31696</v>
      </c>
      <c r="C3320" s="2" t="s">
        <v>573</v>
      </c>
      <c r="D3320" s="2" t="str">
        <f t="shared" si="50"/>
        <v>Error?</v>
      </c>
    </row>
    <row r="3321" spans="1:4" x14ac:dyDescent="0.2">
      <c r="A3321" s="5">
        <v>3260</v>
      </c>
      <c r="B3321" s="138">
        <f>'Acct Summary 7-8'!I79</f>
        <v>237421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269117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281149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96002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377578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25982</v>
      </c>
      <c r="D3387" s="2" t="str">
        <f t="shared" si="51"/>
        <v>Error?</v>
      </c>
    </row>
    <row r="3388" spans="1:4" x14ac:dyDescent="0.2">
      <c r="A3388" s="5">
        <v>3327</v>
      </c>
      <c r="B3388" s="138">
        <f>'Expenditures 15-22'!D217</f>
        <v>16233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25982</v>
      </c>
      <c r="C3390" s="2" t="s">
        <v>573</v>
      </c>
      <c r="D3390" s="2" t="str">
        <f t="shared" si="51"/>
        <v>Error?</v>
      </c>
    </row>
    <row r="3391" spans="1:4" x14ac:dyDescent="0.2">
      <c r="A3391" s="5">
        <v>3330</v>
      </c>
      <c r="B3391" s="138">
        <f>'Expenditures 15-22'!K217</f>
        <v>16233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215173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163510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404965</v>
      </c>
      <c r="D3417" s="2" t="str">
        <f t="shared" si="52"/>
        <v>Error?</v>
      </c>
    </row>
    <row r="3418" spans="1:4" x14ac:dyDescent="0.2">
      <c r="A3418" s="10">
        <v>3357</v>
      </c>
      <c r="D3418" s="2" t="str">
        <f t="shared" si="52"/>
        <v>OK</v>
      </c>
    </row>
    <row r="3419" spans="1:4" x14ac:dyDescent="0.2">
      <c r="A3419" s="5">
        <v>3358</v>
      </c>
      <c r="B3419" s="138">
        <f>'Assets-Liab 5-6'!F4</f>
        <v>467817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221166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269117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95354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50091</v>
      </c>
      <c r="C3446" s="2" t="s">
        <v>573</v>
      </c>
      <c r="D3446" s="2" t="str">
        <f t="shared" si="52"/>
        <v>Error?</v>
      </c>
    </row>
    <row r="3447" spans="1:4" x14ac:dyDescent="0.2">
      <c r="A3447" s="5">
        <v>3386</v>
      </c>
      <c r="B3447" s="138">
        <f>'Tax Sched 23'!D16</f>
        <v>50091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50134</v>
      </c>
      <c r="C3449" s="2" t="s">
        <v>573</v>
      </c>
      <c r="D3449" s="2" t="str">
        <f t="shared" si="52"/>
        <v>Error?</v>
      </c>
    </row>
    <row r="3450" spans="1:4" x14ac:dyDescent="0.2">
      <c r="A3450" s="5">
        <v>3389</v>
      </c>
      <c r="B3450" s="138">
        <f>'Tax Sched 23'!E16</f>
        <v>50134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190602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190602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190602</v>
      </c>
      <c r="D3567" s="2" t="str">
        <f t="shared" si="54"/>
        <v>Error?</v>
      </c>
    </row>
    <row r="3568" spans="1:4" x14ac:dyDescent="0.2">
      <c r="A3568" s="5">
        <v>3507</v>
      </c>
      <c r="B3568" s="138">
        <f>'Assets-Liab 5-6'!K41</f>
        <v>190602</v>
      </c>
      <c r="C3568" s="2" t="s">
        <v>573</v>
      </c>
      <c r="D3568" s="2" t="str">
        <f t="shared" si="54"/>
        <v>Error?</v>
      </c>
    </row>
    <row r="3569" spans="1:4" x14ac:dyDescent="0.2">
      <c r="A3569" s="5">
        <v>3508</v>
      </c>
      <c r="B3569" s="138">
        <f>'Acct Summary 7-8'!K4</f>
        <v>42495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42495</v>
      </c>
      <c r="C3571" s="2" t="s">
        <v>573</v>
      </c>
      <c r="D3571" s="2" t="str">
        <f t="shared" si="54"/>
        <v>Error?</v>
      </c>
    </row>
    <row r="3572" spans="1:4" x14ac:dyDescent="0.2">
      <c r="A3572" s="5">
        <v>3511</v>
      </c>
      <c r="B3572" s="138">
        <f>'Acct Summary 7-8'!K13</f>
        <v>25110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25110</v>
      </c>
      <c r="C3575" s="2" t="s">
        <v>573</v>
      </c>
      <c r="D3575" s="2" t="str">
        <f t="shared" si="54"/>
        <v>Error?</v>
      </c>
    </row>
    <row r="3576" spans="1:4" x14ac:dyDescent="0.2">
      <c r="A3576" s="5">
        <v>3515</v>
      </c>
      <c r="B3576" s="138">
        <f>'Acct Summary 7-8'!K20</f>
        <v>17385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17385</v>
      </c>
      <c r="C3588" s="2" t="s">
        <v>573</v>
      </c>
      <c r="D3588" s="2" t="str">
        <f t="shared" si="55"/>
        <v>Error?</v>
      </c>
    </row>
    <row r="3589" spans="1:4" x14ac:dyDescent="0.2">
      <c r="A3589" s="5">
        <v>3528</v>
      </c>
      <c r="B3589" s="138">
        <f>'Acct Summary 7-8'!K79</f>
        <v>173217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190602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25110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25110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25110</v>
      </c>
      <c r="C3649" s="2" t="s">
        <v>573</v>
      </c>
      <c r="D3649" s="2" t="str">
        <f t="shared" si="56"/>
        <v>Error?</v>
      </c>
    </row>
    <row r="3650" spans="1:4" x14ac:dyDescent="0.2">
      <c r="A3650" s="5">
        <v>3589</v>
      </c>
      <c r="B3650" s="138">
        <f>'Expenditures 15-22'!G367</f>
        <v>25110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25110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25110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25110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25110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17385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31432</v>
      </c>
      <c r="C3725" s="2" t="s">
        <v>573</v>
      </c>
      <c r="D3725" s="2" t="str">
        <f t="shared" si="57"/>
        <v>Error?</v>
      </c>
    </row>
    <row r="3726" spans="1:4" x14ac:dyDescent="0.2">
      <c r="A3726" s="5">
        <v>3665</v>
      </c>
      <c r="B3726" s="138">
        <f>'Tax Sched 23'!D13</f>
        <v>31432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32686</v>
      </c>
      <c r="C3728" s="2" t="s">
        <v>573</v>
      </c>
      <c r="D3728" s="2" t="str">
        <f t="shared" si="57"/>
        <v>Error?</v>
      </c>
    </row>
    <row r="3729" spans="1:4" x14ac:dyDescent="0.2">
      <c r="A3729" s="5">
        <v>3668</v>
      </c>
      <c r="B3729" s="138">
        <f>'Tax Sched 23'!E13</f>
        <v>32686</v>
      </c>
      <c r="D3729" s="2" t="str">
        <f t="shared" si="57"/>
        <v>Error?</v>
      </c>
    </row>
    <row r="3730" spans="1:4" x14ac:dyDescent="0.2">
      <c r="A3730" s="5">
        <v>3669</v>
      </c>
      <c r="B3730" s="138">
        <f>'ICR Computation 30'!E10</f>
        <v>89574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1358857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4789608</v>
      </c>
      <c r="C4122" s="2" t="s">
        <v>573</v>
      </c>
      <c r="D4122" s="2" t="str">
        <f t="shared" si="63"/>
        <v>Error?</v>
      </c>
    </row>
    <row r="4123" spans="1:4" x14ac:dyDescent="0.2">
      <c r="A4123" s="5">
        <v>4062</v>
      </c>
      <c r="B4123" s="138">
        <f>'Acct Summary 7-8'!D10</f>
        <v>350945</v>
      </c>
      <c r="C4123" s="2" t="s">
        <v>573</v>
      </c>
      <c r="D4123" s="2" t="str">
        <f t="shared" si="63"/>
        <v>Error?</v>
      </c>
    </row>
    <row r="4124" spans="1:4" x14ac:dyDescent="0.2">
      <c r="A4124" s="5">
        <v>4063</v>
      </c>
      <c r="B4124" s="138">
        <f>'Acct Summary 7-8'!E10</f>
        <v>602756</v>
      </c>
      <c r="C4124" s="2" t="s">
        <v>573</v>
      </c>
      <c r="D4124" s="2" t="str">
        <f t="shared" si="63"/>
        <v>Error?</v>
      </c>
    </row>
    <row r="4125" spans="1:4" x14ac:dyDescent="0.2">
      <c r="A4125" s="5">
        <v>4064</v>
      </c>
      <c r="B4125" s="138">
        <f>'Acct Summary 7-8'!F10</f>
        <v>283526</v>
      </c>
      <c r="C4125" s="2" t="s">
        <v>573</v>
      </c>
      <c r="D4125" s="2" t="str">
        <f t="shared" si="63"/>
        <v>Error?</v>
      </c>
    </row>
    <row r="4126" spans="1:4" x14ac:dyDescent="0.2">
      <c r="A4126" s="5">
        <v>4065</v>
      </c>
      <c r="B4126" s="138">
        <f>'Acct Summary 7-8'!G10</f>
        <v>141354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31696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42495</v>
      </c>
      <c r="C4130" s="2" t="s">
        <v>573</v>
      </c>
      <c r="D4130" s="2" t="str">
        <f t="shared" si="63"/>
        <v>Error?</v>
      </c>
    </row>
    <row r="4131" spans="1:4" x14ac:dyDescent="0.2">
      <c r="A4131" s="5">
        <v>4070</v>
      </c>
      <c r="B4131" s="138">
        <f>'Acct Summary 7-8'!C18</f>
        <v>1358857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5001374</v>
      </c>
      <c r="C4136" s="2" t="s">
        <v>573</v>
      </c>
      <c r="D4136" s="2" t="str">
        <f t="shared" si="63"/>
        <v>Error?</v>
      </c>
    </row>
    <row r="4137" spans="1:4" x14ac:dyDescent="0.2">
      <c r="A4137" s="5">
        <v>4076</v>
      </c>
      <c r="B4137" s="138">
        <f>'Acct Summary 7-8'!D19</f>
        <v>466856</v>
      </c>
      <c r="C4137" s="2" t="s">
        <v>573</v>
      </c>
      <c r="D4137" s="2" t="str">
        <f t="shared" si="63"/>
        <v>Error?</v>
      </c>
    </row>
    <row r="4138" spans="1:4" x14ac:dyDescent="0.2">
      <c r="A4138" s="5">
        <v>4077</v>
      </c>
      <c r="B4138" s="138">
        <f>'Acct Summary 7-8'!E19</f>
        <v>765284</v>
      </c>
      <c r="C4138" s="2" t="s">
        <v>573</v>
      </c>
      <c r="D4138" s="2" t="str">
        <f t="shared" si="63"/>
        <v>Error?</v>
      </c>
    </row>
    <row r="4139" spans="1:4" x14ac:dyDescent="0.2">
      <c r="A4139" s="5">
        <v>4078</v>
      </c>
      <c r="B4139" s="138">
        <f>'Acct Summary 7-8'!F19</f>
        <v>202925</v>
      </c>
      <c r="C4139" s="2" t="s">
        <v>573</v>
      </c>
      <c r="D4139" s="2" t="str">
        <f t="shared" si="63"/>
        <v>Error?</v>
      </c>
    </row>
    <row r="4140" spans="1:4" x14ac:dyDescent="0.2">
      <c r="A4140" s="5">
        <v>4079</v>
      </c>
      <c r="B4140" s="138">
        <f>'Acct Summary 7-8'!G19</f>
        <v>132419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25110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1477630</v>
      </c>
      <c r="C4171" s="2" t="s">
        <v>573</v>
      </c>
      <c r="D4171" s="2" t="str">
        <f t="shared" si="64"/>
        <v>Error?</v>
      </c>
    </row>
    <row r="4172" spans="1:4" x14ac:dyDescent="0.2">
      <c r="A4172" s="5">
        <v>4111</v>
      </c>
      <c r="B4172" s="138">
        <f>'Short-Term Long-Term Debt 24'!J49</f>
        <v>1011939</v>
      </c>
      <c r="C4172" s="2" t="s">
        <v>573</v>
      </c>
      <c r="D4172" s="2" t="str">
        <f t="shared" si="64"/>
        <v>Error?</v>
      </c>
    </row>
    <row r="4173" spans="1:4" x14ac:dyDescent="0.2">
      <c r="A4173" s="5">
        <v>4112</v>
      </c>
      <c r="B4173" s="138">
        <f>'Short-Term Long-Term Debt 24'!H49</f>
        <v>689000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3000</v>
      </c>
      <c r="C4268" s="2" t="s">
        <v>573</v>
      </c>
      <c r="D4268" s="2" t="str">
        <f t="shared" si="65"/>
        <v>Error?</v>
      </c>
    </row>
    <row r="4269" spans="1:5" x14ac:dyDescent="0.2">
      <c r="A4269" s="12">
        <v>4208</v>
      </c>
      <c r="B4269" s="138">
        <f>'FP Info 3'!J16</f>
        <v>775987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552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12321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22493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51636</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65223531</v>
      </c>
      <c r="D4995" s="2" t="str">
        <f t="shared" si="77"/>
        <v>Error?</v>
      </c>
    </row>
    <row r="4996" spans="1:4" x14ac:dyDescent="0.2">
      <c r="A4996" s="12">
        <v>4935</v>
      </c>
      <c r="B4996" s="138">
        <f>'FP Info 3'!H31</f>
        <v>9000847.2780000009</v>
      </c>
      <c r="D4996" s="2" t="str">
        <f t="shared" si="77"/>
        <v>Error?</v>
      </c>
    </row>
    <row r="4997" spans="1:4" x14ac:dyDescent="0.2">
      <c r="A4997" s="12">
        <v>4936</v>
      </c>
      <c r="B4997" s="138">
        <f>'FP Info 3'!H37</f>
        <v>1477630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1445910</v>
      </c>
      <c r="D5061" s="2" t="str">
        <f t="shared" si="78"/>
        <v>Error?</v>
      </c>
    </row>
    <row r="5062" spans="1:4" x14ac:dyDescent="0.2">
      <c r="A5062" s="10">
        <v>5001</v>
      </c>
      <c r="D5062" s="2" t="str">
        <f t="shared" si="78"/>
        <v>OK</v>
      </c>
    </row>
    <row r="5063" spans="1:4" x14ac:dyDescent="0.2">
      <c r="A5063" s="5">
        <v>5002</v>
      </c>
      <c r="B5063" s="138">
        <f>'Revenues 9-14'!C7</f>
        <v>25146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1471056</v>
      </c>
      <c r="C5066" s="2" t="s">
        <v>573</v>
      </c>
      <c r="D5066" s="2" t="str">
        <f t="shared" si="78"/>
        <v>Error?</v>
      </c>
    </row>
    <row r="5067" spans="1:4" x14ac:dyDescent="0.2">
      <c r="A5067" s="5">
        <v>5006</v>
      </c>
      <c r="B5067" s="138">
        <f>'Revenues 9-14'!C14</f>
        <v>1299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213293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214592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2961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2961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66255</v>
      </c>
      <c r="C5096" s="2" t="s">
        <v>573</v>
      </c>
      <c r="D5096" s="2" t="str">
        <f t="shared" si="78"/>
        <v>Error?</v>
      </c>
    </row>
    <row r="5097" spans="1:4" x14ac:dyDescent="0.2">
      <c r="A5097" s="5">
        <v>5036</v>
      </c>
      <c r="B5097" s="138">
        <f>'Revenues 9-14'!C77</f>
        <v>11622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33163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6324</v>
      </c>
      <c r="D5101" s="2" t="str">
        <f t="shared" si="78"/>
        <v>Error?</v>
      </c>
    </row>
    <row r="5102" spans="1:4" x14ac:dyDescent="0.2">
      <c r="A5102" s="5">
        <v>5041</v>
      </c>
      <c r="B5102" s="138">
        <f>'Revenues 9-14'!C82</f>
        <v>51109</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3346</v>
      </c>
      <c r="D5119" s="2" t="str">
        <f t="shared" ref="D5119:D5182" si="79">IF(ISBLANK(B5119),"OK",IF(A5119-B5119=0,"OK","Error?"))</f>
        <v>Error?</v>
      </c>
    </row>
    <row r="5120" spans="1:4" x14ac:dyDescent="0.2">
      <c r="A5120" s="5">
        <v>5059</v>
      </c>
      <c r="B5120" s="138">
        <f>'Revenues 9-14'!C108</f>
        <v>3346</v>
      </c>
      <c r="C5120" s="2" t="s">
        <v>573</v>
      </c>
      <c r="D5120" s="2" t="str">
        <f t="shared" si="79"/>
        <v>Error?</v>
      </c>
    </row>
    <row r="5121" spans="1:4" x14ac:dyDescent="0.2">
      <c r="A5121" s="5">
        <v>5060</v>
      </c>
      <c r="B5121" s="138">
        <f>'Revenues 9-14'!C109</f>
        <v>1809319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1164369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1164369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13432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1854</v>
      </c>
      <c r="D5167" s="2" t="str">
        <f t="shared" si="79"/>
        <v>Error?</v>
      </c>
    </row>
    <row r="5168" spans="1:4" x14ac:dyDescent="0.2">
      <c r="A5168" s="5">
        <v>5107</v>
      </c>
      <c r="B5168" s="138">
        <f>'Revenues 9-14'!C148</f>
        <v>7801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23087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1187456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51636</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90311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16967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107278</v>
      </c>
      <c r="C5246" s="2" t="s">
        <v>573</v>
      </c>
      <c r="D5246" s="2" t="str">
        <f t="shared" si="80"/>
        <v>Error?</v>
      </c>
    </row>
    <row r="5247" spans="1:4" x14ac:dyDescent="0.2">
      <c r="A5247" s="5">
        <v>5186</v>
      </c>
      <c r="B5247" s="138">
        <f>'Revenues 9-14'!C200</f>
        <v>117979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117979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118537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118537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552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382340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433976</v>
      </c>
      <c r="C5326" s="2" t="s">
        <v>573</v>
      </c>
      <c r="D5326" s="2" t="str">
        <f t="shared" si="82"/>
        <v>Error?</v>
      </c>
    </row>
    <row r="5327" spans="1:5" x14ac:dyDescent="0.2">
      <c r="A5327" s="5">
        <v>5266</v>
      </c>
      <c r="B5327" s="138">
        <f>'Revenues 9-14'!C268</f>
        <v>3430751</v>
      </c>
      <c r="C5327" s="2" t="s">
        <v>573</v>
      </c>
      <c r="D5327" s="2" t="str">
        <f t="shared" si="82"/>
        <v>Error?</v>
      </c>
    </row>
    <row r="5328" spans="1:5" x14ac:dyDescent="0.2">
      <c r="A5328" s="5">
        <v>5267</v>
      </c>
      <c r="B5328" s="138">
        <f>'Revenues 9-14'!D5</f>
        <v>314325</v>
      </c>
      <c r="D5328" s="2" t="str">
        <f t="shared" si="82"/>
        <v>Error?</v>
      </c>
    </row>
    <row r="5329" spans="1:4" x14ac:dyDescent="0.2">
      <c r="A5329" s="10">
        <v>5268</v>
      </c>
      <c r="D5329" s="2" t="str">
        <f t="shared" si="82"/>
        <v>OK</v>
      </c>
    </row>
    <row r="5330" spans="1:4" x14ac:dyDescent="0.2">
      <c r="A5330" s="5">
        <v>5269</v>
      </c>
      <c r="B5330" s="138">
        <f>'Revenues 9-14'!D6</f>
        <v>31432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345757</v>
      </c>
      <c r="C5334" s="2" t="s">
        <v>573</v>
      </c>
      <c r="D5334" s="2" t="str">
        <f t="shared" si="82"/>
        <v>Error?</v>
      </c>
    </row>
    <row r="5335" spans="1:4" x14ac:dyDescent="0.2">
      <c r="A5335" s="5">
        <v>5274</v>
      </c>
      <c r="B5335" s="138">
        <f>'Revenues 9-14'!D14</f>
        <v>305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305</v>
      </c>
      <c r="C5339" s="2" t="s">
        <v>573</v>
      </c>
      <c r="D5339" s="2" t="str">
        <f t="shared" si="82"/>
        <v>Error?</v>
      </c>
    </row>
    <row r="5340" spans="1:4" x14ac:dyDescent="0.2">
      <c r="A5340" s="5">
        <v>5279</v>
      </c>
      <c r="B5340" s="138">
        <f>'Revenues 9-14'!D65</f>
        <v>299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4584</v>
      </c>
      <c r="D5354" s="2" t="str">
        <f t="shared" si="82"/>
        <v>Error?</v>
      </c>
    </row>
    <row r="5355" spans="1:4" x14ac:dyDescent="0.2">
      <c r="A5355" s="5">
        <v>5294</v>
      </c>
      <c r="B5355" s="138">
        <f>'Revenues 9-14'!D108</f>
        <v>4584</v>
      </c>
      <c r="C5355" s="2" t="s">
        <v>573</v>
      </c>
      <c r="D5355" s="2" t="str">
        <f t="shared" si="82"/>
        <v>Error?</v>
      </c>
    </row>
    <row r="5356" spans="1:4" x14ac:dyDescent="0.2">
      <c r="A5356" s="5">
        <v>5295</v>
      </c>
      <c r="B5356" s="138">
        <f>'Revenues 9-14'!D109</f>
        <v>350945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350945</v>
      </c>
      <c r="C5508" s="2" t="s">
        <v>573</v>
      </c>
      <c r="D5508" s="2" t="str">
        <f t="shared" si="85"/>
        <v>Error?</v>
      </c>
    </row>
    <row r="5509" spans="1:4" x14ac:dyDescent="0.2">
      <c r="A5509" s="5">
        <v>5448</v>
      </c>
      <c r="B5509" s="138">
        <f>'Revenues 9-14'!E5</f>
        <v>589313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589313</v>
      </c>
      <c r="C5513" s="2" t="s">
        <v>573</v>
      </c>
      <c r="D5513" s="2" t="str">
        <f t="shared" si="85"/>
        <v>Error?</v>
      </c>
    </row>
    <row r="5514" spans="1:4" x14ac:dyDescent="0.2">
      <c r="A5514" s="5">
        <v>5453</v>
      </c>
      <c r="B5514" s="138">
        <f>'Revenues 9-14'!E14</f>
        <v>521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521</v>
      </c>
      <c r="C5518" s="2" t="s">
        <v>573</v>
      </c>
      <c r="D5518" s="2" t="str">
        <f t="shared" si="85"/>
        <v>Error?</v>
      </c>
    </row>
    <row r="5519" spans="1:4" x14ac:dyDescent="0.2">
      <c r="A5519" s="5">
        <v>5458</v>
      </c>
      <c r="B5519" s="138">
        <f>'Revenues 9-14'!E65</f>
        <v>4242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4242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8680</v>
      </c>
      <c r="C5526" s="2" t="s">
        <v>573</v>
      </c>
      <c r="D5526" s="2" t="str">
        <f t="shared" si="85"/>
        <v>Error?</v>
      </c>
    </row>
    <row r="5527" spans="1:4" x14ac:dyDescent="0.2">
      <c r="A5527" s="5">
        <v>5466</v>
      </c>
      <c r="B5527" s="138">
        <f>'Revenues 9-14'!E109</f>
        <v>602756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602756</v>
      </c>
      <c r="C5552" s="2" t="s">
        <v>573</v>
      </c>
      <c r="D5552" s="2" t="str">
        <f t="shared" si="85"/>
        <v>Error?</v>
      </c>
    </row>
    <row r="5553" spans="1:4" x14ac:dyDescent="0.2">
      <c r="A5553" s="5">
        <v>5492</v>
      </c>
      <c r="B5553" s="138">
        <f>'Revenues 9-14'!F5</f>
        <v>125730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125730</v>
      </c>
      <c r="C5557" s="2" t="s">
        <v>573</v>
      </c>
      <c r="D5557" s="2" t="str">
        <f t="shared" si="85"/>
        <v>Error?</v>
      </c>
    </row>
    <row r="5558" spans="1:4" x14ac:dyDescent="0.2">
      <c r="A5558" s="5">
        <v>5497</v>
      </c>
      <c r="B5558" s="138">
        <f>'Revenues 9-14'!F14</f>
        <v>111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1116</v>
      </c>
      <c r="D5586" s="2" t="str">
        <f t="shared" si="86"/>
        <v>Error?</v>
      </c>
    </row>
    <row r="5587" spans="1:4" x14ac:dyDescent="0.2">
      <c r="A5587" s="5">
        <v>5526</v>
      </c>
      <c r="B5587" s="138">
        <f>'Revenues 9-14'!F108</f>
        <v>1116</v>
      </c>
      <c r="C5587" s="2" t="s">
        <v>573</v>
      </c>
      <c r="D5587" s="2" t="str">
        <f t="shared" si="86"/>
        <v>Error?</v>
      </c>
    </row>
    <row r="5588" spans="1:4" x14ac:dyDescent="0.2">
      <c r="A5588" s="5">
        <v>5527</v>
      </c>
      <c r="B5588" s="138">
        <f>'Revenues 9-14'!F109</f>
        <v>128679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92390</v>
      </c>
      <c r="D5615" s="2" t="str">
        <f t="shared" si="86"/>
        <v>Error?</v>
      </c>
    </row>
    <row r="5616" spans="1:4" x14ac:dyDescent="0.2">
      <c r="A5616" s="10">
        <v>5555</v>
      </c>
      <c r="D5616" s="2" t="str">
        <f t="shared" si="86"/>
        <v>OK</v>
      </c>
    </row>
    <row r="5617" spans="1:5" x14ac:dyDescent="0.2">
      <c r="A5617" s="5">
        <v>5556</v>
      </c>
      <c r="B5617" s="138">
        <f>'Revenues 9-14'!F153</f>
        <v>62457</v>
      </c>
      <c r="D5617" s="2" t="str">
        <f t="shared" si="86"/>
        <v>Error?</v>
      </c>
    </row>
    <row r="5618" spans="1:5" x14ac:dyDescent="0.2">
      <c r="A5618" s="5">
        <v>5557</v>
      </c>
      <c r="B5618" s="138">
        <f>'Revenues 9-14'!F155</f>
        <v>154847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154847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154847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283526</v>
      </c>
      <c r="C5720" s="2" t="s">
        <v>573</v>
      </c>
      <c r="D5720" s="2" t="str">
        <f t="shared" si="88"/>
        <v>Error?</v>
      </c>
    </row>
    <row r="5721" spans="1:4" x14ac:dyDescent="0.2">
      <c r="A5721" s="5">
        <v>5660</v>
      </c>
      <c r="B5721" s="138">
        <f>'Revenues 9-14'!G5</f>
        <v>80074</v>
      </c>
      <c r="D5721" s="2" t="str">
        <f t="shared" si="88"/>
        <v>Error?</v>
      </c>
    </row>
    <row r="5722" spans="1:4" x14ac:dyDescent="0.2">
      <c r="A5722" s="5">
        <v>5661</v>
      </c>
      <c r="B5722" s="138">
        <f>'Revenues 9-14'!G7</f>
        <v>0</v>
      </c>
      <c r="D5722" s="2" t="str">
        <f t="shared" si="88"/>
        <v>Error?</v>
      </c>
    </row>
    <row r="5723" spans="1:4" x14ac:dyDescent="0.2">
      <c r="A5723" s="5">
        <v>5662</v>
      </c>
      <c r="B5723" s="138">
        <f>'Revenues 9-14'!G8</f>
        <v>50091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130165</v>
      </c>
      <c r="C5725" s="2" t="s">
        <v>573</v>
      </c>
      <c r="D5725" s="2" t="str">
        <f t="shared" si="88"/>
        <v>Error?</v>
      </c>
    </row>
    <row r="5726" spans="1:4" x14ac:dyDescent="0.2">
      <c r="A5726" s="5">
        <v>5665</v>
      </c>
      <c r="B5726" s="138">
        <f>'Revenues 9-14'!G14</f>
        <v>115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10115</v>
      </c>
      <c r="C5730" s="2" t="s">
        <v>573</v>
      </c>
      <c r="D5730" s="2" t="str">
        <f t="shared" si="88"/>
        <v>Error?</v>
      </c>
    </row>
    <row r="5731" spans="1:4" x14ac:dyDescent="0.2">
      <c r="A5731" s="5">
        <v>5670</v>
      </c>
      <c r="B5731" s="138">
        <f>'Revenues 9-14'!G65</f>
        <v>1074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1074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141354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31432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31432</v>
      </c>
      <c r="C5918" s="2" t="s">
        <v>573</v>
      </c>
      <c r="D5918" s="2" t="str">
        <f t="shared" si="91"/>
        <v>Error?</v>
      </c>
    </row>
    <row r="5919" spans="1:4" x14ac:dyDescent="0.2">
      <c r="A5919" s="5">
        <v>5858</v>
      </c>
      <c r="B5919" s="138">
        <f>'Revenues 9-14'!I14</f>
        <v>28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28</v>
      </c>
      <c r="C5923" s="2" t="s">
        <v>573</v>
      </c>
      <c r="D5923" s="2" t="str">
        <f t="shared" si="91"/>
        <v>Error?</v>
      </c>
    </row>
    <row r="5924" spans="1:4" x14ac:dyDescent="0.2">
      <c r="A5924" s="5">
        <v>5863</v>
      </c>
      <c r="B5924" s="138">
        <f>'Revenues 9-14'!I65</f>
        <v>236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31696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31432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31432</v>
      </c>
      <c r="C5987" s="2" t="s">
        <v>573</v>
      </c>
      <c r="D5987" s="2" t="str">
        <f t="shared" si="92"/>
        <v>Error?</v>
      </c>
    </row>
    <row r="5988" spans="1:4" x14ac:dyDescent="0.2">
      <c r="A5988" s="5">
        <v>5927</v>
      </c>
      <c r="B5988" s="138">
        <f>'Revenues 9-14'!K14</f>
        <v>28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28</v>
      </c>
      <c r="C5992" s="2" t="s">
        <v>573</v>
      </c>
      <c r="D5992" s="2" t="str">
        <f t="shared" si="92"/>
        <v>Error?</v>
      </c>
    </row>
    <row r="5993" spans="1:4" x14ac:dyDescent="0.2">
      <c r="A5993" s="5">
        <v>5932</v>
      </c>
      <c r="B5993" s="138">
        <f>'Revenues 9-14'!K65</f>
        <v>1035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1035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10000</v>
      </c>
      <c r="D5998" s="2" t="str">
        <f t="shared" si="92"/>
        <v>Error?</v>
      </c>
    </row>
    <row r="5999" spans="1:4" x14ac:dyDescent="0.2">
      <c r="A5999" s="5">
        <v>5938</v>
      </c>
      <c r="B5999" s="138">
        <f>'Revenues 9-14'!K108</f>
        <v>10000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42495</v>
      </c>
      <c r="C6023" s="2" t="s">
        <v>573</v>
      </c>
      <c r="D6023" s="2" t="str">
        <f t="shared" si="93"/>
        <v>Error?</v>
      </c>
    </row>
    <row r="6024" spans="1:5" x14ac:dyDescent="0.2">
      <c r="A6024" s="5">
        <v>5963</v>
      </c>
      <c r="B6024" s="138">
        <f>'Revenues 9-14'!G109</f>
        <v>141354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31696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42495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65222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13852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467.9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244036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292995</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46635</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244036</v>
      </c>
      <c r="D6215" s="2" t="str">
        <f t="shared" si="96"/>
        <v>Error?</v>
      </c>
      <c r="E6215" s="2" t="s">
        <v>190</v>
      </c>
    </row>
    <row r="6216" spans="1:5" x14ac:dyDescent="0.2">
      <c r="A6216">
        <v>6155</v>
      </c>
      <c r="B6216" s="138">
        <f>'Assets-Liab 5-6'!J41</f>
        <v>244036</v>
      </c>
      <c r="D6216" s="2" t="str">
        <f t="shared" si="96"/>
        <v>Error?</v>
      </c>
      <c r="E6216" s="2" t="s">
        <v>190</v>
      </c>
    </row>
    <row r="6217" spans="1:5" x14ac:dyDescent="0.2">
      <c r="A6217">
        <v>6156</v>
      </c>
      <c r="B6217" s="138">
        <f>'Assets-Liab 5-6'!J4</f>
        <v>244036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651433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651433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651433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589598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589598</v>
      </c>
      <c r="D6229" s="2" t="str">
        <f t="shared" si="96"/>
        <v>Error?</v>
      </c>
      <c r="E6229" s="2" t="s">
        <v>190</v>
      </c>
    </row>
    <row r="6230" spans="1:5" x14ac:dyDescent="0.2">
      <c r="A6230">
        <v>6169</v>
      </c>
      <c r="B6230" s="138">
        <f>'Acct Summary 7-8'!J20</f>
        <v>61835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61835</v>
      </c>
      <c r="D6263" s="2" t="str">
        <f t="shared" si="96"/>
        <v>Error?</v>
      </c>
      <c r="E6263" s="2" t="s">
        <v>190</v>
      </c>
    </row>
    <row r="6264" spans="1:5" x14ac:dyDescent="0.2">
      <c r="A6264">
        <v>6203</v>
      </c>
      <c r="B6264" s="138">
        <f>'Acct Summary 7-8'!J79</f>
        <v>182201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244036</v>
      </c>
      <c r="D6266" s="2" t="str">
        <f t="shared" si="96"/>
        <v>Error?</v>
      </c>
      <c r="E6266" s="2" t="s">
        <v>190</v>
      </c>
    </row>
    <row r="6267" spans="1:5" x14ac:dyDescent="0.2">
      <c r="A6267">
        <v>6206</v>
      </c>
      <c r="B6267" s="138">
        <f>'Acct Summary 7-8'!C82</f>
        <v>-211766</v>
      </c>
      <c r="D6267" s="2" t="str">
        <f t="shared" si="96"/>
        <v>Error?</v>
      </c>
      <c r="E6267" s="2" t="s">
        <v>190</v>
      </c>
    </row>
    <row r="6268" spans="1:5" x14ac:dyDescent="0.2">
      <c r="A6268">
        <v>6207</v>
      </c>
      <c r="B6268" s="138">
        <f>'Acct Summary 7-8'!D82</f>
        <v>-115911</v>
      </c>
      <c r="D6268" s="2" t="str">
        <f t="shared" si="96"/>
        <v>Error?</v>
      </c>
      <c r="E6268" s="2" t="s">
        <v>190</v>
      </c>
    </row>
    <row r="6269" spans="1:5" x14ac:dyDescent="0.2">
      <c r="A6269">
        <v>6208</v>
      </c>
      <c r="B6269" s="138">
        <f>'Acct Summary 7-8'!E82</f>
        <v>-162528</v>
      </c>
      <c r="D6269" s="2" t="str">
        <f t="shared" si="96"/>
        <v>Error?</v>
      </c>
      <c r="E6269" s="2" t="s">
        <v>190</v>
      </c>
    </row>
    <row r="6270" spans="1:5" x14ac:dyDescent="0.2">
      <c r="A6270">
        <v>6209</v>
      </c>
      <c r="B6270" s="138">
        <f>'Acct Summary 7-8'!F82</f>
        <v>80601</v>
      </c>
      <c r="D6270" s="2" t="str">
        <f t="shared" si="96"/>
        <v>Error?</v>
      </c>
      <c r="E6270" s="2" t="s">
        <v>190</v>
      </c>
    </row>
    <row r="6271" spans="1:5" x14ac:dyDescent="0.2">
      <c r="A6271">
        <v>6210</v>
      </c>
      <c r="B6271" s="138">
        <f>'Acct Summary 7-8'!G82</f>
        <v>8935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31696</v>
      </c>
      <c r="D6273" s="2" t="str">
        <f t="shared" si="97"/>
        <v>Error?</v>
      </c>
      <c r="E6273" s="2" t="s">
        <v>190</v>
      </c>
    </row>
    <row r="6274" spans="1:5" x14ac:dyDescent="0.2">
      <c r="A6274">
        <v>6213</v>
      </c>
      <c r="B6274" s="138">
        <f>'Acct Summary 7-8'!J82</f>
        <v>61835</v>
      </c>
      <c r="D6274" s="2" t="str">
        <f t="shared" si="97"/>
        <v>Error?</v>
      </c>
      <c r="E6274" s="2" t="s">
        <v>190</v>
      </c>
    </row>
    <row r="6275" spans="1:5" x14ac:dyDescent="0.2">
      <c r="A6275">
        <v>6214</v>
      </c>
      <c r="B6275" s="138">
        <f>'Acct Summary 7-8'!K82</f>
        <v>17385</v>
      </c>
      <c r="D6275" s="2" t="str">
        <f t="shared" si="97"/>
        <v>Error?</v>
      </c>
      <c r="E6275" s="2" t="s">
        <v>190</v>
      </c>
    </row>
    <row r="6276" spans="1:5" x14ac:dyDescent="0.2">
      <c r="A6276">
        <v>6215</v>
      </c>
      <c r="B6276" s="138">
        <f>'Acct Summary 7-8'!C83</f>
        <v>-0.98416622903431195</v>
      </c>
      <c r="D6276" s="2" t="str">
        <f t="shared" si="97"/>
        <v>Error?</v>
      </c>
      <c r="E6276" s="2" t="s">
        <v>190</v>
      </c>
    </row>
    <row r="6277" spans="1:5" x14ac:dyDescent="0.2">
      <c r="A6277">
        <v>6216</v>
      </c>
      <c r="B6277" s="138">
        <f>'Acct Summary 7-8'!D83</f>
        <v>-0.7088924224818054</v>
      </c>
      <c r="D6277" s="2" t="str">
        <f t="shared" si="97"/>
        <v>Error?</v>
      </c>
      <c r="E6277" s="2" t="s">
        <v>190</v>
      </c>
    </row>
    <row r="6278" spans="1:5" x14ac:dyDescent="0.2">
      <c r="A6278">
        <v>6217</v>
      </c>
      <c r="B6278" s="138">
        <f>'Acct Summary 7-8'!E83</f>
        <v>-0.34900395326514794</v>
      </c>
      <c r="D6278" s="2" t="str">
        <f t="shared" si="97"/>
        <v>Error?</v>
      </c>
      <c r="E6278" s="2" t="s">
        <v>190</v>
      </c>
    </row>
    <row r="6279" spans="1:5" x14ac:dyDescent="0.2">
      <c r="A6279">
        <v>6218</v>
      </c>
      <c r="B6279" s="138">
        <f>'Acct Summary 7-8'!F83</f>
        <v>0.62877670902665639</v>
      </c>
      <c r="D6279" s="2" t="str">
        <f t="shared" si="97"/>
        <v>Error?</v>
      </c>
      <c r="E6279" s="2" t="s">
        <v>190</v>
      </c>
    </row>
    <row r="6280" spans="1:5" x14ac:dyDescent="0.2">
      <c r="A6280">
        <v>6219</v>
      </c>
      <c r="B6280" s="138">
        <f>'Acct Summary 7-8'!G83</f>
        <v>4.0399518913395369E-2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0.11777776952032015</v>
      </c>
      <c r="D6282" s="2" t="str">
        <f t="shared" si="97"/>
        <v>Error?</v>
      </c>
      <c r="E6282" s="2" t="s">
        <v>190</v>
      </c>
    </row>
    <row r="6283" spans="1:5" x14ac:dyDescent="0.2">
      <c r="A6283">
        <v>6222</v>
      </c>
      <c r="B6283" s="138">
        <f>'Acct Summary 7-8'!J83</f>
        <v>0.25338474651280957</v>
      </c>
      <c r="D6283" s="2" t="str">
        <f t="shared" si="97"/>
        <v>Error?</v>
      </c>
      <c r="E6283" s="2" t="s">
        <v>190</v>
      </c>
    </row>
    <row r="6284" spans="1:5" x14ac:dyDescent="0.2">
      <c r="A6284">
        <v>6223</v>
      </c>
      <c r="B6284" s="138">
        <f>'Acct Summary 7-8'!K83</f>
        <v>9.1211005131110898E-2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650594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650594</v>
      </c>
      <c r="D6301" s="2" t="str">
        <f t="shared" si="97"/>
        <v>Error?</v>
      </c>
      <c r="E6301" s="2" t="s">
        <v>190</v>
      </c>
    </row>
    <row r="6302" spans="1:5" x14ac:dyDescent="0.2">
      <c r="A6302">
        <v>6241</v>
      </c>
      <c r="B6302" s="138">
        <f>'Revenues 9-14'!J14</f>
        <v>575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575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651433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13432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19109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12839</v>
      </c>
      <c r="D6987" s="2" t="str">
        <f t="shared" si="108"/>
        <v>Error?</v>
      </c>
    </row>
    <row r="6988" spans="1:4" x14ac:dyDescent="0.2">
      <c r="A6988">
        <v>6927</v>
      </c>
      <c r="B6988" s="138">
        <f>'Expenditures 15-22'!K88</f>
        <v>12839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12839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589598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651433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233</v>
      </c>
      <c r="D7079" s="2" t="str">
        <f t="shared" si="109"/>
        <v>Error?</v>
      </c>
    </row>
    <row r="7080" spans="1:4" x14ac:dyDescent="0.2">
      <c r="A7080">
        <v>7019</v>
      </c>
      <c r="B7080" s="138">
        <f>'Expenditures 15-22'!K226</f>
        <v>233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165842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165842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7275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7275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409393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409393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6943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6943</v>
      </c>
      <c r="D7198" s="2" t="str">
        <f t="shared" si="111"/>
        <v>Error?</v>
      </c>
    </row>
    <row r="7199" spans="1:4" x14ac:dyDescent="0.2">
      <c r="A7199">
        <v>7138</v>
      </c>
      <c r="B7199" s="138">
        <f>'Expenditures 15-22'!C330</f>
        <v>409393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180205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589598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409393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180205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589598</v>
      </c>
      <c r="D7224" s="2" t="str">
        <f t="shared" si="111"/>
        <v>Error?</v>
      </c>
    </row>
    <row r="7225" spans="1:4" x14ac:dyDescent="0.2">
      <c r="A7225">
        <v>7164</v>
      </c>
      <c r="B7225" s="138">
        <f>'Expenditures 15-22'!K343</f>
        <v>61835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14895</v>
      </c>
      <c r="D7263" s="2" t="str">
        <f t="shared" si="112"/>
        <v>Error?</v>
      </c>
    </row>
    <row r="7264" spans="1:4" x14ac:dyDescent="0.2">
      <c r="A7264">
        <f t="shared" si="113"/>
        <v>7203</v>
      </c>
      <c r="B7264" s="138">
        <f>'Expenditures 15-22'!D17</f>
        <v>4214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15593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15593</v>
      </c>
      <c r="D7609" s="2" t="str">
        <f t="shared" si="122"/>
        <v>Error?</v>
      </c>
      <c r="E7609" s="2" t="s">
        <v>19</v>
      </c>
    </row>
    <row r="7610" spans="1:5" x14ac:dyDescent="0.2">
      <c r="A7610">
        <f t="shared" si="123"/>
        <v>7549</v>
      </c>
      <c r="B7610" s="138">
        <f>'Cap Outlay Deprec 26'!H9</f>
        <v>12480</v>
      </c>
      <c r="D7610" s="2" t="str">
        <f t="shared" si="122"/>
        <v>Error?</v>
      </c>
      <c r="E7610" s="2" t="s">
        <v>19</v>
      </c>
    </row>
    <row r="7611" spans="1:5" x14ac:dyDescent="0.2">
      <c r="A7611">
        <f t="shared" si="123"/>
        <v>7550</v>
      </c>
      <c r="B7611" s="138">
        <f>'Cap Outlay Deprec 26'!I9</f>
        <v>780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13260</v>
      </c>
      <c r="D7613" s="2" t="str">
        <f t="shared" si="122"/>
        <v>Error?</v>
      </c>
      <c r="E7613" s="2" t="s">
        <v>19</v>
      </c>
    </row>
    <row r="7614" spans="1:5" x14ac:dyDescent="0.2">
      <c r="A7614">
        <f t="shared" si="123"/>
        <v>7553</v>
      </c>
      <c r="B7614" s="138">
        <f>'Cap Outlay Deprec 26'!L9</f>
        <v>2333</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312976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8680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8680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25146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8680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8680</v>
      </c>
      <c r="D7727" s="2" t="str">
        <f t="shared" si="126"/>
        <v>Error?</v>
      </c>
      <c r="E7727" s="2" t="s">
        <v>827</v>
      </c>
    </row>
    <row r="7728" spans="1:6" x14ac:dyDescent="0.2">
      <c r="A7728">
        <v>7667</v>
      </c>
      <c r="B7728" s="138">
        <f>'Revenues 9-14'!E103</f>
        <v>8680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8680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115320</v>
      </c>
      <c r="D7797" s="2" t="str">
        <f t="shared" si="127"/>
        <v>Error?</v>
      </c>
      <c r="E7797" s="4" t="s">
        <v>1904</v>
      </c>
    </row>
    <row r="7798" spans="1:5" x14ac:dyDescent="0.2">
      <c r="A7798">
        <v>7737</v>
      </c>
      <c r="B7798" s="138">
        <f>'Contracts Paid in CY 29'!F141</f>
        <v>66203</v>
      </c>
      <c r="D7798" s="2" t="str">
        <f t="shared" si="127"/>
        <v>Error?</v>
      </c>
      <c r="E7798" s="4" t="s">
        <v>1904</v>
      </c>
    </row>
    <row r="7799" spans="1:5" x14ac:dyDescent="0.2">
      <c r="A7799">
        <v>7738</v>
      </c>
      <c r="B7799" s="138">
        <f>'Contracts Paid in CY 29'!G141</f>
        <v>19280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7" sqref="A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1989</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2" t="str">
        <f>COVER!A17</f>
        <v>New Athens CUSD 60</v>
      </c>
      <c r="B7" s="2413"/>
      <c r="C7" s="2413"/>
      <c r="D7" s="2414"/>
      <c r="E7" s="2415">
        <f>COVER!A13</f>
        <v>50082060026</v>
      </c>
      <c r="F7" s="2416"/>
      <c r="G7" s="2422" t="str">
        <f>COVER!T23</f>
        <v>065-023476</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396" t="str">
        <f>COVER!T13</f>
        <v>SCHEFFEL BOYLE</v>
      </c>
      <c r="H9" s="2428"/>
      <c r="I9" s="2428"/>
      <c r="J9" s="2428"/>
      <c r="K9" s="2428"/>
      <c r="L9" s="2429"/>
    </row>
    <row r="10" spans="1:29" ht="13.5" customHeight="1" x14ac:dyDescent="0.2">
      <c r="A10" s="2402">
        <f>COVER!A38</f>
        <v>0</v>
      </c>
      <c r="B10" s="2403"/>
      <c r="C10" s="2403"/>
      <c r="D10" s="2403"/>
      <c r="E10" s="2403"/>
      <c r="F10" s="2404"/>
      <c r="G10" s="2396" t="str">
        <f>COVER!T17</f>
        <v>222 EAST MAIN STREET</v>
      </c>
      <c r="H10" s="2397"/>
      <c r="I10" s="2397"/>
      <c r="J10" s="2397"/>
      <c r="K10" s="2397"/>
      <c r="L10" s="2398"/>
    </row>
    <row r="11" spans="1:29" ht="13.5" customHeight="1" x14ac:dyDescent="0.2">
      <c r="A11" s="1184" t="s">
        <v>1519</v>
      </c>
      <c r="B11" s="1185"/>
      <c r="C11" s="1186"/>
      <c r="D11" s="1191"/>
      <c r="E11" s="1186"/>
      <c r="F11" s="1190"/>
      <c r="G11" s="2396" t="str">
        <f>COVER!T19</f>
        <v>BELLEVILLE</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brian.otten@scheffelboyle.com</v>
      </c>
      <c r="J13" s="2409"/>
      <c r="K13" s="2409"/>
      <c r="L13" s="2410"/>
    </row>
    <row r="14" spans="1:29" ht="13.5" customHeight="1" x14ac:dyDescent="0.2">
      <c r="A14" s="2396" t="str">
        <f>COVER!A19</f>
        <v>501 HANFT ST.</v>
      </c>
      <c r="B14" s="2397"/>
      <c r="C14" s="2397"/>
      <c r="D14" s="2397"/>
      <c r="E14" s="2397"/>
      <c r="F14" s="2398"/>
      <c r="G14" s="1195" t="s">
        <v>1185</v>
      </c>
      <c r="H14" s="1193"/>
      <c r="I14" s="1193"/>
      <c r="J14" s="1193"/>
      <c r="K14" s="1193"/>
      <c r="L14" s="1194"/>
    </row>
    <row r="15" spans="1:29" ht="13.5" customHeight="1" x14ac:dyDescent="0.2">
      <c r="A15" s="2396" t="str">
        <f>COVER!A21</f>
        <v>NEW ATHENS</v>
      </c>
      <c r="B15" s="2397"/>
      <c r="C15" s="2397"/>
      <c r="D15" s="2397"/>
      <c r="E15" s="2397"/>
      <c r="F15" s="2398"/>
      <c r="G15" s="2393" t="str">
        <f>COVER!T15</f>
        <v>BRIAN A. OTTEN, CPA</v>
      </c>
      <c r="H15" s="2394"/>
      <c r="I15" s="2394"/>
      <c r="J15" s="2394"/>
      <c r="K15" s="2394"/>
      <c r="L15" s="2395"/>
    </row>
    <row r="16" spans="1:29" ht="12.2" customHeight="1" x14ac:dyDescent="0.2">
      <c r="A16" s="2418">
        <f>COVER!A25</f>
        <v>62264</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02"/>
      <c r="B18" s="2403"/>
      <c r="C18" s="2403"/>
      <c r="D18" s="2403"/>
      <c r="E18" s="2403"/>
      <c r="F18" s="2404"/>
      <c r="G18" s="2412" t="str">
        <f>COVER!T21</f>
        <v>618-277-8100</v>
      </c>
      <c r="H18" s="2413"/>
      <c r="I18" s="2413"/>
      <c r="J18" s="2413"/>
      <c r="K18" s="2412" t="str">
        <f>COVER!X21</f>
        <v>618-277-9307</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7" sqref="A7:L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New Athens CUSD 60</v>
      </c>
      <c r="B1" s="2411"/>
      <c r="C1" s="2411"/>
      <c r="D1" s="2411"/>
    </row>
    <row r="2" spans="1:11" s="1212" customFormat="1" ht="12.75" x14ac:dyDescent="0.2">
      <c r="A2" s="2435">
        <f>'Single Audit Cover'!E7</f>
        <v>50082060026</v>
      </c>
      <c r="B2" s="2436"/>
      <c r="C2" s="2436"/>
      <c r="D2" s="2436"/>
    </row>
    <row r="3" spans="1:11" s="1212" customFormat="1" ht="12.75" x14ac:dyDescent="0.2">
      <c r="A3" s="2434"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L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New Athens CUSD 60</v>
      </c>
      <c r="B1" s="2438"/>
      <c r="C1" s="2438"/>
      <c r="D1" s="2438"/>
      <c r="E1" s="2438"/>
    </row>
    <row r="2" spans="1:5" x14ac:dyDescent="0.2">
      <c r="A2" s="2439">
        <f>'Single Audit Cover'!E7</f>
        <v>50082060026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433976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13852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-12321</v>
      </c>
    </row>
    <row r="19" spans="1:4" ht="13.5" thickBot="1" x14ac:dyDescent="0.25">
      <c r="A19" s="1262" t="s">
        <v>1235</v>
      </c>
      <c r="D19" s="1263">
        <f>SUM(D10:D17)</f>
        <v>435507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435507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0</v>
      </c>
    </row>
    <row r="49" spans="2:4" x14ac:dyDescent="0.2">
      <c r="B49" s="1269" t="s">
        <v>1226</v>
      </c>
      <c r="C49" s="1269"/>
      <c r="D49" s="1270">
        <f>D32-D47</f>
        <v>435507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7" sqref="A7:L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New Athens CUSD 60</v>
      </c>
      <c r="C1" s="2442"/>
      <c r="D1" s="2442"/>
      <c r="E1" s="2442"/>
      <c r="F1" s="2442"/>
      <c r="G1" s="2442"/>
      <c r="H1" s="2442"/>
      <c r="I1" s="2442"/>
      <c r="J1" s="2442"/>
      <c r="K1" s="2442"/>
      <c r="L1" s="2442"/>
      <c r="M1" s="2442"/>
    </row>
    <row r="2" spans="2:14" ht="15" x14ac:dyDescent="0.2">
      <c r="B2" s="2443">
        <f>'Single Audit Cover'!E7</f>
        <v>50082060026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L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New Athens CUSD 60</v>
      </c>
      <c r="B1" s="2455"/>
      <c r="C1" s="2455"/>
      <c r="D1" s="2455"/>
      <c r="E1" s="2455"/>
      <c r="F1" s="2455"/>
    </row>
    <row r="2" spans="1:7" ht="13.5" customHeight="1" x14ac:dyDescent="0.2">
      <c r="A2" s="2443">
        <f>'Single Audit Cover'!E7</f>
        <v>50082060026</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1729</v>
      </c>
      <c r="B7" s="2454"/>
      <c r="C7" s="2454"/>
      <c r="D7" s="2454"/>
      <c r="E7" s="2454"/>
      <c r="F7" s="245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4" t="s">
        <v>1731</v>
      </c>
      <c r="B13" s="2454"/>
      <c r="C13" s="2454"/>
      <c r="D13" s="2454"/>
      <c r="E13" s="2454"/>
      <c r="F13" s="2454"/>
    </row>
    <row r="14" spans="1:7" ht="9.75" customHeight="1" x14ac:dyDescent="0.2">
      <c r="C14" s="1257"/>
      <c r="D14" s="1257"/>
    </row>
    <row r="15" spans="1:7" ht="13.5" customHeight="1" x14ac:dyDescent="0.2">
      <c r="C15" s="1846" t="s">
        <v>1270</v>
      </c>
      <c r="D15" s="2452" t="s">
        <v>1269</v>
      </c>
      <c r="E15" s="2452"/>
      <c r="F15" s="2452"/>
    </row>
    <row r="16" spans="1:7" ht="13.5" customHeight="1" x14ac:dyDescent="0.2">
      <c r="A16" s="1279"/>
      <c r="B16" s="1273" t="s">
        <v>1268</v>
      </c>
      <c r="C16" s="1846" t="s">
        <v>1267</v>
      </c>
      <c r="D16" s="2453" t="s">
        <v>1588</v>
      </c>
      <c r="E16" s="2453"/>
      <c r="F16" s="2453"/>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1732</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2064</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2134</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7" sqref="A7:L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New Athens CUSD 60</v>
      </c>
      <c r="C1" s="2470"/>
      <c r="D1" s="2470"/>
      <c r="E1" s="2470"/>
      <c r="F1" s="2470"/>
      <c r="G1" s="2470"/>
      <c r="H1" s="2470"/>
      <c r="I1" s="2470"/>
      <c r="J1" s="1406"/>
    </row>
    <row r="2" spans="2:10" s="317" customFormat="1" ht="12.75" customHeight="1" x14ac:dyDescent="0.2">
      <c r="B2" s="2471">
        <f>'Single Audit Cover'!E7</f>
        <v>50082060026</v>
      </c>
      <c r="C2" s="2472"/>
      <c r="D2" s="2472"/>
      <c r="E2" s="2472"/>
      <c r="F2" s="2472"/>
      <c r="G2" s="2472"/>
      <c r="H2" s="2472"/>
      <c r="I2" s="2472"/>
      <c r="J2" s="1406"/>
    </row>
    <row r="3" spans="2:10" s="317" customFormat="1" ht="12.75" customHeight="1" x14ac:dyDescent="0.2">
      <c r="B3" s="2473" t="s">
        <v>1285</v>
      </c>
      <c r="C3" s="2474"/>
      <c r="D3" s="2474"/>
      <c r="E3" s="2474"/>
      <c r="F3" s="2474"/>
      <c r="G3" s="2474"/>
      <c r="H3" s="2474"/>
      <c r="I3" s="2474"/>
      <c r="J3" s="1407"/>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3" t="s">
        <v>1284</v>
      </c>
      <c r="C7" s="2474"/>
      <c r="D7" s="2474"/>
      <c r="E7" s="2474"/>
      <c r="F7" s="2474"/>
      <c r="G7" s="2474"/>
      <c r="H7" s="2474"/>
      <c r="I7" s="247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5" t="s">
        <v>1164</v>
      </c>
      <c r="D11" s="247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2064</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2064</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6"/>
      <c r="E29" s="2476"/>
      <c r="F29" s="2476"/>
      <c r="G29" s="2476"/>
      <c r="H29" s="2476"/>
      <c r="I29" s="247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7" t="s">
        <v>1751</v>
      </c>
      <c r="D37" s="2478"/>
      <c r="E37" s="2478"/>
      <c r="F37" s="2479"/>
      <c r="G37" s="2477" t="s">
        <v>1592</v>
      </c>
      <c r="H37" s="2478"/>
      <c r="I37" s="2479"/>
    </row>
    <row r="38" spans="2:9" ht="16.5" customHeight="1" x14ac:dyDescent="0.2">
      <c r="B38" s="1428"/>
      <c r="C38" s="2465"/>
      <c r="D38" s="2466"/>
      <c r="E38" s="2466"/>
      <c r="F38" s="2467"/>
      <c r="G38" s="2480"/>
      <c r="H38" s="2481"/>
      <c r="I38" s="2482"/>
    </row>
    <row r="39" spans="2:9" ht="16.5" customHeight="1" x14ac:dyDescent="0.2">
      <c r="B39" s="1428"/>
      <c r="C39" s="2465"/>
      <c r="D39" s="2466"/>
      <c r="E39" s="2466"/>
      <c r="F39" s="2467"/>
      <c r="G39" s="2468"/>
      <c r="H39" s="2468"/>
      <c r="I39" s="2468"/>
    </row>
    <row r="40" spans="2:9" ht="16.5" customHeight="1" x14ac:dyDescent="0.2">
      <c r="B40" s="1428"/>
      <c r="C40" s="2465"/>
      <c r="D40" s="2466"/>
      <c r="E40" s="2466"/>
      <c r="F40" s="2467"/>
      <c r="G40" s="2468"/>
      <c r="H40" s="2468"/>
      <c r="I40" s="2468"/>
    </row>
    <row r="41" spans="2:9" ht="16.5" customHeight="1" x14ac:dyDescent="0.2">
      <c r="B41" s="1428"/>
      <c r="C41" s="2465"/>
      <c r="D41" s="2466"/>
      <c r="E41" s="2466"/>
      <c r="F41" s="2467"/>
      <c r="G41" s="2468"/>
      <c r="H41" s="2468"/>
      <c r="I41" s="2468"/>
    </row>
    <row r="42" spans="2:9" ht="16.5" customHeight="1" x14ac:dyDescent="0.2">
      <c r="B42" s="1428"/>
      <c r="C42" s="2465"/>
      <c r="D42" s="2466"/>
      <c r="E42" s="2466"/>
      <c r="F42" s="2467"/>
      <c r="G42" s="2468"/>
      <c r="H42" s="2468"/>
      <c r="I42" s="2468"/>
    </row>
    <row r="43" spans="2:9" ht="16.5" customHeight="1" x14ac:dyDescent="0.2">
      <c r="B43" s="1428"/>
      <c r="C43" s="2458" t="s">
        <v>1593</v>
      </c>
      <c r="D43" s="2459"/>
      <c r="E43" s="2459"/>
      <c r="F43" s="2460"/>
      <c r="G43" s="2461">
        <f>SUM(G38:I42)</f>
        <v>0</v>
      </c>
      <c r="H43" s="2461"/>
      <c r="I43" s="2461"/>
    </row>
    <row r="44" spans="2:9" ht="12.75" customHeight="1" x14ac:dyDescent="0.2"/>
    <row r="45" spans="2:9" ht="12.75" customHeight="1" x14ac:dyDescent="0.2">
      <c r="B45" s="1419" t="s">
        <v>1841</v>
      </c>
      <c r="D45" s="2462">
        <v>0</v>
      </c>
      <c r="E45" s="246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4"/>
      <c r="F49" s="2464"/>
      <c r="G49" s="246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7" sqref="A7:L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New Athens CUSD 60</v>
      </c>
      <c r="C1" s="2469"/>
      <c r="D1" s="2469"/>
      <c r="E1" s="2469"/>
      <c r="F1" s="2469"/>
      <c r="G1" s="2469"/>
      <c r="H1" s="2469"/>
      <c r="I1" s="2469"/>
      <c r="J1" s="2469"/>
      <c r="K1" s="2469"/>
      <c r="L1" s="1371"/>
      <c r="M1" s="1371"/>
    </row>
    <row r="2" spans="1:13" ht="12" customHeight="1" x14ac:dyDescent="0.2">
      <c r="B2" s="2471">
        <f>'Single Audit Cover'!E7</f>
        <v>50082060026</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2079</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2078</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t="s">
        <v>2080</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2081</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2082</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2083</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3" t="s">
        <v>2084</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scaleWithDoc="0">
    <oddFooter>&amp;LSee notes to financial statements.&amp;C44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New Athens CUSD 60</v>
      </c>
      <c r="C1" s="2469"/>
      <c r="D1" s="2469"/>
      <c r="E1" s="2469"/>
      <c r="F1" s="2469"/>
      <c r="G1" s="2469"/>
      <c r="H1" s="2469"/>
      <c r="I1" s="2469"/>
      <c r="J1" s="2469"/>
      <c r="K1" s="2469"/>
      <c r="L1" s="1371"/>
      <c r="M1" s="1371"/>
    </row>
    <row r="2" spans="1:13" ht="12" customHeight="1" x14ac:dyDescent="0.2">
      <c r="B2" s="2471">
        <f>'Single Audit Cover'!E7</f>
        <v>50082060026</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937"/>
      <c r="M3" s="1937"/>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2092</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2136</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t="s">
        <v>2123</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2127</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2093</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2094</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3" t="s">
        <v>2095</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scaleWithDoc="0">
    <oddFooter>&amp;LSee notes to financial statements&amp;C45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7" sqref="A7:L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New Athens CUSD 60</v>
      </c>
      <c r="C1" s="2469"/>
      <c r="D1" s="2469"/>
      <c r="E1" s="2469"/>
      <c r="F1" s="2469"/>
      <c r="G1" s="2469"/>
      <c r="H1" s="2469"/>
      <c r="I1" s="2469"/>
      <c r="J1" s="2469"/>
      <c r="K1" s="2469"/>
      <c r="L1" s="1371"/>
      <c r="M1" s="1371"/>
    </row>
    <row r="2" spans="1:13" ht="12" customHeight="1" x14ac:dyDescent="0.2">
      <c r="B2" s="2471">
        <f>'Single Audit Cover'!E7</f>
        <v>50082060026</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949"/>
      <c r="M3" s="1949"/>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3</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2124</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2125</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t="s">
        <v>2126</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2128</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2129</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2130</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3" t="s">
        <v>2131</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scaleWithDoc="0">
    <oddFooter>&amp;LSee notes to financial statements&amp;C46</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A7" sqref="A7:L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New Athens CUSD 60</v>
      </c>
      <c r="C1" s="2492"/>
      <c r="D1" s="2492"/>
      <c r="E1" s="2492"/>
      <c r="F1" s="2492"/>
      <c r="G1" s="2492"/>
      <c r="H1" s="2492"/>
      <c r="I1" s="2492"/>
      <c r="J1" s="2492"/>
      <c r="K1" s="2492"/>
      <c r="L1" s="1449"/>
    </row>
    <row r="2" spans="1:12" ht="12.75" customHeight="1" x14ac:dyDescent="0.2">
      <c r="B2" s="2493">
        <f>'Single Audit Cover'!E7</f>
        <v>50082060026</v>
      </c>
      <c r="C2" s="2493"/>
      <c r="D2" s="2493"/>
      <c r="E2" s="2493"/>
      <c r="F2" s="2493"/>
      <c r="G2" s="2493"/>
      <c r="H2" s="2493"/>
      <c r="I2" s="2493"/>
      <c r="J2" s="2493"/>
      <c r="K2" s="2493"/>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6"/>
      <c r="G12" s="2476"/>
      <c r="H12" s="2476"/>
      <c r="I12" s="2476"/>
      <c r="J12" s="2476"/>
      <c r="K12" s="247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73"/>
  <sheetViews>
    <sheetView showGridLines="0" zoomScale="110" zoomScaleNormal="110" workbookViewId="0">
      <selection activeCell="G12" sqref="G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New Athens CUSD 60</v>
      </c>
      <c r="C1" s="2469"/>
      <c r="D1" s="2469"/>
      <c r="E1" s="1469"/>
    </row>
    <row r="2" spans="2:5" s="1279" customFormat="1" ht="12.75" customHeight="1" x14ac:dyDescent="0.2">
      <c r="B2" s="2471">
        <f>'Single Audit Cover'!E7</f>
        <v>50082060026</v>
      </c>
      <c r="C2" s="2471"/>
      <c r="D2" s="2471"/>
      <c r="E2" s="1470"/>
    </row>
    <row r="3" spans="2:5" ht="12.75" customHeight="1" x14ac:dyDescent="0.2">
      <c r="B3" s="2485" t="s">
        <v>1766</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2085</v>
      </c>
      <c r="C7" s="324" t="s">
        <v>2086</v>
      </c>
      <c r="D7" s="324" t="s">
        <v>2135</v>
      </c>
      <c r="E7" s="324"/>
    </row>
    <row r="8" spans="2:5" ht="13.5" customHeight="1" x14ac:dyDescent="0.2">
      <c r="B8" s="1474"/>
      <c r="C8" s="324" t="s">
        <v>2087</v>
      </c>
      <c r="D8" s="324"/>
      <c r="E8" s="324"/>
    </row>
    <row r="9" spans="2:5" ht="13.5" customHeight="1" x14ac:dyDescent="0.2">
      <c r="B9" s="1475"/>
      <c r="C9" s="323" t="s">
        <v>2088</v>
      </c>
      <c r="D9" s="323"/>
      <c r="E9" s="323"/>
    </row>
    <row r="10" spans="2:5" ht="13.5" customHeight="1" x14ac:dyDescent="0.2">
      <c r="B10" s="1474"/>
      <c r="C10" s="323" t="s">
        <v>2089</v>
      </c>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oddFooter>&amp;LSee notes to financial statements.&amp;C47</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65223531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2.3E-2</v>
      </c>
      <c r="E10" s="356" t="s">
        <v>1005</v>
      </c>
      <c r="F10" s="355">
        <v>5.0000000000000001E-3</v>
      </c>
      <c r="G10" s="356" t="s">
        <v>1005</v>
      </c>
      <c r="H10" s="355">
        <v>2E-3</v>
      </c>
      <c r="I10" s="356" t="s">
        <v>1006</v>
      </c>
      <c r="J10" s="1732">
        <f>ROUND(D10+F10+H10,5)</f>
        <v>0.03</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4096918</v>
      </c>
      <c r="E16" s="356"/>
      <c r="F16" s="1733">
        <f>SUM('Acct Summary 7-8'!C17,'Acct Summary 7-8'!D17,'Acct Summary 7-8'!F17)</f>
        <v>4312298</v>
      </c>
      <c r="G16" s="356"/>
      <c r="H16" s="1733">
        <f>SUM(D16-F16)</f>
        <v>-215380</v>
      </c>
      <c r="I16" s="222"/>
      <c r="J16" s="1733">
        <f>SUM('Acct Summary 7-8'!C81,'Acct Summary 7-8'!D81,'Acct Summary 7-8'!F81,'Acct Summary 7-8'!I81)</f>
        <v>775987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9000847.2780000009</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1477630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 Athens CUSD 60</v>
      </c>
      <c r="E7" s="391"/>
      <c r="G7" s="252"/>
      <c r="H7" s="387"/>
      <c r="I7" s="387"/>
      <c r="J7" s="387"/>
      <c r="K7" s="387"/>
      <c r="L7" s="329"/>
      <c r="M7" s="329"/>
      <c r="N7" s="329"/>
      <c r="O7" s="329"/>
      <c r="P7" s="329"/>
    </row>
    <row r="8" spans="1:18" ht="12.75" x14ac:dyDescent="0.2">
      <c r="A8" s="329"/>
      <c r="B8" s="329"/>
      <c r="C8" s="389" t="s">
        <v>1125</v>
      </c>
      <c r="D8" s="392">
        <f>COVER!A13</f>
        <v>50082060026</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775987</v>
      </c>
      <c r="I12" s="404"/>
      <c r="J12" s="404"/>
      <c r="K12" s="405">
        <f>TRUNC((H12/H13*100000),5)/100000</f>
        <v>0.18940750090000003</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4096918</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4312298</v>
      </c>
      <c r="I17" s="404"/>
      <c r="J17" s="416"/>
      <c r="K17" s="405">
        <f>TRUNC((H17/H18*100000),5)/100000</f>
        <v>1.0525712253999999</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4096918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1.7006926999999998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1115617</v>
      </c>
      <c r="I24" s="422"/>
      <c r="J24" s="422"/>
      <c r="K24" s="423">
        <f>TRUNC(((H24/H25*100000)/100000),2)</f>
        <v>93.13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11978.60556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1663200.0404999999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1477630</v>
      </c>
      <c r="I32" s="420"/>
      <c r="J32" s="420"/>
      <c r="K32" s="423">
        <f>TRUNC(100-((((H32/H33*100))*100)/100),2)</f>
        <v>83.58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9000847.2780000009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3.1999999999999993</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3" activePane="bottomLeft" state="frozen"/>
      <selection activeCell="G40" sqref="G40"/>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215173</v>
      </c>
      <c r="D4" s="466">
        <v>163510</v>
      </c>
      <c r="E4" s="466">
        <v>404965</v>
      </c>
      <c r="F4" s="466">
        <v>467817</v>
      </c>
      <c r="G4" s="466">
        <v>221166</v>
      </c>
      <c r="H4" s="466"/>
      <c r="I4" s="466">
        <v>269117</v>
      </c>
      <c r="J4" s="467">
        <v>244036</v>
      </c>
      <c r="K4" s="466">
        <v>190602</v>
      </c>
      <c r="L4" s="466">
        <v>95354</v>
      </c>
      <c r="M4" s="468"/>
      <c r="N4" s="469"/>
    </row>
    <row r="5" spans="1:14" x14ac:dyDescent="0.2">
      <c r="A5" s="463" t="s">
        <v>992</v>
      </c>
      <c r="B5" s="470">
        <v>120</v>
      </c>
      <c r="C5" s="465"/>
      <c r="D5" s="466"/>
      <c r="E5" s="466">
        <v>60726</v>
      </c>
      <c r="F5" s="466"/>
      <c r="G5" s="466"/>
      <c r="H5" s="466"/>
      <c r="I5" s="466"/>
      <c r="J5" s="467"/>
      <c r="K5" s="471"/>
      <c r="L5" s="472">
        <v>80931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215173</v>
      </c>
      <c r="D13" s="1737">
        <f t="shared" ref="D13:L13" si="0">SUM(D4:D12)</f>
        <v>163510</v>
      </c>
      <c r="E13" s="1737">
        <f t="shared" si="0"/>
        <v>465691</v>
      </c>
      <c r="F13" s="1737">
        <f t="shared" si="0"/>
        <v>467817</v>
      </c>
      <c r="G13" s="1737">
        <f t="shared" si="0"/>
        <v>221166</v>
      </c>
      <c r="H13" s="1737">
        <f t="shared" si="0"/>
        <v>0</v>
      </c>
      <c r="I13" s="1737">
        <f t="shared" si="0"/>
        <v>269117</v>
      </c>
      <c r="J13" s="1737">
        <f t="shared" si="0"/>
        <v>244036</v>
      </c>
      <c r="K13" s="1737">
        <f t="shared" si="0"/>
        <v>190602</v>
      </c>
      <c r="L13" s="1737">
        <f t="shared" si="0"/>
        <v>176285</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98609</v>
      </c>
      <c r="N16" s="484"/>
    </row>
    <row r="17" spans="1:14" s="485" customFormat="1" ht="12.75" customHeight="1" x14ac:dyDescent="0.2">
      <c r="A17" s="482" t="s">
        <v>1403</v>
      </c>
      <c r="B17" s="483">
        <v>230</v>
      </c>
      <c r="C17" s="477"/>
      <c r="D17" s="477"/>
      <c r="E17" s="477"/>
      <c r="F17" s="477"/>
      <c r="G17" s="477"/>
      <c r="H17" s="477"/>
      <c r="I17" s="477"/>
      <c r="J17" s="477"/>
      <c r="K17" s="477"/>
      <c r="L17" s="477"/>
      <c r="M17" s="467">
        <v>3094635</v>
      </c>
      <c r="N17" s="484"/>
    </row>
    <row r="18" spans="1:14" s="485" customFormat="1" ht="12.75" customHeight="1" x14ac:dyDescent="0.2">
      <c r="A18" s="482" t="s">
        <v>1404</v>
      </c>
      <c r="B18" s="483">
        <v>240</v>
      </c>
      <c r="C18" s="477"/>
      <c r="D18" s="477"/>
      <c r="E18" s="477"/>
      <c r="F18" s="477"/>
      <c r="G18" s="477"/>
      <c r="H18" s="477"/>
      <c r="I18" s="477"/>
      <c r="J18" s="477"/>
      <c r="K18" s="477"/>
      <c r="L18" s="477"/>
      <c r="M18" s="467">
        <v>2108</v>
      </c>
      <c r="N18" s="484"/>
    </row>
    <row r="19" spans="1:14" s="485" customFormat="1" ht="12.75" customHeight="1" x14ac:dyDescent="0.2">
      <c r="A19" s="482" t="s">
        <v>1405</v>
      </c>
      <c r="B19" s="483">
        <v>250</v>
      </c>
      <c r="C19" s="477"/>
      <c r="D19" s="477"/>
      <c r="E19" s="477"/>
      <c r="F19" s="477"/>
      <c r="G19" s="477"/>
      <c r="H19" s="477"/>
      <c r="I19" s="477"/>
      <c r="J19" s="477"/>
      <c r="K19" s="477"/>
      <c r="L19" s="477"/>
      <c r="M19" s="467">
        <v>451162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465691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1011939</v>
      </c>
    </row>
    <row r="23" spans="1:14" ht="13.5" customHeight="1" thickBot="1" x14ac:dyDescent="0.25">
      <c r="A23" s="1736" t="s">
        <v>643</v>
      </c>
      <c r="B23" s="1741"/>
      <c r="C23" s="468"/>
      <c r="D23" s="468"/>
      <c r="E23" s="468"/>
      <c r="F23" s="468"/>
      <c r="G23" s="468"/>
      <c r="H23" s="468"/>
      <c r="I23" s="468"/>
      <c r="J23" s="468"/>
      <c r="K23" s="468"/>
      <c r="L23" s="468"/>
      <c r="M23" s="1688">
        <f>SUM(M15:M22)</f>
        <v>3646514</v>
      </c>
      <c r="N23" s="1688">
        <f>SUM(N21:N22)</f>
        <v>1477630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v>292995</v>
      </c>
      <c r="G28" s="474"/>
      <c r="H28" s="474"/>
      <c r="I28" s="467"/>
      <c r="J28" s="467"/>
      <c r="K28" s="479"/>
      <c r="L28" s="468"/>
      <c r="M28" s="468"/>
      <c r="N28" s="468"/>
    </row>
    <row r="29" spans="1:14" ht="13.5" customHeight="1" x14ac:dyDescent="0.2">
      <c r="A29" s="473" t="s">
        <v>649</v>
      </c>
      <c r="B29" s="470">
        <v>460</v>
      </c>
      <c r="C29" s="488"/>
      <c r="D29" s="489"/>
      <c r="E29" s="474"/>
      <c r="F29" s="467">
        <v>46635</v>
      </c>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176285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339630</v>
      </c>
      <c r="G34" s="1740">
        <f t="shared" si="1"/>
        <v>0</v>
      </c>
      <c r="H34" s="1740">
        <f t="shared" si="1"/>
        <v>0</v>
      </c>
      <c r="I34" s="1740">
        <f t="shared" si="1"/>
        <v>0</v>
      </c>
      <c r="J34" s="1740">
        <f t="shared" si="1"/>
        <v>0</v>
      </c>
      <c r="K34" s="1740">
        <f t="shared" si="1"/>
        <v>0</v>
      </c>
      <c r="L34" s="1721">
        <f>SUM(L33)</f>
        <v>176285</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1477630</v>
      </c>
    </row>
    <row r="37" spans="1:14" ht="13.5" thickBot="1" x14ac:dyDescent="0.25">
      <c r="A37" s="1736" t="s">
        <v>653</v>
      </c>
      <c r="B37" s="1741"/>
      <c r="C37" s="477"/>
      <c r="D37" s="477"/>
      <c r="E37" s="477"/>
      <c r="F37" s="477"/>
      <c r="G37" s="477"/>
      <c r="H37" s="477"/>
      <c r="I37" s="477"/>
      <c r="J37" s="477"/>
      <c r="K37" s="477"/>
      <c r="L37" s="480"/>
      <c r="M37" s="468"/>
      <c r="N37" s="1688">
        <f>SUM(N36:N36)</f>
        <v>1477630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215173</v>
      </c>
      <c r="D39" s="466">
        <v>163510</v>
      </c>
      <c r="E39" s="466">
        <v>465691</v>
      </c>
      <c r="F39" s="466">
        <v>128187</v>
      </c>
      <c r="G39" s="466">
        <v>221166</v>
      </c>
      <c r="H39" s="466"/>
      <c r="I39" s="466">
        <v>269117</v>
      </c>
      <c r="J39" s="467">
        <v>244036</v>
      </c>
      <c r="K39" s="466">
        <v>190602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3646514</v>
      </c>
      <c r="N40" s="497"/>
    </row>
    <row r="41" spans="1:14" ht="13.5" customHeight="1" thickBot="1" x14ac:dyDescent="0.25">
      <c r="A41" s="1736" t="s">
        <v>655</v>
      </c>
      <c r="B41" s="1706"/>
      <c r="C41" s="1688">
        <f>(SUM(C34,C37,C38,C39))</f>
        <v>215173</v>
      </c>
      <c r="D41" s="1688">
        <f t="shared" ref="D41:L41" si="2">SUM(D34,D37,D38:D39)</f>
        <v>163510</v>
      </c>
      <c r="E41" s="1688">
        <f t="shared" si="2"/>
        <v>465691</v>
      </c>
      <c r="F41" s="1688">
        <f t="shared" si="2"/>
        <v>467817</v>
      </c>
      <c r="G41" s="1688">
        <f t="shared" si="2"/>
        <v>221166</v>
      </c>
      <c r="H41" s="1688">
        <f t="shared" si="2"/>
        <v>0</v>
      </c>
      <c r="I41" s="1688">
        <f t="shared" si="2"/>
        <v>269117</v>
      </c>
      <c r="J41" s="1688">
        <f t="shared" si="2"/>
        <v>244036</v>
      </c>
      <c r="K41" s="1688">
        <f t="shared" si="2"/>
        <v>190602</v>
      </c>
      <c r="L41" s="1688">
        <f t="shared" si="2"/>
        <v>176285</v>
      </c>
      <c r="M41" s="1688">
        <f>SUM(M40)</f>
        <v>3646514</v>
      </c>
      <c r="N41" s="1688">
        <f>SUM(N37)</f>
        <v>1477630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
      <selection activeCell="A4" sqref="A4:F4"/>
      <selection pane="bottomLeft" activeCell="D79" sqref="D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1809319</v>
      </c>
      <c r="D4" s="1742">
        <f>'Revenues 9-14'!D109</f>
        <v>350945</v>
      </c>
      <c r="E4" s="1742">
        <f>'Revenues 9-14'!E109</f>
        <v>602756</v>
      </c>
      <c r="F4" s="1742">
        <f>'Revenues 9-14'!F109</f>
        <v>128679</v>
      </c>
      <c r="G4" s="1742">
        <f>'Revenues 9-14'!G109</f>
        <v>141354</v>
      </c>
      <c r="H4" s="1742">
        <f>'Revenues 9-14'!H109</f>
        <v>0</v>
      </c>
      <c r="I4" s="1742">
        <f>'Revenues 9-14'!I109</f>
        <v>31696</v>
      </c>
      <c r="J4" s="1742">
        <f>'Revenues 9-14'!J109</f>
        <v>651433</v>
      </c>
      <c r="K4" s="1742">
        <f>'Revenues 9-14'!K109</f>
        <v>42495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1187456</v>
      </c>
      <c r="D6" s="1743">
        <f>'Revenues 9-14'!D170</f>
        <v>0</v>
      </c>
      <c r="E6" s="1743">
        <f>'Revenues 9-14'!E170</f>
        <v>0</v>
      </c>
      <c r="F6" s="1743">
        <f>'Revenues 9-14'!F170</f>
        <v>154847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433976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3430751</v>
      </c>
      <c r="D8" s="1688">
        <f t="shared" ref="D8:K8" si="0">SUM(D4:D7)</f>
        <v>350945</v>
      </c>
      <c r="E8" s="1688">
        <f t="shared" si="0"/>
        <v>602756</v>
      </c>
      <c r="F8" s="1688">
        <f t="shared" si="0"/>
        <v>283526</v>
      </c>
      <c r="G8" s="1688">
        <f t="shared" si="0"/>
        <v>141354</v>
      </c>
      <c r="H8" s="1688">
        <f t="shared" si="0"/>
        <v>0</v>
      </c>
      <c r="I8" s="1688">
        <f t="shared" si="0"/>
        <v>31696</v>
      </c>
      <c r="J8" s="1688">
        <f t="shared" si="0"/>
        <v>651433</v>
      </c>
      <c r="K8" s="1688">
        <f t="shared" si="0"/>
        <v>42495</v>
      </c>
      <c r="L8" s="347"/>
    </row>
    <row r="9" spans="1:13" ht="15.75" thickTop="1" x14ac:dyDescent="0.2">
      <c r="A9" s="514" t="s">
        <v>1653</v>
      </c>
      <c r="B9" s="515">
        <v>3998</v>
      </c>
      <c r="C9" s="481">
        <v>1358857</v>
      </c>
      <c r="D9" s="516"/>
      <c r="E9" s="481"/>
      <c r="F9" s="481"/>
      <c r="G9" s="517"/>
      <c r="H9" s="481"/>
      <c r="I9" s="509" t="s">
        <v>1169</v>
      </c>
      <c r="J9" s="478"/>
      <c r="K9" s="481"/>
      <c r="L9" s="347"/>
    </row>
    <row r="10" spans="1:13" s="519" customFormat="1" ht="13.5" thickBot="1" x14ac:dyDescent="0.25">
      <c r="A10" s="1736" t="s">
        <v>1173</v>
      </c>
      <c r="B10" s="1709"/>
      <c r="C10" s="1688">
        <f>SUM(C8:C9)</f>
        <v>4789608</v>
      </c>
      <c r="D10" s="1688">
        <f t="shared" ref="D10:K10" si="1">SUM(D8:D9)</f>
        <v>350945</v>
      </c>
      <c r="E10" s="1688">
        <f t="shared" si="1"/>
        <v>602756</v>
      </c>
      <c r="F10" s="1688">
        <f t="shared" si="1"/>
        <v>283526</v>
      </c>
      <c r="G10" s="1688">
        <f t="shared" si="1"/>
        <v>141354</v>
      </c>
      <c r="H10" s="1688">
        <f t="shared" si="1"/>
        <v>0</v>
      </c>
      <c r="I10" s="1688">
        <f t="shared" si="1"/>
        <v>31696</v>
      </c>
      <c r="J10" s="1688">
        <f t="shared" si="1"/>
        <v>651433</v>
      </c>
      <c r="K10" s="1688">
        <f t="shared" si="1"/>
        <v>42495</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2571357</v>
      </c>
      <c r="D12" s="520" t="s">
        <v>1169</v>
      </c>
      <c r="E12" s="468" t="s">
        <v>1169</v>
      </c>
      <c r="F12" s="468" t="s">
        <v>1169</v>
      </c>
      <c r="G12" s="1742">
        <f>'Expenditures 15-22'!K229</f>
        <v>49553</v>
      </c>
      <c r="H12" s="521"/>
      <c r="I12" s="468" t="s">
        <v>1169</v>
      </c>
      <c r="J12" s="468" t="s">
        <v>1169</v>
      </c>
      <c r="K12" s="521" t="s">
        <v>1169</v>
      </c>
      <c r="L12" s="347"/>
    </row>
    <row r="13" spans="1:13" ht="15.75" customHeight="1" x14ac:dyDescent="0.2">
      <c r="A13" s="1576" t="s">
        <v>457</v>
      </c>
      <c r="B13" s="1578">
        <v>2000</v>
      </c>
      <c r="C13" s="1743">
        <f>'Expenditures 15-22'!K74</f>
        <v>808684</v>
      </c>
      <c r="D13" s="1743">
        <f>'Expenditures 15-22'!K129</f>
        <v>466856</v>
      </c>
      <c r="E13" s="469" t="s">
        <v>1169</v>
      </c>
      <c r="F13" s="1743">
        <f>'Expenditures 15-22'!K184</f>
        <v>202925</v>
      </c>
      <c r="G13" s="1743">
        <f>'Expenditures 15-22'!K279</f>
        <v>82866</v>
      </c>
      <c r="H13" s="1743">
        <f>'Expenditures 15-22'!K303</f>
        <v>0</v>
      </c>
      <c r="I13" s="468" t="s">
        <v>1169</v>
      </c>
      <c r="J13" s="1743">
        <f>'Expenditures 15-22'!K330</f>
        <v>589598</v>
      </c>
      <c r="K13" s="1747">
        <f>'Expenditures 15-22'!K352</f>
        <v>25110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262476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765284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3642517</v>
      </c>
      <c r="D17" s="1688">
        <f t="shared" si="2"/>
        <v>466856</v>
      </c>
      <c r="E17" s="1688">
        <f t="shared" si="2"/>
        <v>765284</v>
      </c>
      <c r="F17" s="1688">
        <f t="shared" si="2"/>
        <v>202925</v>
      </c>
      <c r="G17" s="1688">
        <f t="shared" si="2"/>
        <v>132419</v>
      </c>
      <c r="H17" s="1688">
        <f t="shared" si="2"/>
        <v>0</v>
      </c>
      <c r="I17" s="468"/>
      <c r="J17" s="1688">
        <f>SUM(J12:J16)</f>
        <v>589598</v>
      </c>
      <c r="K17" s="1688">
        <f>SUM(K12:K16)</f>
        <v>25110</v>
      </c>
      <c r="L17" s="347"/>
    </row>
    <row r="18" spans="1:12" ht="15" customHeight="1" thickTop="1" x14ac:dyDescent="0.2">
      <c r="A18" s="1744" t="s">
        <v>1654</v>
      </c>
      <c r="B18" s="1745">
        <v>4180</v>
      </c>
      <c r="C18" s="1742">
        <f t="shared" ref="C18:H18" si="3">C9</f>
        <v>1358857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5001374</v>
      </c>
      <c r="D19" s="1688">
        <f t="shared" si="4"/>
        <v>466856</v>
      </c>
      <c r="E19" s="1688">
        <f t="shared" si="4"/>
        <v>765284</v>
      </c>
      <c r="F19" s="1688">
        <f t="shared" si="4"/>
        <v>202925</v>
      </c>
      <c r="G19" s="1688">
        <f t="shared" si="4"/>
        <v>132419</v>
      </c>
      <c r="H19" s="1688">
        <f t="shared" si="4"/>
        <v>0</v>
      </c>
      <c r="I19" s="468"/>
      <c r="J19" s="1688">
        <f>SUM(J17:J18)</f>
        <v>589598</v>
      </c>
      <c r="K19" s="1688">
        <f>SUM(K17:K18)</f>
        <v>25110</v>
      </c>
      <c r="L19" s="347"/>
    </row>
    <row r="20" spans="1:12" ht="16.5" thickTop="1" thickBot="1" x14ac:dyDescent="0.25">
      <c r="A20" s="2135" t="s">
        <v>1655</v>
      </c>
      <c r="B20" s="2136"/>
      <c r="C20" s="1746">
        <f>C8-C17</f>
        <v>-211766</v>
      </c>
      <c r="D20" s="1746">
        <f t="shared" ref="D20:K20" si="5">D8-D17</f>
        <v>-115911</v>
      </c>
      <c r="E20" s="1746">
        <f t="shared" si="5"/>
        <v>-162528</v>
      </c>
      <c r="F20" s="1746">
        <f t="shared" si="5"/>
        <v>80601</v>
      </c>
      <c r="G20" s="1746">
        <f t="shared" si="5"/>
        <v>8935</v>
      </c>
      <c r="H20" s="1746">
        <f t="shared" si="5"/>
        <v>0</v>
      </c>
      <c r="I20" s="1746">
        <f t="shared" si="5"/>
        <v>31696</v>
      </c>
      <c r="J20" s="1746">
        <f t="shared" si="5"/>
        <v>61835</v>
      </c>
      <c r="K20" s="1746">
        <f t="shared" si="5"/>
        <v>17385</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7" t="s">
        <v>1177</v>
      </c>
      <c r="B77" s="212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1" t="s">
        <v>597</v>
      </c>
      <c r="B78" s="2132"/>
      <c r="C78" s="1702">
        <f t="shared" ref="C78:K78" si="9">C20+C77</f>
        <v>-211766</v>
      </c>
      <c r="D78" s="1702">
        <f t="shared" si="9"/>
        <v>-115911</v>
      </c>
      <c r="E78" s="1702">
        <f t="shared" si="9"/>
        <v>-162528</v>
      </c>
      <c r="F78" s="1702">
        <f t="shared" si="9"/>
        <v>80601</v>
      </c>
      <c r="G78" s="1702">
        <f t="shared" si="9"/>
        <v>8935</v>
      </c>
      <c r="H78" s="1702">
        <f t="shared" si="9"/>
        <v>0</v>
      </c>
      <c r="I78" s="1702">
        <f t="shared" si="9"/>
        <v>31696</v>
      </c>
      <c r="J78" s="1702">
        <f t="shared" si="9"/>
        <v>61835</v>
      </c>
      <c r="K78" s="1702">
        <f t="shared" si="9"/>
        <v>17385</v>
      </c>
      <c r="L78" s="533"/>
    </row>
    <row r="79" spans="1:12" ht="13.5" thickTop="1" x14ac:dyDescent="0.2">
      <c r="A79" s="1494" t="s">
        <v>1949</v>
      </c>
      <c r="B79" s="534"/>
      <c r="C79" s="478">
        <v>426939</v>
      </c>
      <c r="D79" s="535">
        <v>279421</v>
      </c>
      <c r="E79" s="535">
        <v>628219</v>
      </c>
      <c r="F79" s="535">
        <v>47586</v>
      </c>
      <c r="G79" s="535">
        <v>212231</v>
      </c>
      <c r="H79" s="535"/>
      <c r="I79" s="535">
        <v>237421</v>
      </c>
      <c r="J79" s="535">
        <v>182201</v>
      </c>
      <c r="K79" s="535">
        <v>173217</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1950</v>
      </c>
      <c r="B81" s="2130"/>
      <c r="C81" s="1688">
        <f>(SUM(C78:C80))</f>
        <v>215173</v>
      </c>
      <c r="D81" s="1688">
        <f>SUM(D78:D80)</f>
        <v>163510</v>
      </c>
      <c r="E81" s="1688">
        <f t="shared" ref="E81:K81" si="10">SUM(E78:E80)</f>
        <v>465691</v>
      </c>
      <c r="F81" s="1688">
        <f t="shared" si="10"/>
        <v>128187</v>
      </c>
      <c r="G81" s="1688">
        <f t="shared" si="10"/>
        <v>221166</v>
      </c>
      <c r="H81" s="1688">
        <f t="shared" si="10"/>
        <v>0</v>
      </c>
      <c r="I81" s="1688">
        <f t="shared" si="10"/>
        <v>269117</v>
      </c>
      <c r="J81" s="1688">
        <f t="shared" si="10"/>
        <v>244036</v>
      </c>
      <c r="K81" s="1688">
        <f t="shared" si="10"/>
        <v>190602</v>
      </c>
      <c r="L81" s="347"/>
    </row>
    <row r="82" spans="1:12" ht="0.75" customHeight="1" thickTop="1" thickBot="1" x14ac:dyDescent="0.25">
      <c r="A82" s="536" t="s">
        <v>343</v>
      </c>
      <c r="B82" s="537"/>
      <c r="C82" s="538">
        <f>(C81-C79)</f>
        <v>-211766</v>
      </c>
      <c r="D82" s="538">
        <f t="shared" ref="D82:K82" si="11">(D81-D79)</f>
        <v>-115911</v>
      </c>
      <c r="E82" s="538">
        <f t="shared" si="11"/>
        <v>-162528</v>
      </c>
      <c r="F82" s="538">
        <f t="shared" si="11"/>
        <v>80601</v>
      </c>
      <c r="G82" s="538">
        <f t="shared" si="11"/>
        <v>8935</v>
      </c>
      <c r="H82" s="538">
        <f t="shared" si="11"/>
        <v>0</v>
      </c>
      <c r="I82" s="538">
        <f t="shared" si="11"/>
        <v>31696</v>
      </c>
      <c r="J82" s="538">
        <f t="shared" si="11"/>
        <v>61835</v>
      </c>
      <c r="K82" s="538">
        <f t="shared" si="11"/>
        <v>17385</v>
      </c>
    </row>
    <row r="83" spans="1:12" ht="14.25" hidden="1" thickTop="1" thickBot="1" x14ac:dyDescent="0.25">
      <c r="A83" s="539" t="s">
        <v>344</v>
      </c>
      <c r="B83" s="464"/>
      <c r="C83" s="540">
        <f>C82/C81</f>
        <v>-0.98416622903431195</v>
      </c>
      <c r="D83" s="540">
        <f t="shared" ref="D83:K83" si="12">D82/D81</f>
        <v>-0.7088924224818054</v>
      </c>
      <c r="E83" s="540">
        <f t="shared" si="12"/>
        <v>-0.34900395326514794</v>
      </c>
      <c r="F83" s="540">
        <f t="shared" si="12"/>
        <v>0.62877670902665639</v>
      </c>
      <c r="G83" s="540">
        <f t="shared" si="12"/>
        <v>4.0399518913395369E-2</v>
      </c>
      <c r="H83" s="540" t="e">
        <f t="shared" si="12"/>
        <v>#DIV/0!</v>
      </c>
      <c r="I83" s="540">
        <f t="shared" si="12"/>
        <v>0.11777776952032015</v>
      </c>
      <c r="J83" s="540">
        <f t="shared" si="12"/>
        <v>0.25338474651280957</v>
      </c>
      <c r="K83" s="540">
        <f t="shared" si="12"/>
        <v>9.1211005131110898E-2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0" workbookViewId="0">
      <pane ySplit="2" topLeftCell="A83" activePane="bottomLeft" state="frozen"/>
      <selection activeCell="A4" sqref="A4:F4"/>
      <selection pane="bottomLeft" activeCell="C117" sqref="C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1445910</v>
      </c>
      <c r="D5" s="481">
        <v>314325</v>
      </c>
      <c r="E5" s="466">
        <v>589313</v>
      </c>
      <c r="F5" s="548">
        <v>125730</v>
      </c>
      <c r="G5" s="466">
        <v>80074</v>
      </c>
      <c r="H5" s="466"/>
      <c r="I5" s="466">
        <v>31432</v>
      </c>
      <c r="J5" s="467">
        <v>650594</v>
      </c>
      <c r="K5" s="466">
        <v>31432</v>
      </c>
    </row>
    <row r="6" spans="1:12" ht="15" x14ac:dyDescent="0.2">
      <c r="A6" s="463" t="s">
        <v>1662</v>
      </c>
      <c r="B6" s="470">
        <v>1130</v>
      </c>
      <c r="C6" s="466"/>
      <c r="D6" s="466">
        <v>31432</v>
      </c>
      <c r="E6" s="475"/>
      <c r="F6" s="475"/>
      <c r="G6" s="468"/>
      <c r="H6" s="468"/>
      <c r="I6" s="468"/>
      <c r="J6" s="468"/>
      <c r="K6" s="468"/>
    </row>
    <row r="7" spans="1:12" x14ac:dyDescent="0.2">
      <c r="A7" s="463" t="s">
        <v>110</v>
      </c>
      <c r="B7" s="549">
        <v>1140</v>
      </c>
      <c r="C7" s="466">
        <v>25146</v>
      </c>
      <c r="D7" s="466"/>
      <c r="E7" s="468"/>
      <c r="F7" s="467"/>
      <c r="G7" s="467"/>
      <c r="H7" s="467"/>
      <c r="I7" s="468"/>
      <c r="J7" s="468"/>
      <c r="K7" s="468"/>
    </row>
    <row r="8" spans="1:12" x14ac:dyDescent="0.2">
      <c r="A8" s="463" t="s">
        <v>413</v>
      </c>
      <c r="B8" s="470">
        <v>1150</v>
      </c>
      <c r="C8" s="475"/>
      <c r="D8" s="475"/>
      <c r="E8" s="477"/>
      <c r="F8" s="477"/>
      <c r="G8" s="481">
        <v>50091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1471056</v>
      </c>
      <c r="D12" s="1707">
        <f t="shared" si="0"/>
        <v>345757</v>
      </c>
      <c r="E12" s="1707">
        <f t="shared" si="0"/>
        <v>589313</v>
      </c>
      <c r="F12" s="1707">
        <f t="shared" si="0"/>
        <v>125730</v>
      </c>
      <c r="G12" s="1707">
        <f t="shared" si="0"/>
        <v>130165</v>
      </c>
      <c r="H12" s="1707">
        <f t="shared" si="0"/>
        <v>0</v>
      </c>
      <c r="I12" s="1707">
        <f t="shared" si="0"/>
        <v>31432</v>
      </c>
      <c r="J12" s="1707">
        <f t="shared" si="0"/>
        <v>650594</v>
      </c>
      <c r="K12" s="1688">
        <f t="shared" si="0"/>
        <v>31432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1299</v>
      </c>
      <c r="D14" s="466">
        <v>305</v>
      </c>
      <c r="E14" s="466">
        <v>521</v>
      </c>
      <c r="F14" s="466">
        <v>111</v>
      </c>
      <c r="G14" s="466">
        <v>115</v>
      </c>
      <c r="H14" s="466"/>
      <c r="I14" s="466">
        <v>28</v>
      </c>
      <c r="J14" s="467">
        <v>575</v>
      </c>
      <c r="K14" s="466">
        <v>28</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213293</v>
      </c>
      <c r="D16" s="466"/>
      <c r="E16" s="466"/>
      <c r="F16" s="466"/>
      <c r="G16" s="466">
        <v>10000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214592</v>
      </c>
      <c r="D18" s="1710">
        <f t="shared" ref="D18:K18" si="1">SUM(D14:D17)</f>
        <v>305</v>
      </c>
      <c r="E18" s="1710">
        <f t="shared" si="1"/>
        <v>521</v>
      </c>
      <c r="F18" s="1710">
        <f t="shared" si="1"/>
        <v>111</v>
      </c>
      <c r="G18" s="1710">
        <f t="shared" si="1"/>
        <v>10115</v>
      </c>
      <c r="H18" s="1710">
        <f t="shared" si="1"/>
        <v>0</v>
      </c>
      <c r="I18" s="1710">
        <f t="shared" si="1"/>
        <v>28</v>
      </c>
      <c r="J18" s="1710">
        <f t="shared" si="1"/>
        <v>575</v>
      </c>
      <c r="K18" s="1711">
        <f t="shared" si="1"/>
        <v>28</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2961</v>
      </c>
      <c r="D65" s="466">
        <v>299</v>
      </c>
      <c r="E65" s="466">
        <v>4242</v>
      </c>
      <c r="F65" s="467">
        <v>1722</v>
      </c>
      <c r="G65" s="466">
        <v>1074</v>
      </c>
      <c r="H65" s="466"/>
      <c r="I65" s="466">
        <v>236</v>
      </c>
      <c r="J65" s="467">
        <v>264</v>
      </c>
      <c r="K65" s="466">
        <v>1035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2961</v>
      </c>
      <c r="D67" s="1688">
        <f t="shared" ref="D67:K67" si="2">SUM(D65:D66)</f>
        <v>299</v>
      </c>
      <c r="E67" s="1688">
        <f t="shared" si="2"/>
        <v>4242</v>
      </c>
      <c r="F67" s="1688">
        <f t="shared" si="2"/>
        <v>1722</v>
      </c>
      <c r="G67" s="1688">
        <f t="shared" si="2"/>
        <v>1074</v>
      </c>
      <c r="H67" s="1688">
        <f t="shared" si="2"/>
        <v>0</v>
      </c>
      <c r="I67" s="1688">
        <f t="shared" si="2"/>
        <v>236</v>
      </c>
      <c r="J67" s="1688">
        <f t="shared" si="2"/>
        <v>264</v>
      </c>
      <c r="K67" s="1688">
        <f t="shared" si="2"/>
        <v>1035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65222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1030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66255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11622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33163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6324</v>
      </c>
      <c r="D81" s="466"/>
      <c r="E81" s="468"/>
      <c r="F81" s="468"/>
      <c r="G81" s="468"/>
      <c r="H81" s="468"/>
      <c r="I81" s="468"/>
      <c r="J81" s="468"/>
      <c r="K81" s="468"/>
    </row>
    <row r="82" spans="1:11" ht="12.75" customHeight="1" thickBot="1" x14ac:dyDescent="0.25">
      <c r="A82" s="1708" t="s">
        <v>241</v>
      </c>
      <c r="B82" s="1709"/>
      <c r="C82" s="1707">
        <f>SUM(C77:C81)</f>
        <v>51109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8680</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3346</v>
      </c>
      <c r="D107" s="466">
        <v>4584</v>
      </c>
      <c r="E107" s="466"/>
      <c r="F107" s="466">
        <v>1116</v>
      </c>
      <c r="G107" s="466"/>
      <c r="H107" s="466"/>
      <c r="I107" s="466"/>
      <c r="J107" s="467"/>
      <c r="K107" s="466">
        <v>10000</v>
      </c>
    </row>
    <row r="108" spans="1:12" ht="12.75" customHeight="1" thickBot="1" x14ac:dyDescent="0.25">
      <c r="A108" s="1708" t="s">
        <v>487</v>
      </c>
      <c r="B108" s="1712"/>
      <c r="C108" s="1707">
        <f>SUM(C95:C107)</f>
        <v>3346</v>
      </c>
      <c r="D108" s="1707">
        <f t="shared" ref="D108:K108" si="3">SUM(D95:D107)</f>
        <v>4584</v>
      </c>
      <c r="E108" s="1707">
        <f t="shared" si="3"/>
        <v>8680</v>
      </c>
      <c r="F108" s="1707">
        <f t="shared" si="3"/>
        <v>1116</v>
      </c>
      <c r="G108" s="1707">
        <f t="shared" si="3"/>
        <v>0</v>
      </c>
      <c r="H108" s="1707">
        <f t="shared" si="3"/>
        <v>0</v>
      </c>
      <c r="I108" s="1707">
        <f t="shared" si="3"/>
        <v>0</v>
      </c>
      <c r="J108" s="1707">
        <f t="shared" si="3"/>
        <v>0</v>
      </c>
      <c r="K108" s="1688">
        <f t="shared" si="3"/>
        <v>10000</v>
      </c>
    </row>
    <row r="109" spans="1:12" ht="14.25" thickTop="1" thickBot="1" x14ac:dyDescent="0.25">
      <c r="A109" s="1713" t="s">
        <v>248</v>
      </c>
      <c r="B109" s="1714" t="s">
        <v>570</v>
      </c>
      <c r="C109" s="1715">
        <f t="shared" ref="C109:K109" si="4">SUM(C12,C18,C40,C63,C67,C75,C82,C93,C108,)</f>
        <v>1809319</v>
      </c>
      <c r="D109" s="1715">
        <f t="shared" si="4"/>
        <v>350945</v>
      </c>
      <c r="E109" s="1715">
        <f t="shared" si="4"/>
        <v>602756</v>
      </c>
      <c r="F109" s="1715">
        <f t="shared" si="4"/>
        <v>128679</v>
      </c>
      <c r="G109" s="1715">
        <f t="shared" si="4"/>
        <v>141354</v>
      </c>
      <c r="H109" s="1715">
        <f t="shared" si="4"/>
        <v>0</v>
      </c>
      <c r="I109" s="1715">
        <f t="shared" si="4"/>
        <v>31696</v>
      </c>
      <c r="J109" s="1715">
        <f t="shared" si="4"/>
        <v>651433</v>
      </c>
      <c r="K109" s="1702">
        <f t="shared" si="4"/>
        <v>42495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1164369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1164369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13432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13432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1854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7801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92390</v>
      </c>
      <c r="G152" s="467"/>
      <c r="H152" s="468"/>
      <c r="I152" s="468"/>
      <c r="J152" s="468"/>
      <c r="K152" s="468"/>
    </row>
    <row r="153" spans="1:11" ht="12.75" customHeight="1" x14ac:dyDescent="0.2">
      <c r="A153" s="463" t="s">
        <v>1057</v>
      </c>
      <c r="B153" s="562">
        <v>3510</v>
      </c>
      <c r="C153" s="551"/>
      <c r="D153" s="466"/>
      <c r="E153" s="561"/>
      <c r="F153" s="466">
        <v>62457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154847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23087</v>
      </c>
      <c r="D169" s="1722">
        <f t="shared" si="6"/>
        <v>0</v>
      </c>
      <c r="E169" s="1722">
        <f t="shared" si="6"/>
        <v>0</v>
      </c>
      <c r="F169" s="1722">
        <f t="shared" si="6"/>
        <v>154847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1187456</v>
      </c>
      <c r="D170" s="1715">
        <f t="shared" si="7"/>
        <v>0</v>
      </c>
      <c r="E170" s="1715">
        <f t="shared" si="7"/>
        <v>0</v>
      </c>
      <c r="F170" s="1715">
        <f t="shared" si="7"/>
        <v>154847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51636</v>
      </c>
      <c r="D174" s="466"/>
      <c r="E174" s="467"/>
      <c r="F174" s="466"/>
      <c r="G174" s="466"/>
      <c r="H174" s="467"/>
      <c r="I174" s="467"/>
      <c r="J174" s="467"/>
      <c r="K174" s="467"/>
    </row>
    <row r="175" spans="1:11" ht="13.5" thickBot="1" x14ac:dyDescent="0.25">
      <c r="A175" s="2159" t="s">
        <v>1665</v>
      </c>
      <c r="B175" s="2160"/>
      <c r="C175" s="1707">
        <f>SUM(C173:C174)</f>
        <v>51636</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1803</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90311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16967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107278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117979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117979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118537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118537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552</v>
      </c>
      <c r="D220" s="466"/>
      <c r="E220" s="468"/>
      <c r="F220" s="468"/>
      <c r="G220" s="466"/>
      <c r="H220" s="468"/>
      <c r="I220" s="468"/>
      <c r="J220" s="468"/>
      <c r="K220" s="468"/>
    </row>
    <row r="221" spans="1:11" ht="12.75" customHeight="1" thickBot="1" x14ac:dyDescent="0.25">
      <c r="A221" s="1723" t="s">
        <v>1085</v>
      </c>
      <c r="B221" s="1724"/>
      <c r="C221" s="1707">
        <f>SUM(C219:C220)</f>
        <v>552</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22493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3180</v>
      </c>
      <c r="D263" s="576"/>
      <c r="E263" s="468"/>
      <c r="F263" s="576"/>
      <c r="G263" s="576"/>
      <c r="H263" s="468"/>
      <c r="I263" s="468"/>
      <c r="J263" s="468"/>
      <c r="K263" s="468"/>
    </row>
    <row r="264" spans="1:11" ht="12.75" customHeight="1" thickTop="1" thickBot="1" x14ac:dyDescent="0.25">
      <c r="A264" s="463" t="s">
        <v>377</v>
      </c>
      <c r="B264" s="470">
        <v>4992</v>
      </c>
      <c r="C264" s="575">
        <v>12321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382340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433976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3430751</v>
      </c>
      <c r="D268" s="1715">
        <f t="shared" si="12"/>
        <v>350945</v>
      </c>
      <c r="E268" s="1715">
        <f t="shared" si="12"/>
        <v>602756</v>
      </c>
      <c r="F268" s="1715">
        <f t="shared" si="12"/>
        <v>283526</v>
      </c>
      <c r="G268" s="1715">
        <f t="shared" si="12"/>
        <v>141354</v>
      </c>
      <c r="H268" s="1715">
        <f t="shared" si="12"/>
        <v>0</v>
      </c>
      <c r="I268" s="1715">
        <f t="shared" si="12"/>
        <v>31696</v>
      </c>
      <c r="J268" s="1715">
        <f t="shared" si="12"/>
        <v>651433</v>
      </c>
      <c r="K268" s="1702">
        <f t="shared" si="12"/>
        <v>42495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 activePane="bottomLeft" state="frozen"/>
      <selection activeCell="A4" sqref="A4:F4"/>
      <selection pane="bottomLeft" activeCell="L50" sqref="L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1211133</v>
      </c>
      <c r="D5" s="466">
        <v>379218</v>
      </c>
      <c r="E5" s="466">
        <v>21474</v>
      </c>
      <c r="F5" s="466">
        <v>106082</v>
      </c>
      <c r="G5" s="466"/>
      <c r="H5" s="466">
        <v>1997</v>
      </c>
      <c r="I5" s="467"/>
      <c r="J5" s="467"/>
      <c r="K5" s="1671">
        <f>SUM(C5:J5)</f>
        <v>1719904</v>
      </c>
      <c r="L5" s="466">
        <v>1469491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v>1060</v>
      </c>
    </row>
    <row r="8" spans="1:14" x14ac:dyDescent="0.2">
      <c r="A8" s="1504" t="s">
        <v>164</v>
      </c>
      <c r="B8" s="614">
        <v>1200</v>
      </c>
      <c r="C8" s="466">
        <v>281149</v>
      </c>
      <c r="D8" s="466">
        <v>96002</v>
      </c>
      <c r="E8" s="466">
        <v>427</v>
      </c>
      <c r="F8" s="466"/>
      <c r="G8" s="466"/>
      <c r="H8" s="466"/>
      <c r="I8" s="467"/>
      <c r="J8" s="467"/>
      <c r="K8" s="1671">
        <f t="shared" si="0"/>
        <v>377578</v>
      </c>
      <c r="L8" s="466">
        <v>406451</v>
      </c>
    </row>
    <row r="9" spans="1:14" x14ac:dyDescent="0.2">
      <c r="A9" s="1504" t="s">
        <v>721</v>
      </c>
      <c r="B9" s="614" t="s">
        <v>968</v>
      </c>
      <c r="C9" s="467"/>
      <c r="D9" s="467"/>
      <c r="E9" s="467"/>
      <c r="F9" s="467"/>
      <c r="G9" s="467"/>
      <c r="H9" s="467"/>
      <c r="I9" s="467"/>
      <c r="J9" s="467"/>
      <c r="K9" s="1671">
        <f t="shared" si="0"/>
        <v>0</v>
      </c>
      <c r="L9" s="466">
        <v>30464</v>
      </c>
    </row>
    <row r="10" spans="1:14" x14ac:dyDescent="0.2">
      <c r="A10" s="1504" t="s">
        <v>722</v>
      </c>
      <c r="B10" s="614">
        <v>1250</v>
      </c>
      <c r="C10" s="466">
        <v>63948</v>
      </c>
      <c r="D10" s="466">
        <v>23780</v>
      </c>
      <c r="E10" s="466">
        <v>6876</v>
      </c>
      <c r="F10" s="466">
        <v>349</v>
      </c>
      <c r="G10" s="466"/>
      <c r="H10" s="466"/>
      <c r="I10" s="467"/>
      <c r="J10" s="467"/>
      <c r="K10" s="1671">
        <f t="shared" si="0"/>
        <v>94953</v>
      </c>
      <c r="L10" s="466">
        <v>94160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188178</v>
      </c>
      <c r="D13" s="466">
        <v>57392</v>
      </c>
      <c r="E13" s="466">
        <v>250</v>
      </c>
      <c r="F13" s="466">
        <v>2323</v>
      </c>
      <c r="G13" s="466"/>
      <c r="H13" s="466"/>
      <c r="I13" s="467"/>
      <c r="J13" s="467"/>
      <c r="K13" s="1671">
        <f t="shared" si="0"/>
        <v>248143</v>
      </c>
      <c r="L13" s="466">
        <v>173183</v>
      </c>
    </row>
    <row r="14" spans="1:14" x14ac:dyDescent="0.2">
      <c r="A14" s="1504" t="s">
        <v>963</v>
      </c>
      <c r="B14" s="614">
        <v>1500</v>
      </c>
      <c r="C14" s="466">
        <v>74421</v>
      </c>
      <c r="D14" s="466">
        <v>3425</v>
      </c>
      <c r="E14" s="466">
        <v>20693</v>
      </c>
      <c r="F14" s="466">
        <v>6466</v>
      </c>
      <c r="G14" s="466"/>
      <c r="H14" s="466">
        <v>6665</v>
      </c>
      <c r="I14" s="467"/>
      <c r="J14" s="467"/>
      <c r="K14" s="1671">
        <f t="shared" si="0"/>
        <v>111670</v>
      </c>
      <c r="L14" s="466">
        <v>108461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14895</v>
      </c>
      <c r="D17" s="467">
        <v>4214</v>
      </c>
      <c r="E17" s="467"/>
      <c r="F17" s="467"/>
      <c r="G17" s="467"/>
      <c r="H17" s="467"/>
      <c r="I17" s="467"/>
      <c r="J17" s="467"/>
      <c r="K17" s="1671">
        <f t="shared" si="0"/>
        <v>19109</v>
      </c>
      <c r="L17" s="466">
        <v>17712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1833724</v>
      </c>
      <c r="D33" s="1670">
        <f t="shared" ref="D33:L33" si="1">SUM(D5:D32)</f>
        <v>564031</v>
      </c>
      <c r="E33" s="1670">
        <f t="shared" si="1"/>
        <v>49720</v>
      </c>
      <c r="F33" s="1670">
        <f t="shared" si="1"/>
        <v>115220</v>
      </c>
      <c r="G33" s="1670">
        <f t="shared" si="1"/>
        <v>0</v>
      </c>
      <c r="H33" s="1670">
        <f t="shared" si="1"/>
        <v>8662</v>
      </c>
      <c r="I33" s="1670">
        <f t="shared" si="1"/>
        <v>0</v>
      </c>
      <c r="J33" s="1670">
        <f t="shared" si="1"/>
        <v>0</v>
      </c>
      <c r="K33" s="1670">
        <f t="shared" si="1"/>
        <v>2571357</v>
      </c>
      <c r="L33" s="1670">
        <f t="shared" si="1"/>
        <v>2300982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27576</v>
      </c>
      <c r="D36" s="481">
        <v>15368</v>
      </c>
      <c r="E36" s="481"/>
      <c r="F36" s="481"/>
      <c r="G36" s="481"/>
      <c r="H36" s="481"/>
      <c r="I36" s="467"/>
      <c r="J36" s="467"/>
      <c r="K36" s="1671">
        <f t="shared" ref="K36:K41" si="2">SUM(C36:J36)</f>
        <v>42944</v>
      </c>
      <c r="L36" s="466">
        <v>68912</v>
      </c>
    </row>
    <row r="37" spans="1:14" x14ac:dyDescent="0.2">
      <c r="A37" s="1504" t="s">
        <v>1090</v>
      </c>
      <c r="B37" s="614">
        <v>2120</v>
      </c>
      <c r="C37" s="466">
        <v>2718</v>
      </c>
      <c r="D37" s="466"/>
      <c r="E37" s="466">
        <v>112</v>
      </c>
      <c r="F37" s="466">
        <v>2080</v>
      </c>
      <c r="G37" s="466"/>
      <c r="H37" s="466"/>
      <c r="I37" s="467"/>
      <c r="J37" s="467"/>
      <c r="K37" s="1671">
        <f t="shared" si="2"/>
        <v>4910</v>
      </c>
      <c r="L37" s="466"/>
    </row>
    <row r="38" spans="1:14" x14ac:dyDescent="0.2">
      <c r="A38" s="1504" t="s">
        <v>198</v>
      </c>
      <c r="B38" s="614">
        <v>2130</v>
      </c>
      <c r="C38" s="466">
        <v>9465</v>
      </c>
      <c r="D38" s="466">
        <v>6289</v>
      </c>
      <c r="E38" s="466">
        <v>927</v>
      </c>
      <c r="F38" s="466">
        <v>1358</v>
      </c>
      <c r="G38" s="466"/>
      <c r="H38" s="466">
        <v>470</v>
      </c>
      <c r="I38" s="467"/>
      <c r="J38" s="467"/>
      <c r="K38" s="1671">
        <f t="shared" si="2"/>
        <v>18509</v>
      </c>
      <c r="L38" s="466">
        <v>30712</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29837</v>
      </c>
      <c r="F40" s="466"/>
      <c r="G40" s="466"/>
      <c r="H40" s="466"/>
      <c r="I40" s="467"/>
      <c r="J40" s="467"/>
      <c r="K40" s="1671">
        <f t="shared" si="2"/>
        <v>29837</v>
      </c>
      <c r="L40" s="466"/>
    </row>
    <row r="41" spans="1:14" x14ac:dyDescent="0.2">
      <c r="A41" s="1504" t="s">
        <v>1669</v>
      </c>
      <c r="B41" s="614">
        <v>2190</v>
      </c>
      <c r="C41" s="466"/>
      <c r="D41" s="466"/>
      <c r="E41" s="466"/>
      <c r="F41" s="466">
        <v>3333</v>
      </c>
      <c r="G41" s="466"/>
      <c r="H41" s="466">
        <v>400</v>
      </c>
      <c r="I41" s="467"/>
      <c r="J41" s="467"/>
      <c r="K41" s="1671">
        <f t="shared" si="2"/>
        <v>3733</v>
      </c>
      <c r="L41" s="466">
        <v>1400</v>
      </c>
    </row>
    <row r="42" spans="1:14" ht="12.75" customHeight="1" thickBot="1" x14ac:dyDescent="0.25">
      <c r="A42" s="1668" t="s">
        <v>560</v>
      </c>
      <c r="B42" s="1669" t="s">
        <v>716</v>
      </c>
      <c r="C42" s="1670">
        <f>SUM(C36:C41)</f>
        <v>39759</v>
      </c>
      <c r="D42" s="1670">
        <f t="shared" ref="D42:L42" si="3">SUM(D36:D41)</f>
        <v>21657</v>
      </c>
      <c r="E42" s="1670">
        <f t="shared" si="3"/>
        <v>30876</v>
      </c>
      <c r="F42" s="1670">
        <f t="shared" si="3"/>
        <v>6771</v>
      </c>
      <c r="G42" s="1670">
        <f t="shared" si="3"/>
        <v>0</v>
      </c>
      <c r="H42" s="1670">
        <f t="shared" si="3"/>
        <v>870</v>
      </c>
      <c r="I42" s="1670">
        <f t="shared" si="3"/>
        <v>0</v>
      </c>
      <c r="J42" s="1670">
        <f t="shared" si="3"/>
        <v>0</v>
      </c>
      <c r="K42" s="1670">
        <f t="shared" si="3"/>
        <v>99933</v>
      </c>
      <c r="L42" s="1670">
        <f t="shared" si="3"/>
        <v>101024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48673</v>
      </c>
      <c r="D44" s="481">
        <v>15952</v>
      </c>
      <c r="E44" s="481">
        <v>4816</v>
      </c>
      <c r="F44" s="481">
        <v>10952</v>
      </c>
      <c r="G44" s="481"/>
      <c r="H44" s="481"/>
      <c r="I44" s="467"/>
      <c r="J44" s="467"/>
      <c r="K44" s="1672">
        <f>SUM(C44:J44)</f>
        <v>80393</v>
      </c>
      <c r="L44" s="481"/>
    </row>
    <row r="45" spans="1:14" x14ac:dyDescent="0.2">
      <c r="A45" s="1504" t="s">
        <v>815</v>
      </c>
      <c r="B45" s="614">
        <v>2220</v>
      </c>
      <c r="C45" s="466"/>
      <c r="D45" s="466"/>
      <c r="E45" s="466"/>
      <c r="F45" s="466">
        <v>2553</v>
      </c>
      <c r="G45" s="466"/>
      <c r="H45" s="466"/>
      <c r="I45" s="467"/>
      <c r="J45" s="467"/>
      <c r="K45" s="1672">
        <f>SUM(C45:J45)</f>
        <v>2553</v>
      </c>
      <c r="L45" s="466">
        <v>11777</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48673</v>
      </c>
      <c r="D47" s="1670">
        <f t="shared" ref="D47:K47" si="4">SUM(D44:D46)</f>
        <v>15952</v>
      </c>
      <c r="E47" s="1670">
        <f t="shared" si="4"/>
        <v>4816</v>
      </c>
      <c r="F47" s="1670">
        <f t="shared" si="4"/>
        <v>13505</v>
      </c>
      <c r="G47" s="1670">
        <f t="shared" si="4"/>
        <v>0</v>
      </c>
      <c r="H47" s="1670">
        <f t="shared" si="4"/>
        <v>0</v>
      </c>
      <c r="I47" s="1670">
        <f t="shared" si="4"/>
        <v>0</v>
      </c>
      <c r="J47" s="1670">
        <f t="shared" si="4"/>
        <v>0</v>
      </c>
      <c r="K47" s="1670">
        <f t="shared" si="4"/>
        <v>82946</v>
      </c>
      <c r="L47" s="1670">
        <f>SUM(L44:L46)</f>
        <v>11777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8516</v>
      </c>
      <c r="F49" s="481">
        <v>1013</v>
      </c>
      <c r="G49" s="481"/>
      <c r="H49" s="481">
        <v>3252</v>
      </c>
      <c r="I49" s="467"/>
      <c r="J49" s="467"/>
      <c r="K49" s="1672">
        <f>SUM(C49:J49)</f>
        <v>12781</v>
      </c>
      <c r="L49" s="481">
        <v>29900</v>
      </c>
    </row>
    <row r="50" spans="1:14" x14ac:dyDescent="0.2">
      <c r="A50" s="1504" t="s">
        <v>818</v>
      </c>
      <c r="B50" s="614">
        <v>2320</v>
      </c>
      <c r="C50" s="466">
        <v>98696</v>
      </c>
      <c r="D50" s="466">
        <v>32574</v>
      </c>
      <c r="E50" s="466">
        <v>4675</v>
      </c>
      <c r="F50" s="466">
        <v>1056</v>
      </c>
      <c r="G50" s="466"/>
      <c r="H50" s="466">
        <v>115</v>
      </c>
      <c r="I50" s="467"/>
      <c r="J50" s="467"/>
      <c r="K50" s="1672">
        <f>SUM(C50:J50)</f>
        <v>137116</v>
      </c>
      <c r="L50" s="466">
        <v>140907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98696</v>
      </c>
      <c r="D53" s="1670">
        <f t="shared" ref="D53:L53" si="5">SUM(D49:D52)</f>
        <v>32574</v>
      </c>
      <c r="E53" s="1670">
        <f t="shared" si="5"/>
        <v>13191</v>
      </c>
      <c r="F53" s="1670">
        <f t="shared" si="5"/>
        <v>2069</v>
      </c>
      <c r="G53" s="1670">
        <f t="shared" si="5"/>
        <v>0</v>
      </c>
      <c r="H53" s="1670">
        <f t="shared" si="5"/>
        <v>3367</v>
      </c>
      <c r="I53" s="1670">
        <f t="shared" si="5"/>
        <v>0</v>
      </c>
      <c r="J53" s="1670">
        <f t="shared" si="5"/>
        <v>0</v>
      </c>
      <c r="K53" s="1670">
        <f t="shared" si="5"/>
        <v>149897</v>
      </c>
      <c r="L53" s="1670">
        <f t="shared" si="5"/>
        <v>170807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146611</v>
      </c>
      <c r="D55" s="481">
        <v>45156</v>
      </c>
      <c r="E55" s="481">
        <v>20992</v>
      </c>
      <c r="F55" s="481">
        <v>536</v>
      </c>
      <c r="G55" s="481"/>
      <c r="H55" s="481">
        <v>930</v>
      </c>
      <c r="I55" s="467"/>
      <c r="J55" s="467"/>
      <c r="K55" s="1672">
        <f>SUM(C55:J55)</f>
        <v>214225</v>
      </c>
      <c r="L55" s="481">
        <v>243536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146611</v>
      </c>
      <c r="D57" s="1674">
        <f t="shared" ref="D57:K57" si="6">SUM(D55:D56)</f>
        <v>45156</v>
      </c>
      <c r="E57" s="1674">
        <f t="shared" si="6"/>
        <v>20992</v>
      </c>
      <c r="F57" s="1674">
        <f t="shared" si="6"/>
        <v>536</v>
      </c>
      <c r="G57" s="1674">
        <f t="shared" si="6"/>
        <v>0</v>
      </c>
      <c r="H57" s="1674">
        <f t="shared" si="6"/>
        <v>930</v>
      </c>
      <c r="I57" s="1674">
        <f t="shared" si="6"/>
        <v>0</v>
      </c>
      <c r="J57" s="1674">
        <f t="shared" si="6"/>
        <v>0</v>
      </c>
      <c r="K57" s="1674">
        <f t="shared" si="6"/>
        <v>214225</v>
      </c>
      <c r="L57" s="1670">
        <f>SUM(L55:L56)</f>
        <v>243536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81641</v>
      </c>
      <c r="D60" s="466">
        <v>119</v>
      </c>
      <c r="E60" s="466">
        <v>129</v>
      </c>
      <c r="F60" s="466"/>
      <c r="G60" s="466"/>
      <c r="H60" s="466"/>
      <c r="I60" s="467"/>
      <c r="J60" s="467"/>
      <c r="K60" s="1672">
        <f t="shared" si="7"/>
        <v>81889</v>
      </c>
      <c r="L60" s="466">
        <v>79432</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v>51005</v>
      </c>
      <c r="H62" s="466"/>
      <c r="I62" s="467"/>
      <c r="J62" s="467"/>
      <c r="K62" s="1672">
        <f t="shared" si="7"/>
        <v>51005</v>
      </c>
      <c r="L62" s="466"/>
      <c r="M62" s="609"/>
      <c r="N62" s="609"/>
    </row>
    <row r="63" spans="1:14" s="609" customFormat="1" x14ac:dyDescent="0.2">
      <c r="A63" s="1504" t="s">
        <v>100</v>
      </c>
      <c r="B63" s="614">
        <v>2560</v>
      </c>
      <c r="C63" s="466">
        <v>25210</v>
      </c>
      <c r="D63" s="466">
        <v>14005</v>
      </c>
      <c r="E63" s="466"/>
      <c r="F63" s="466">
        <v>89455</v>
      </c>
      <c r="G63" s="466"/>
      <c r="H63" s="466">
        <v>119</v>
      </c>
      <c r="I63" s="467"/>
      <c r="J63" s="467"/>
      <c r="K63" s="1672">
        <f t="shared" si="7"/>
        <v>128789</v>
      </c>
      <c r="L63" s="466">
        <v>148102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106851</v>
      </c>
      <c r="D65" s="1670">
        <f t="shared" ref="D65:L65" si="8">SUM(D59:D64)</f>
        <v>14124</v>
      </c>
      <c r="E65" s="1670">
        <f t="shared" si="8"/>
        <v>129</v>
      </c>
      <c r="F65" s="1670">
        <f t="shared" si="8"/>
        <v>89455</v>
      </c>
      <c r="G65" s="1670">
        <f t="shared" si="8"/>
        <v>51005</v>
      </c>
      <c r="H65" s="1670">
        <f t="shared" si="8"/>
        <v>119</v>
      </c>
      <c r="I65" s="1670">
        <f t="shared" si="8"/>
        <v>0</v>
      </c>
      <c r="J65" s="1670">
        <f t="shared" si="8"/>
        <v>0</v>
      </c>
      <c r="K65" s="1670">
        <f t="shared" si="8"/>
        <v>261683</v>
      </c>
      <c r="L65" s="1670">
        <f t="shared" si="8"/>
        <v>227534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440590</v>
      </c>
      <c r="D74" s="1677">
        <f t="shared" ref="D74:K74" si="10">SUM(D42,D47,D53,D57,D65,D72,D73)</f>
        <v>129463</v>
      </c>
      <c r="E74" s="1677">
        <f t="shared" si="10"/>
        <v>70004</v>
      </c>
      <c r="F74" s="1677">
        <f t="shared" si="10"/>
        <v>112336</v>
      </c>
      <c r="G74" s="1677">
        <f t="shared" si="10"/>
        <v>51005</v>
      </c>
      <c r="H74" s="1677">
        <f t="shared" si="10"/>
        <v>5286</v>
      </c>
      <c r="I74" s="1677">
        <f t="shared" si="10"/>
        <v>0</v>
      </c>
      <c r="J74" s="1677">
        <f t="shared" si="10"/>
        <v>0</v>
      </c>
      <c r="K74" s="1677">
        <f t="shared" si="10"/>
        <v>808684</v>
      </c>
      <c r="L74" s="1677">
        <f>SUM(L42,L47,L53,L57,L65,L72,L73)</f>
        <v>754678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249637</v>
      </c>
      <c r="I79" s="477"/>
      <c r="J79" s="477"/>
      <c r="K79" s="1671">
        <f t="shared" si="11"/>
        <v>249637</v>
      </c>
      <c r="L79" s="466">
        <v>120000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249637</v>
      </c>
      <c r="I84" s="477"/>
      <c r="J84" s="477"/>
      <c r="K84" s="1670">
        <f>SUM(K78:K83)</f>
        <v>249637</v>
      </c>
      <c r="L84" s="1670">
        <f>SUM(L78:L83)</f>
        <v>120000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20000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12839</v>
      </c>
      <c r="I88" s="477"/>
      <c r="J88" s="477"/>
      <c r="K88" s="1677">
        <f t="shared" si="12"/>
        <v>12839</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12839</v>
      </c>
      <c r="I92" s="477"/>
      <c r="J92" s="477"/>
      <c r="K92" s="1677">
        <f t="shared" si="12"/>
        <v>12839</v>
      </c>
      <c r="L92" s="1670">
        <f>SUM(L85:L91)</f>
        <v>20000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262476</v>
      </c>
      <c r="I102" s="477"/>
      <c r="J102" s="477"/>
      <c r="K102" s="1677">
        <f>SUM(K84,K92,K100,K101)</f>
        <v>262476</v>
      </c>
      <c r="L102" s="1677">
        <f>SUM(L84,L92,L100,L101)</f>
        <v>140000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2274314</v>
      </c>
      <c r="D114" s="1670">
        <f t="shared" ref="D114:K114" si="13">SUM(D33,D74,D75,D102,D112,D113)</f>
        <v>693494</v>
      </c>
      <c r="E114" s="1670">
        <f t="shared" si="13"/>
        <v>119724</v>
      </c>
      <c r="F114" s="1670">
        <f t="shared" si="13"/>
        <v>227556</v>
      </c>
      <c r="G114" s="1670">
        <f t="shared" si="13"/>
        <v>51005</v>
      </c>
      <c r="H114" s="1670">
        <f>SUM(H33,H74,H75,H102,H112,H113)</f>
        <v>276424</v>
      </c>
      <c r="I114" s="1670">
        <f t="shared" si="13"/>
        <v>0</v>
      </c>
      <c r="J114" s="1670">
        <f t="shared" si="13"/>
        <v>0</v>
      </c>
      <c r="K114" s="1670">
        <f t="shared" si="13"/>
        <v>3642517</v>
      </c>
      <c r="L114" s="1670">
        <f>SUM(L33,L74,L75,L102,L112,L113)</f>
        <v>3195660</v>
      </c>
    </row>
    <row r="115" spans="1:14" ht="13.5" thickTop="1" x14ac:dyDescent="0.2">
      <c r="A115" s="2190" t="s">
        <v>996</v>
      </c>
      <c r="B115" s="2191"/>
      <c r="C115" s="618"/>
      <c r="D115" s="618"/>
      <c r="E115" s="618"/>
      <c r="F115" s="618"/>
      <c r="G115" s="618"/>
      <c r="H115" s="618"/>
      <c r="I115" s="618"/>
      <c r="J115" s="618"/>
      <c r="K115" s="1684">
        <f>'Revenues 9-14'!C268-'Expenditures 15-22'!K114</f>
        <v>-211766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136028</v>
      </c>
      <c r="D124" s="466">
        <v>36012</v>
      </c>
      <c r="E124" s="466">
        <v>114098</v>
      </c>
      <c r="F124" s="466">
        <v>180718</v>
      </c>
      <c r="G124" s="466"/>
      <c r="H124" s="466"/>
      <c r="I124" s="467"/>
      <c r="J124" s="467"/>
      <c r="K124" s="1670">
        <f>SUM(C124:J124)</f>
        <v>466856</v>
      </c>
      <c r="L124" s="466">
        <v>470749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136028</v>
      </c>
      <c r="D127" s="1670">
        <f t="shared" ref="D127:L127" si="14">SUM(D122:D126)</f>
        <v>36012</v>
      </c>
      <c r="E127" s="1670">
        <f t="shared" si="14"/>
        <v>114098</v>
      </c>
      <c r="F127" s="1670">
        <f t="shared" si="14"/>
        <v>180718</v>
      </c>
      <c r="G127" s="1670">
        <f t="shared" si="14"/>
        <v>0</v>
      </c>
      <c r="H127" s="1670">
        <f t="shared" si="14"/>
        <v>0</v>
      </c>
      <c r="I127" s="1670">
        <f t="shared" si="14"/>
        <v>0</v>
      </c>
      <c r="J127" s="1670">
        <f t="shared" si="14"/>
        <v>0</v>
      </c>
      <c r="K127" s="1670">
        <f t="shared" si="14"/>
        <v>466856</v>
      </c>
      <c r="L127" s="1670">
        <f t="shared" si="14"/>
        <v>470749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136028</v>
      </c>
      <c r="D129" s="1677">
        <f t="shared" ref="D129:L129" si="15">SUM(D120,D127,D128)</f>
        <v>36012</v>
      </c>
      <c r="E129" s="1677">
        <f t="shared" si="15"/>
        <v>114098</v>
      </c>
      <c r="F129" s="1677">
        <f t="shared" si="15"/>
        <v>180718</v>
      </c>
      <c r="G129" s="1677">
        <f t="shared" si="15"/>
        <v>0</v>
      </c>
      <c r="H129" s="1677">
        <f t="shared" si="15"/>
        <v>0</v>
      </c>
      <c r="I129" s="1677">
        <f t="shared" si="15"/>
        <v>0</v>
      </c>
      <c r="J129" s="1677">
        <f t="shared" si="15"/>
        <v>0</v>
      </c>
      <c r="K129" s="1677">
        <f t="shared" si="15"/>
        <v>466856</v>
      </c>
      <c r="L129" s="1677">
        <f t="shared" si="15"/>
        <v>470749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2"/>
      <c r="C151" s="1670">
        <f>SUM(C129,C130,C139,C149,C150)</f>
        <v>136028</v>
      </c>
      <c r="D151" s="1670">
        <f t="shared" ref="D151:K151" si="16">SUM(D129,D130,D139,D149,D150)</f>
        <v>36012</v>
      </c>
      <c r="E151" s="1670">
        <f t="shared" si="16"/>
        <v>114098</v>
      </c>
      <c r="F151" s="1670">
        <f t="shared" si="16"/>
        <v>180718</v>
      </c>
      <c r="G151" s="1670">
        <f t="shared" si="16"/>
        <v>0</v>
      </c>
      <c r="H151" s="1670">
        <f t="shared" si="16"/>
        <v>0</v>
      </c>
      <c r="I151" s="1670">
        <f t="shared" si="16"/>
        <v>0</v>
      </c>
      <c r="J151" s="1670">
        <f t="shared" si="16"/>
        <v>0</v>
      </c>
      <c r="K151" s="1670">
        <f t="shared" si="16"/>
        <v>466856</v>
      </c>
      <c r="L151" s="1670">
        <f>SUM(L129,L130,L139,L149,L150)</f>
        <v>470749</v>
      </c>
    </row>
    <row r="152" spans="1:14" ht="12.75" customHeight="1" thickTop="1" x14ac:dyDescent="0.2">
      <c r="A152" s="2183" t="s">
        <v>1178</v>
      </c>
      <c r="B152" s="2184"/>
      <c r="C152" s="618"/>
      <c r="D152" s="618"/>
      <c r="E152" s="618"/>
      <c r="F152" s="618"/>
      <c r="G152" s="618"/>
      <c r="H152" s="618"/>
      <c r="I152" s="618"/>
      <c r="J152" s="616"/>
      <c r="K152" s="1684">
        <f>'Revenues 9-14'!D268-'Expenditures 15-22'!K151</f>
        <v>-115911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42234</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42234</v>
      </c>
    </row>
    <row r="169" spans="1:14" ht="15.75" customHeight="1" thickTop="1" x14ac:dyDescent="0.2">
      <c r="A169" s="669" t="s">
        <v>83</v>
      </c>
      <c r="B169" s="670" t="s">
        <v>38</v>
      </c>
      <c r="C169" s="616"/>
      <c r="D169" s="616"/>
      <c r="E169" s="616"/>
      <c r="F169" s="616"/>
      <c r="G169" s="616"/>
      <c r="H169" s="656">
        <v>75101</v>
      </c>
      <c r="I169" s="616"/>
      <c r="J169" s="616"/>
      <c r="K169" s="1671">
        <f>SUM(C169:H169)</f>
        <v>75101</v>
      </c>
      <c r="L169" s="656">
        <v>391000</v>
      </c>
    </row>
    <row r="170" spans="1:14" ht="33.75" customHeight="1" x14ac:dyDescent="0.2">
      <c r="A170" s="669" t="s">
        <v>1670</v>
      </c>
      <c r="B170" s="671" t="s">
        <v>31</v>
      </c>
      <c r="C170" s="616"/>
      <c r="D170" s="616"/>
      <c r="E170" s="616"/>
      <c r="F170" s="616"/>
      <c r="G170" s="616"/>
      <c r="H170" s="569">
        <v>689000</v>
      </c>
      <c r="I170" s="616"/>
      <c r="J170" s="616"/>
      <c r="K170" s="1671">
        <f>SUM(C170:J170)</f>
        <v>689000</v>
      </c>
      <c r="L170" s="569"/>
    </row>
    <row r="171" spans="1:14" ht="15.75" customHeight="1" x14ac:dyDescent="0.2">
      <c r="A171" s="621" t="s">
        <v>766</v>
      </c>
      <c r="B171" s="672" t="s">
        <v>84</v>
      </c>
      <c r="C171" s="616"/>
      <c r="D171" s="616"/>
      <c r="E171" s="466"/>
      <c r="F171" s="616"/>
      <c r="G171" s="616"/>
      <c r="H171" s="569">
        <v>1183</v>
      </c>
      <c r="I171" s="477"/>
      <c r="J171" s="616"/>
      <c r="K171" s="1671">
        <f>SUM(C171:J171)</f>
        <v>1183</v>
      </c>
      <c r="L171" s="569"/>
    </row>
    <row r="172" spans="1:14" ht="12.75" customHeight="1" thickBot="1" x14ac:dyDescent="0.25">
      <c r="A172" s="1668" t="s">
        <v>638</v>
      </c>
      <c r="B172" s="1669" t="s">
        <v>492</v>
      </c>
      <c r="C172" s="616"/>
      <c r="D172" s="616"/>
      <c r="E172" s="1677">
        <f>SUM(E168,E169,E170,E171)</f>
        <v>0</v>
      </c>
      <c r="F172" s="616"/>
      <c r="G172" s="616"/>
      <c r="H172" s="1677">
        <f>SUM(H168,H169,H170,H171)</f>
        <v>765284</v>
      </c>
      <c r="I172" s="638"/>
      <c r="J172" s="616"/>
      <c r="K172" s="1677">
        <f>SUM(K168,K169,K170,K171)</f>
        <v>765284</v>
      </c>
      <c r="L172" s="1677">
        <f>SUM(L168,L169,L170,L171)</f>
        <v>433234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765284</v>
      </c>
      <c r="I174" s="638"/>
      <c r="J174" s="616"/>
      <c r="K174" s="1677">
        <f>SUM(K160,K172,K173)</f>
        <v>765284</v>
      </c>
      <c r="L174" s="1677">
        <f>SUM(L160,L172,L173)</f>
        <v>433234</v>
      </c>
    </row>
    <row r="175" spans="1:14" ht="13.5" thickTop="1" x14ac:dyDescent="0.2">
      <c r="A175" s="2190" t="s">
        <v>996</v>
      </c>
      <c r="B175" s="2191"/>
      <c r="C175" s="616"/>
      <c r="D175" s="616"/>
      <c r="E175" s="616"/>
      <c r="F175" s="616"/>
      <c r="G175" s="616"/>
      <c r="H175" s="618"/>
      <c r="I175" s="616"/>
      <c r="J175" s="616"/>
      <c r="K175" s="1684">
        <f>'Revenues 9-14'!E268-'Expenditures 15-22'!K174</f>
        <v>-162528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102285</v>
      </c>
      <c r="D182" s="466">
        <v>15641</v>
      </c>
      <c r="E182" s="466">
        <v>13048</v>
      </c>
      <c r="F182" s="466">
        <v>59506</v>
      </c>
      <c r="G182" s="466">
        <v>12004</v>
      </c>
      <c r="H182" s="466">
        <v>441</v>
      </c>
      <c r="I182" s="467"/>
      <c r="J182" s="467"/>
      <c r="K182" s="1671">
        <f>SUM(C182:J182)</f>
        <v>202925</v>
      </c>
      <c r="L182" s="466">
        <v>295840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102285</v>
      </c>
      <c r="D184" s="1677">
        <f t="shared" ref="D184:J184" si="17">SUM(D180,D182,D183)</f>
        <v>15641</v>
      </c>
      <c r="E184" s="1677">
        <f t="shared" si="17"/>
        <v>13048</v>
      </c>
      <c r="F184" s="1677">
        <f t="shared" si="17"/>
        <v>59506</v>
      </c>
      <c r="G184" s="1677">
        <f t="shared" si="17"/>
        <v>12004</v>
      </c>
      <c r="H184" s="1677">
        <f t="shared" si="17"/>
        <v>441</v>
      </c>
      <c r="I184" s="1677">
        <f t="shared" si="17"/>
        <v>0</v>
      </c>
      <c r="J184" s="1677">
        <f t="shared" si="17"/>
        <v>0</v>
      </c>
      <c r="K184" s="1677">
        <f>SUM(K180,K182,K183)</f>
        <v>202925</v>
      </c>
      <c r="L184" s="1677">
        <f>SUM(L180, L182:L183)</f>
        <v>295840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102285</v>
      </c>
      <c r="D210" s="1670">
        <f>SUM(D184,D185)</f>
        <v>15641</v>
      </c>
      <c r="E210" s="1670">
        <f>SUM(E184,E185,E196)</f>
        <v>13048</v>
      </c>
      <c r="F210" s="1670">
        <f>SUM(F184,F185)</f>
        <v>59506</v>
      </c>
      <c r="G210" s="1670">
        <f>SUM(G184,G185)</f>
        <v>12004</v>
      </c>
      <c r="H210" s="1670">
        <f>SUM(H184,H185,H196,H208,H209)</f>
        <v>441</v>
      </c>
      <c r="I210" s="1670">
        <f>SUM(I184,I185)</f>
        <v>0</v>
      </c>
      <c r="J210" s="1670">
        <f>SUM(J184,J185)</f>
        <v>0</v>
      </c>
      <c r="K210" s="1671">
        <f>SUM(K184,K185,K196,K208,K209)</f>
        <v>202925</v>
      </c>
      <c r="L210" s="1670">
        <f>SUM(L184,L185,L196,L208,L209)</f>
        <v>295840</v>
      </c>
    </row>
    <row r="211" spans="1:14" ht="13.5" thickTop="1" x14ac:dyDescent="0.2">
      <c r="A211" s="2190" t="s">
        <v>996</v>
      </c>
      <c r="B211" s="2191"/>
      <c r="C211" s="618"/>
      <c r="D211" s="618"/>
      <c r="E211" s="618"/>
      <c r="F211" s="618"/>
      <c r="G211" s="618"/>
      <c r="H211" s="618"/>
      <c r="I211" s="616"/>
      <c r="J211" s="616"/>
      <c r="K211" s="1684">
        <f>'Revenues 9-14'!F268-'Expenditures 15-22'!K210</f>
        <v>80601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25982</v>
      </c>
      <c r="E215" s="616"/>
      <c r="F215" s="616"/>
      <c r="G215" s="616"/>
      <c r="H215" s="616"/>
      <c r="I215" s="616"/>
      <c r="J215" s="616"/>
      <c r="K215" s="1671">
        <f>D215</f>
        <v>25982</v>
      </c>
      <c r="L215" s="466">
        <v>36745</v>
      </c>
    </row>
    <row r="216" spans="1:14" x14ac:dyDescent="0.2">
      <c r="A216" s="1504" t="s">
        <v>163</v>
      </c>
      <c r="B216" s="614" t="s">
        <v>967</v>
      </c>
      <c r="C216" s="616"/>
      <c r="D216" s="467"/>
      <c r="E216" s="616"/>
      <c r="F216" s="616"/>
      <c r="G216" s="616"/>
      <c r="H216" s="616"/>
      <c r="I216" s="616"/>
      <c r="J216" s="616"/>
      <c r="K216" s="1671">
        <f t="shared" ref="K216:K228" si="19">D216</f>
        <v>0</v>
      </c>
      <c r="L216" s="466">
        <v>3119</v>
      </c>
    </row>
    <row r="217" spans="1:14" x14ac:dyDescent="0.2">
      <c r="A217" s="1504" t="s">
        <v>164</v>
      </c>
      <c r="B217" s="614">
        <v>1200</v>
      </c>
      <c r="C217" s="616"/>
      <c r="D217" s="466">
        <v>16233</v>
      </c>
      <c r="E217" s="616"/>
      <c r="F217" s="616"/>
      <c r="G217" s="616"/>
      <c r="H217" s="616"/>
      <c r="I217" s="616"/>
      <c r="J217" s="616"/>
      <c r="K217" s="1671">
        <f t="shared" si="19"/>
        <v>16233</v>
      </c>
      <c r="L217" s="466">
        <v>13762</v>
      </c>
    </row>
    <row r="218" spans="1:14" x14ac:dyDescent="0.2">
      <c r="A218" s="1504" t="s">
        <v>278</v>
      </c>
      <c r="B218" s="614" t="s">
        <v>968</v>
      </c>
      <c r="C218" s="616"/>
      <c r="D218" s="467"/>
      <c r="E218" s="616"/>
      <c r="F218" s="616"/>
      <c r="G218" s="616"/>
      <c r="H218" s="616"/>
      <c r="I218" s="616"/>
      <c r="J218" s="616"/>
      <c r="K218" s="1671">
        <f t="shared" si="19"/>
        <v>0</v>
      </c>
      <c r="L218" s="466">
        <v>781</v>
      </c>
    </row>
    <row r="219" spans="1:14" x14ac:dyDescent="0.2">
      <c r="A219" s="1504" t="s">
        <v>279</v>
      </c>
      <c r="B219" s="614">
        <v>1250</v>
      </c>
      <c r="C219" s="616"/>
      <c r="D219" s="466">
        <v>916</v>
      </c>
      <c r="E219" s="616"/>
      <c r="F219" s="616"/>
      <c r="G219" s="616"/>
      <c r="H219" s="616"/>
      <c r="I219" s="616"/>
      <c r="J219" s="616"/>
      <c r="K219" s="1671">
        <f t="shared" si="19"/>
        <v>916</v>
      </c>
      <c r="L219" s="466">
        <v>940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2787</v>
      </c>
      <c r="E222" s="616"/>
      <c r="F222" s="616"/>
      <c r="G222" s="616"/>
      <c r="H222" s="616"/>
      <c r="I222" s="616"/>
      <c r="J222" s="616"/>
      <c r="K222" s="1671">
        <f t="shared" si="19"/>
        <v>2787</v>
      </c>
      <c r="L222" s="466">
        <v>1867</v>
      </c>
    </row>
    <row r="223" spans="1:14" x14ac:dyDescent="0.2">
      <c r="A223" s="1504" t="s">
        <v>963</v>
      </c>
      <c r="B223" s="614">
        <v>1500</v>
      </c>
      <c r="C223" s="616"/>
      <c r="D223" s="466">
        <v>3402</v>
      </c>
      <c r="E223" s="616"/>
      <c r="F223" s="616"/>
      <c r="G223" s="616"/>
      <c r="H223" s="616"/>
      <c r="I223" s="616"/>
      <c r="J223" s="616"/>
      <c r="K223" s="1671">
        <f t="shared" si="19"/>
        <v>3402</v>
      </c>
      <c r="L223" s="466">
        <v>2600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233</v>
      </c>
      <c r="E226" s="616"/>
      <c r="F226" s="616"/>
      <c r="G226" s="616"/>
      <c r="H226" s="616"/>
      <c r="I226" s="616"/>
      <c r="J226" s="616"/>
      <c r="K226" s="1671">
        <f t="shared" si="19"/>
        <v>233</v>
      </c>
      <c r="L226" s="466">
        <v>229</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49553</v>
      </c>
      <c r="E229" s="616"/>
      <c r="F229" s="616"/>
      <c r="G229" s="616"/>
      <c r="H229" s="616"/>
      <c r="I229" s="616"/>
      <c r="J229" s="616"/>
      <c r="K229" s="1670">
        <f>SUM(K215:K228)</f>
        <v>49553</v>
      </c>
      <c r="L229" s="1670">
        <f>SUM(L215:L228)</f>
        <v>60043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766</v>
      </c>
      <c r="E232" s="616"/>
      <c r="F232" s="616"/>
      <c r="G232" s="616"/>
      <c r="H232" s="616"/>
      <c r="I232" s="616"/>
      <c r="J232" s="616"/>
      <c r="K232" s="1671">
        <f t="shared" ref="K232:K237" si="20">D232</f>
        <v>766</v>
      </c>
      <c r="L232" s="466">
        <v>797</v>
      </c>
    </row>
    <row r="233" spans="1:12" x14ac:dyDescent="0.2">
      <c r="A233" s="1504" t="s">
        <v>1090</v>
      </c>
      <c r="B233" s="614">
        <v>2120</v>
      </c>
      <c r="C233" s="616"/>
      <c r="D233" s="466">
        <v>452</v>
      </c>
      <c r="E233" s="616"/>
      <c r="F233" s="616"/>
      <c r="G233" s="616"/>
      <c r="H233" s="616"/>
      <c r="I233" s="616"/>
      <c r="J233" s="616"/>
      <c r="K233" s="1671">
        <f t="shared" si="20"/>
        <v>452</v>
      </c>
      <c r="L233" s="466">
        <v>824</v>
      </c>
    </row>
    <row r="234" spans="1:12" x14ac:dyDescent="0.2">
      <c r="A234" s="1504" t="s">
        <v>198</v>
      </c>
      <c r="B234" s="614">
        <v>2130</v>
      </c>
      <c r="C234" s="616"/>
      <c r="D234" s="466">
        <v>3275</v>
      </c>
      <c r="E234" s="616"/>
      <c r="F234" s="616"/>
      <c r="G234" s="616"/>
      <c r="H234" s="616"/>
      <c r="I234" s="616"/>
      <c r="J234" s="616"/>
      <c r="K234" s="1671">
        <f t="shared" si="20"/>
        <v>3275</v>
      </c>
      <c r="L234" s="466">
        <v>6337</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4493</v>
      </c>
      <c r="E238" s="616"/>
      <c r="F238" s="616"/>
      <c r="G238" s="616"/>
      <c r="H238" s="616"/>
      <c r="I238" s="616"/>
      <c r="J238" s="616"/>
      <c r="K238" s="1670">
        <f>SUM(K232:K237)</f>
        <v>4493</v>
      </c>
      <c r="L238" s="1670">
        <f>SUM(L232:L237)</f>
        <v>7958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1177</v>
      </c>
      <c r="E240" s="616"/>
      <c r="F240" s="616"/>
      <c r="G240" s="616"/>
      <c r="H240" s="616"/>
      <c r="I240" s="616"/>
      <c r="J240" s="616"/>
      <c r="K240" s="1672">
        <f>D240</f>
        <v>1177</v>
      </c>
      <c r="L240" s="481"/>
    </row>
    <row r="241" spans="1:12" x14ac:dyDescent="0.2">
      <c r="A241" s="1504" t="s">
        <v>815</v>
      </c>
      <c r="B241" s="614">
        <v>2220</v>
      </c>
      <c r="C241" s="616"/>
      <c r="D241" s="466"/>
      <c r="E241" s="616"/>
      <c r="F241" s="616"/>
      <c r="G241" s="616"/>
      <c r="H241" s="616"/>
      <c r="I241" s="616"/>
      <c r="J241" s="616"/>
      <c r="K241" s="1672">
        <f>D241</f>
        <v>0</v>
      </c>
      <c r="L241" s="466">
        <v>841</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1177</v>
      </c>
      <c r="E243" s="616"/>
      <c r="F243" s="616"/>
      <c r="G243" s="616"/>
      <c r="H243" s="616"/>
      <c r="I243" s="616"/>
      <c r="J243" s="616"/>
      <c r="K243" s="1670">
        <f>SUM(K240:K242)</f>
        <v>1177</v>
      </c>
      <c r="L243" s="1670">
        <f>SUM(L240:L242)</f>
        <v>841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1637</v>
      </c>
      <c r="E246" s="616"/>
      <c r="F246" s="616"/>
      <c r="G246" s="616"/>
      <c r="H246" s="616"/>
      <c r="I246" s="616"/>
      <c r="J246" s="616"/>
      <c r="K246" s="1672">
        <f t="shared" ref="K246:K256" si="21">D246</f>
        <v>1637</v>
      </c>
      <c r="L246" s="466">
        <v>1531</v>
      </c>
    </row>
    <row r="247" spans="1:12" x14ac:dyDescent="0.2">
      <c r="A247" s="1504" t="s">
        <v>819</v>
      </c>
      <c r="B247" s="614">
        <v>2330</v>
      </c>
      <c r="C247" s="616"/>
      <c r="D247" s="466">
        <v>296</v>
      </c>
      <c r="E247" s="616"/>
      <c r="F247" s="616"/>
      <c r="G247" s="616"/>
      <c r="H247" s="616"/>
      <c r="I247" s="616"/>
      <c r="J247" s="616"/>
      <c r="K247" s="1672">
        <f t="shared" si="21"/>
        <v>296</v>
      </c>
      <c r="L247" s="466">
        <v>1100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1933</v>
      </c>
      <c r="E257" s="616"/>
      <c r="F257" s="616"/>
      <c r="G257" s="616"/>
      <c r="H257" s="616"/>
      <c r="I257" s="616"/>
      <c r="J257" s="616"/>
      <c r="K257" s="1670">
        <f>SUM(K245:K256)</f>
        <v>1933</v>
      </c>
      <c r="L257" s="1670">
        <f>SUM(L245:L256)</f>
        <v>2631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6599</v>
      </c>
      <c r="E259" s="616"/>
      <c r="F259" s="616"/>
      <c r="G259" s="616"/>
      <c r="H259" s="616"/>
      <c r="I259" s="616"/>
      <c r="J259" s="616"/>
      <c r="K259" s="1672">
        <f>D259</f>
        <v>6599</v>
      </c>
      <c r="L259" s="481">
        <v>11227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6599</v>
      </c>
      <c r="E261" s="616"/>
      <c r="F261" s="616"/>
      <c r="G261" s="616"/>
      <c r="H261" s="616"/>
      <c r="I261" s="616"/>
      <c r="J261" s="616"/>
      <c r="K261" s="1670">
        <f>SUM(K259:K260)</f>
        <v>6599</v>
      </c>
      <c r="L261" s="1670">
        <f>SUM(L259:L260)</f>
        <v>11227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13387</v>
      </c>
      <c r="E264" s="616"/>
      <c r="F264" s="616"/>
      <c r="G264" s="616"/>
      <c r="H264" s="616"/>
      <c r="I264" s="616"/>
      <c r="J264" s="616"/>
      <c r="K264" s="1672">
        <f t="shared" ref="K264:K269" si="22">D264</f>
        <v>13387</v>
      </c>
      <c r="L264" s="466">
        <v>14397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31824</v>
      </c>
      <c r="E266" s="616"/>
      <c r="F266" s="616"/>
      <c r="G266" s="616"/>
      <c r="H266" s="616"/>
      <c r="I266" s="616"/>
      <c r="J266" s="616"/>
      <c r="K266" s="1672">
        <f t="shared" si="22"/>
        <v>31824</v>
      </c>
      <c r="L266" s="466">
        <v>27528</v>
      </c>
    </row>
    <row r="267" spans="1:14" x14ac:dyDescent="0.2">
      <c r="A267" s="1504" t="s">
        <v>953</v>
      </c>
      <c r="B267" s="614">
        <v>2550</v>
      </c>
      <c r="C267" s="616"/>
      <c r="D267" s="466">
        <v>16658</v>
      </c>
      <c r="E267" s="616"/>
      <c r="F267" s="616"/>
      <c r="G267" s="616"/>
      <c r="H267" s="616"/>
      <c r="I267" s="616"/>
      <c r="J267" s="616"/>
      <c r="K267" s="1672">
        <f t="shared" si="22"/>
        <v>16658</v>
      </c>
      <c r="L267" s="466">
        <v>23963</v>
      </c>
    </row>
    <row r="268" spans="1:14" x14ac:dyDescent="0.2">
      <c r="A268" s="1504" t="s">
        <v>100</v>
      </c>
      <c r="B268" s="614">
        <v>2560</v>
      </c>
      <c r="C268" s="616"/>
      <c r="D268" s="466">
        <v>6795</v>
      </c>
      <c r="E268" s="616"/>
      <c r="F268" s="616"/>
      <c r="G268" s="616"/>
      <c r="H268" s="616"/>
      <c r="I268" s="616"/>
      <c r="J268" s="616"/>
      <c r="K268" s="1672">
        <f t="shared" si="22"/>
        <v>6795</v>
      </c>
      <c r="L268" s="466">
        <v>8902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68664</v>
      </c>
      <c r="E270" s="616"/>
      <c r="F270" s="616"/>
      <c r="G270" s="616"/>
      <c r="H270" s="616"/>
      <c r="I270" s="616"/>
      <c r="J270" s="616"/>
      <c r="K270" s="1670">
        <f>SUM(K263:K269)</f>
        <v>68664</v>
      </c>
      <c r="L270" s="1670">
        <f>SUM(L263:L269)</f>
        <v>74790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82866</v>
      </c>
      <c r="E279" s="616"/>
      <c r="F279" s="616"/>
      <c r="G279" s="616"/>
      <c r="H279" s="616"/>
      <c r="I279" s="616"/>
      <c r="J279" s="616"/>
      <c r="K279" s="1677">
        <f>SUM(K238,K243,K257,K261,K270,K277,K278)</f>
        <v>82866</v>
      </c>
      <c r="L279" s="1677">
        <f>SUM(L238,L243,L257,L261,L270,L277,L278)</f>
        <v>97447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132419</v>
      </c>
      <c r="E295" s="616"/>
      <c r="F295" s="616"/>
      <c r="G295" s="616"/>
      <c r="H295" s="1670">
        <f>H293</f>
        <v>0</v>
      </c>
      <c r="I295" s="616"/>
      <c r="J295" s="616"/>
      <c r="K295" s="1670">
        <f>SUM(K229,K279,K280,K285,K293,K294)</f>
        <v>132419</v>
      </c>
      <c r="L295" s="1670">
        <f>SUM(L229,L279,L280,L285,L293,L294)</f>
        <v>157490</v>
      </c>
    </row>
    <row r="296" spans="1:14" ht="13.5" thickTop="1" x14ac:dyDescent="0.2">
      <c r="A296" s="2190" t="s">
        <v>996</v>
      </c>
      <c r="B296" s="2191"/>
      <c r="C296" s="616"/>
      <c r="D296" s="618"/>
      <c r="E296" s="616"/>
      <c r="F296" s="616"/>
      <c r="G296" s="616"/>
      <c r="H296" s="687"/>
      <c r="I296" s="616"/>
      <c r="J296" s="616"/>
      <c r="K296" s="1684">
        <f>'Revenues 9-14'!G268-'Expenditures 15-22'!K295</f>
        <v>8935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15000</v>
      </c>
      <c r="M320" s="665"/>
      <c r="N320" s="665"/>
    </row>
    <row r="321" spans="1:14" s="674" customFormat="1" x14ac:dyDescent="0.2">
      <c r="A321" s="1519" t="s">
        <v>300</v>
      </c>
      <c r="B321" s="697" t="s">
        <v>283</v>
      </c>
      <c r="C321" s="467"/>
      <c r="D321" s="467"/>
      <c r="E321" s="467">
        <v>145</v>
      </c>
      <c r="F321" s="467"/>
      <c r="G321" s="467"/>
      <c r="H321" s="467"/>
      <c r="I321" s="467"/>
      <c r="J321" s="467"/>
      <c r="K321" s="1671">
        <f t="shared" si="24"/>
        <v>145</v>
      </c>
      <c r="L321" s="467">
        <v>2000</v>
      </c>
      <c r="M321" s="665"/>
      <c r="N321" s="665"/>
    </row>
    <row r="322" spans="1:14" s="674" customFormat="1" x14ac:dyDescent="0.2">
      <c r="A322" s="1519" t="s">
        <v>238</v>
      </c>
      <c r="B322" s="697" t="s">
        <v>284</v>
      </c>
      <c r="C322" s="467"/>
      <c r="D322" s="467"/>
      <c r="E322" s="467">
        <v>165842</v>
      </c>
      <c r="F322" s="467"/>
      <c r="G322" s="467"/>
      <c r="H322" s="467"/>
      <c r="I322" s="467"/>
      <c r="J322" s="467"/>
      <c r="K322" s="1671">
        <f t="shared" si="24"/>
        <v>165842</v>
      </c>
      <c r="L322" s="467">
        <v>80000</v>
      </c>
      <c r="M322" s="665"/>
      <c r="N322" s="665"/>
    </row>
    <row r="323" spans="1:14" s="674" customFormat="1" x14ac:dyDescent="0.2">
      <c r="A323" s="1519" t="s">
        <v>702</v>
      </c>
      <c r="B323" s="697" t="s">
        <v>285</v>
      </c>
      <c r="C323" s="467"/>
      <c r="D323" s="467"/>
      <c r="E323" s="467">
        <v>7275</v>
      </c>
      <c r="F323" s="467"/>
      <c r="G323" s="467"/>
      <c r="H323" s="467"/>
      <c r="I323" s="467"/>
      <c r="J323" s="467"/>
      <c r="K323" s="1671">
        <f t="shared" si="24"/>
        <v>7275</v>
      </c>
      <c r="L323" s="467">
        <v>3000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409393</v>
      </c>
      <c r="D325" s="467"/>
      <c r="E325" s="467"/>
      <c r="F325" s="467"/>
      <c r="G325" s="467"/>
      <c r="H325" s="467"/>
      <c r="I325" s="467"/>
      <c r="J325" s="467"/>
      <c r="K325" s="1671">
        <f t="shared" si="24"/>
        <v>409393</v>
      </c>
      <c r="L325" s="467">
        <v>90000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6943</v>
      </c>
      <c r="F327" s="467"/>
      <c r="G327" s="467"/>
      <c r="H327" s="467"/>
      <c r="I327" s="467"/>
      <c r="J327" s="467"/>
      <c r="K327" s="1671">
        <f t="shared" si="24"/>
        <v>6943</v>
      </c>
      <c r="L327" s="467">
        <v>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409393</v>
      </c>
      <c r="D330" s="1670">
        <f t="shared" ref="D330:J330" si="25">SUM(D319:D329)</f>
        <v>0</v>
      </c>
      <c r="E330" s="1670">
        <f t="shared" si="25"/>
        <v>180205</v>
      </c>
      <c r="F330" s="1670">
        <f t="shared" si="25"/>
        <v>0</v>
      </c>
      <c r="G330" s="1670">
        <f t="shared" si="25"/>
        <v>0</v>
      </c>
      <c r="H330" s="1670">
        <f t="shared" si="25"/>
        <v>0</v>
      </c>
      <c r="I330" s="1670">
        <f t="shared" si="25"/>
        <v>0</v>
      </c>
      <c r="J330" s="1670">
        <f t="shared" si="25"/>
        <v>0</v>
      </c>
      <c r="K330" s="1670">
        <f>SUM(K319:K329)</f>
        <v>589598</v>
      </c>
      <c r="L330" s="1670">
        <f>SUM(L319:L329)</f>
        <v>195000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409393</v>
      </c>
      <c r="D342" s="1670">
        <f>SUM(D330)</f>
        <v>0</v>
      </c>
      <c r="E342" s="1670">
        <f>SUM(E330)</f>
        <v>180205</v>
      </c>
      <c r="F342" s="1670">
        <f>SUM(F330)</f>
        <v>0</v>
      </c>
      <c r="G342" s="1670">
        <f>SUM(G330)</f>
        <v>0</v>
      </c>
      <c r="H342" s="1670">
        <f>SUM(H330,H334,H340)</f>
        <v>0</v>
      </c>
      <c r="I342" s="1670">
        <f>SUM(I330)</f>
        <v>0</v>
      </c>
      <c r="J342" s="1670">
        <f>SUM(J330)</f>
        <v>0</v>
      </c>
      <c r="K342" s="1670">
        <f>SUM(K330,K334,K340)</f>
        <v>589598</v>
      </c>
      <c r="L342" s="1677">
        <f>SUM(L330,L340,L341)</f>
        <v>195000</v>
      </c>
    </row>
    <row r="343" spans="1:14" ht="12.75" customHeight="1" thickTop="1" x14ac:dyDescent="0.2">
      <c r="A343" s="2176" t="s">
        <v>996</v>
      </c>
      <c r="B343" s="2177"/>
      <c r="C343" s="616"/>
      <c r="D343" s="616"/>
      <c r="E343" s="616"/>
      <c r="F343" s="616"/>
      <c r="G343" s="616"/>
      <c r="H343" s="616"/>
      <c r="I343" s="616"/>
      <c r="J343" s="616"/>
      <c r="K343" s="1684">
        <f>'Revenues 9-14'!J268-'Expenditures 15-22'!K342</f>
        <v>61835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25110</v>
      </c>
      <c r="H348" s="466"/>
      <c r="I348" s="467"/>
      <c r="J348" s="467"/>
      <c r="K348" s="1671">
        <f>SUM(C348:J348)</f>
        <v>25110</v>
      </c>
      <c r="L348" s="466">
        <v>14000</v>
      </c>
    </row>
    <row r="349" spans="1:14" x14ac:dyDescent="0.2">
      <c r="A349" s="1504" t="s">
        <v>197</v>
      </c>
      <c r="B349" s="614">
        <v>2540</v>
      </c>
      <c r="C349" s="466"/>
      <c r="D349" s="466"/>
      <c r="E349" s="466"/>
      <c r="F349" s="466"/>
      <c r="G349" s="466"/>
      <c r="H349" s="466"/>
      <c r="I349" s="467"/>
      <c r="J349" s="467"/>
      <c r="K349" s="1671">
        <f>SUM(C349:J349)</f>
        <v>0</v>
      </c>
      <c r="L349" s="466">
        <v>10500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25110</v>
      </c>
      <c r="H350" s="1670">
        <f t="shared" si="26"/>
        <v>0</v>
      </c>
      <c r="I350" s="1670">
        <f t="shared" si="26"/>
        <v>0</v>
      </c>
      <c r="J350" s="1670">
        <f t="shared" si="26"/>
        <v>0</v>
      </c>
      <c r="K350" s="1670">
        <f t="shared" si="26"/>
        <v>25110</v>
      </c>
      <c r="L350" s="1670">
        <f t="shared" si="26"/>
        <v>24500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25110</v>
      </c>
      <c r="H352" s="1670">
        <f t="shared" si="27"/>
        <v>0</v>
      </c>
      <c r="I352" s="1670">
        <f t="shared" si="27"/>
        <v>0</v>
      </c>
      <c r="J352" s="1670">
        <f t="shared" si="27"/>
        <v>0</v>
      </c>
      <c r="K352" s="1670">
        <f t="shared" si="27"/>
        <v>25110</v>
      </c>
      <c r="L352" s="1670">
        <f t="shared" si="27"/>
        <v>24500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25110</v>
      </c>
      <c r="H367" s="1670">
        <f t="shared" si="28"/>
        <v>0</v>
      </c>
      <c r="I367" s="1670">
        <f t="shared" si="28"/>
        <v>0</v>
      </c>
      <c r="J367" s="1670">
        <f t="shared" si="28"/>
        <v>0</v>
      </c>
      <c r="K367" s="1670">
        <f t="shared" si="28"/>
        <v>25110</v>
      </c>
      <c r="L367" s="1670">
        <f t="shared" si="28"/>
        <v>24500</v>
      </c>
    </row>
    <row r="368" spans="1:14" ht="13.5" thickTop="1" x14ac:dyDescent="0.2">
      <c r="A368" s="2190" t="s">
        <v>996</v>
      </c>
      <c r="B368" s="2191"/>
      <c r="C368" s="654"/>
      <c r="D368" s="654"/>
      <c r="E368" s="626"/>
      <c r="F368" s="626"/>
      <c r="G368" s="626"/>
      <c r="H368" s="626"/>
      <c r="I368" s="626"/>
      <c r="J368" s="623"/>
      <c r="K368" s="1671">
        <f>'Revenues 9-14'!K268-'Expenditures 15-22'!K367</f>
        <v>17385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4d435f69-8686-490b-bd6d-b153bf22ab50"/>
    <ds:schemaRef ds:uri="http://schemas.microsoft.com/office/2006/documentManagement/types"/>
    <ds:schemaRef ds:uri="http://purl.org/dc/elements/1.1/"/>
    <ds:schemaRef ds:uri="http://schemas.microsoft.com/office/2006/metadata/properties"/>
    <ds:schemaRef ds:uri="http://www.w3.org/XML/1998/namespace"/>
    <ds:schemaRef ds:uri="http://schemas.openxmlformats.org/package/2006/metadata/core-properties"/>
    <ds:schemaRef ds:uri="http://purl.org/dc/term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Sheet1</vt:lpstr>
      <vt:lpstr>SF&amp;QC Sec-1</vt:lpstr>
      <vt:lpstr>SF&amp;QC Sec-2</vt:lpstr>
      <vt:lpstr>SF&amp;QC Sec-2 (2)</vt:lpstr>
      <vt:lpstr>SF&amp;QC Sec-2 (3)</vt:lpstr>
      <vt:lpstr>SF&amp;QC Sec-3</vt:lpstr>
      <vt:lpstr>SSPAF</vt:lpstr>
      <vt:lpstr>Sheet2</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2019-11-13T20:50:01Z</cp:lastPrinted>
  <dcterms:created xsi:type="dcterms:W3CDTF">2003-10-29T19:06:34Z</dcterms:created>
  <dcterms:modified xsi:type="dcterms:W3CDTF">2019-12-26T15:26:31Z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