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0AF9F3D-BAA5-4DB0-998D-78B89F7ECDCF}"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0" i="127" l="1"/>
  <c r="F39" i="3"/>
  <c r="C39" i="3"/>
  <c r="K39" i="3" l="1"/>
  <c r="J39" i="3"/>
  <c r="I39" i="3"/>
  <c r="H39" i="3"/>
  <c r="G39" i="3"/>
  <c r="D39"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D7765" i="106" s="1"/>
  <c r="B7764" i="106"/>
  <c r="D7764" i="106" s="1"/>
  <c r="J85" i="28"/>
  <c r="B7758" i="106" s="1"/>
  <c r="D7758" i="106" s="1"/>
  <c r="J88" i="28"/>
  <c r="K6" i="29"/>
  <c r="B7763" i="106" s="1"/>
  <c r="D7763" i="106" s="1"/>
  <c r="B7762" i="106"/>
  <c r="K12" i="12"/>
  <c r="B7719" i="106" s="1"/>
  <c r="D7719" i="106" s="1"/>
  <c r="K23" i="12"/>
  <c r="J12" i="12"/>
  <c r="B7718" i="106" s="1"/>
  <c r="D7718" i="106" s="1"/>
  <c r="J21" i="12"/>
  <c r="B7727" i="106" s="1"/>
  <c r="D7727" i="106" s="1"/>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14" i="4" s="1"/>
  <c r="B2597" i="106" s="1"/>
  <c r="D2597"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7" i="106"/>
  <c r="D7077" i="106" s="1"/>
  <c r="B7078" i="106"/>
  <c r="D7078" i="106" s="1"/>
  <c r="B7079" i="106"/>
  <c r="D7079" i="106" s="1"/>
  <c r="B7081" i="106"/>
  <c r="D7081" i="106" s="1"/>
  <c r="B7082" i="106"/>
  <c r="D7082" i="106" s="1"/>
  <c r="B7083" i="106"/>
  <c r="D7083" i="106" s="1"/>
  <c r="B7085" i="106"/>
  <c r="D7085" i="106" s="1"/>
  <c r="B7086" i="106"/>
  <c r="D7086"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6" i="127"/>
  <c r="B67" i="127"/>
  <c r="F26" i="108"/>
  <c r="E27" i="108"/>
  <c r="G27" i="108"/>
  <c r="G28" i="108"/>
  <c r="E31" i="108"/>
  <c r="G31" i="108"/>
  <c r="E33" i="108"/>
  <c r="G33" i="108"/>
  <c r="E34" i="108"/>
  <c r="G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F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J367" i="29" l="1"/>
  <c r="B7245" i="106" s="1"/>
  <c r="B7235" i="106"/>
  <c r="D7235" i="106" s="1"/>
  <c r="B2724" i="106"/>
  <c r="D2724" i="106" s="1"/>
  <c r="D17" i="7"/>
  <c r="B4104" i="106" s="1"/>
  <c r="D4104" i="106" s="1"/>
  <c r="H76" i="4"/>
  <c r="B3298" i="106" s="1"/>
  <c r="D3298" i="106" s="1"/>
  <c r="K76" i="4"/>
  <c r="B3586" i="106" s="1"/>
  <c r="D3586" i="106" s="1"/>
  <c r="B2836" i="106"/>
  <c r="D2836" i="106" s="1"/>
  <c r="F71" i="34"/>
  <c r="F52" i="34"/>
  <c r="F44" i="34"/>
  <c r="B7074" i="106"/>
  <c r="D7074" i="106" s="1"/>
  <c r="I210" i="29"/>
  <c r="B7071" i="106" s="1"/>
  <c r="D7071" i="106" s="1"/>
  <c r="B7047" i="106"/>
  <c r="D7047" i="106" s="1"/>
  <c r="C352" i="29"/>
  <c r="B3621" i="106" s="1"/>
  <c r="D3621" i="106" s="1"/>
  <c r="B6995" i="106"/>
  <c r="D6995" i="106" s="1"/>
  <c r="F50" i="34"/>
  <c r="G26" i="108"/>
  <c r="D36" i="108"/>
  <c r="F36" i="108"/>
  <c r="G15" i="145"/>
  <c r="D24" i="37"/>
  <c r="B4270" i="106" s="1"/>
  <c r="D4270" i="106" s="1"/>
  <c r="F72" i="34"/>
  <c r="E35" i="108"/>
  <c r="G30" i="108"/>
  <c r="E26" i="108"/>
  <c r="D68" i="36"/>
  <c r="J77" i="4"/>
  <c r="B6262" i="106" s="1"/>
  <c r="D6262" i="106" s="1"/>
  <c r="B1274" i="106"/>
  <c r="D1274" i="106" s="1"/>
  <c r="D69" i="36"/>
  <c r="B1124" i="106"/>
  <c r="D1124" i="106" s="1"/>
  <c r="J22" i="37"/>
  <c r="F70" i="34"/>
  <c r="F37" i="34"/>
  <c r="F34" i="34"/>
  <c r="E30" i="108"/>
  <c r="D26" i="108"/>
  <c r="H112" i="29"/>
  <c r="B7018" i="106" s="1"/>
  <c r="D7018" i="106" s="1"/>
  <c r="H365" i="29"/>
  <c r="B7242" i="106" s="1"/>
  <c r="D7242" i="106" s="1"/>
  <c r="L13" i="11"/>
  <c r="B2060" i="106" s="1"/>
  <c r="D2060" i="106" s="1"/>
  <c r="L15" i="11"/>
  <c r="B3459" i="106" s="1"/>
  <c r="D3459" i="106" s="1"/>
  <c r="D54" i="36"/>
  <c r="C342" i="29"/>
  <c r="B7216" i="106" s="1"/>
  <c r="D7216" i="106" s="1"/>
  <c r="C129" i="29"/>
  <c r="B1225" i="106" s="1"/>
  <c r="D1225" i="106" s="1"/>
  <c r="D27" i="108"/>
  <c r="H33" i="118"/>
  <c r="D37" i="108"/>
  <c r="D7245" i="106"/>
  <c r="D9" i="7"/>
  <c r="B1767" i="106" s="1"/>
  <c r="D1767" i="106" s="1"/>
  <c r="H29" i="118"/>
  <c r="N22" i="3"/>
  <c r="B283" i="106" s="1"/>
  <c r="D283" i="106" s="1"/>
  <c r="L342" i="29"/>
  <c r="F62" i="34"/>
  <c r="F49" i="34"/>
  <c r="G38" i="108"/>
  <c r="D31" i="108"/>
  <c r="B2805" i="106"/>
  <c r="D2805" i="106" s="1"/>
  <c r="D11" i="37"/>
  <c r="F19" i="7"/>
  <c r="B1807" i="106" s="1"/>
  <c r="D1807" i="106" s="1"/>
  <c r="L5" i="11"/>
  <c r="B2056" i="106" s="1"/>
  <c r="D2056" i="106" s="1"/>
  <c r="H28" i="118"/>
  <c r="F42" i="34"/>
  <c r="E38" i="108"/>
  <c r="F28" i="108"/>
  <c r="J41" i="3"/>
  <c r="D51" i="36" s="1"/>
  <c r="K184" i="29"/>
  <c r="F13" i="4" s="1"/>
  <c r="B2596" i="106" s="1"/>
  <c r="D2596" i="106" s="1"/>
  <c r="G210" i="29"/>
  <c r="G39" i="108"/>
  <c r="H342" i="29"/>
  <c r="B7221" i="106" s="1"/>
  <c r="D7221" i="106" s="1"/>
  <c r="J129" i="29"/>
  <c r="B7038" i="106" s="1"/>
  <c r="D7038" i="106" s="1"/>
  <c r="K41" i="3"/>
  <c r="B3568" i="106" s="1"/>
  <c r="D3568" i="106" s="1"/>
  <c r="G29" i="108"/>
  <c r="I129" i="29"/>
  <c r="B7037" i="106" s="1"/>
  <c r="D7037" i="106" s="1"/>
  <c r="D6103" i="106"/>
  <c r="B1308" i="106"/>
  <c r="D1308" i="106" s="1"/>
  <c r="E174" i="29"/>
  <c r="B1309" i="106" s="1"/>
  <c r="D1309" i="106" s="1"/>
  <c r="F37" i="108"/>
  <c r="D31" i="36"/>
  <c r="L367" i="29"/>
  <c r="E28" i="108"/>
  <c r="L22" i="37"/>
  <c r="E29" i="108"/>
  <c r="B3254" i="106"/>
  <c r="D3254" i="106" s="1"/>
  <c r="I24" i="12"/>
  <c r="B3649" i="106"/>
  <c r="D3649" i="106" s="1"/>
  <c r="G367" i="29"/>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I151" i="29"/>
  <c r="F59" i="34" s="1"/>
  <c r="D7252" i="106"/>
  <c r="N23" i="3"/>
  <c r="B284" i="106" s="1"/>
  <c r="D284" i="106" s="1"/>
  <c r="C367" i="29"/>
  <c r="B3622" i="106" s="1"/>
  <c r="D3622" i="106" s="1"/>
  <c r="D7255" i="106"/>
  <c r="D7251" i="106"/>
  <c r="L114" i="29"/>
  <c r="C151" i="29"/>
  <c r="B1226" i="106" s="1"/>
  <c r="D1226" i="106" s="1"/>
  <c r="B5527" i="106"/>
  <c r="D5527" i="106" s="1"/>
  <c r="B1317" i="106"/>
  <c r="D1317" i="106" s="1"/>
  <c r="F41" i="108"/>
  <c r="G43" i="108" s="1"/>
  <c r="C114" i="29"/>
  <c r="B757" i="106" s="1"/>
  <c r="D757" i="106" s="1"/>
  <c r="D52" i="36"/>
  <c r="B6216" i="106"/>
  <c r="D6216" i="106" s="1"/>
  <c r="B5778" i="106"/>
  <c r="D5778" i="106" s="1"/>
  <c r="G6" i="4"/>
  <c r="B2604" i="106" s="1"/>
  <c r="D2604" i="106" s="1"/>
  <c r="B1996" i="106"/>
  <c r="D1996" i="106" s="1"/>
  <c r="I26" i="12"/>
  <c r="B7741" i="106" s="1"/>
  <c r="D7741" i="106" s="1"/>
  <c r="K342" i="29"/>
  <c r="F13" i="34" s="1"/>
  <c r="D7254" i="106"/>
  <c r="J16" i="4"/>
  <c r="B6226" i="106" s="1"/>
  <c r="D6226" i="106" s="1"/>
  <c r="L16" i="11"/>
  <c r="B2061" i="106" s="1"/>
  <c r="D2061" i="106" s="1"/>
  <c r="B1365" i="106"/>
  <c r="D1365" i="106" s="1"/>
  <c r="F65" i="34"/>
  <c r="B7215" i="106"/>
  <c r="D7215" i="106" s="1"/>
  <c r="F174" i="34"/>
  <c r="K28" i="118"/>
  <c r="O27" i="118" s="1"/>
  <c r="O29" i="118" s="1"/>
  <c r="B1381" i="106"/>
  <c r="D1381" i="106" s="1"/>
  <c r="J151" i="29"/>
  <c r="B7052" i="106" s="1"/>
  <c r="D7052" i="106" s="1"/>
  <c r="B1266" i="106"/>
  <c r="D1266" i="106" s="1"/>
  <c r="K365" i="29"/>
  <c r="B7243" i="106" s="1"/>
  <c r="D7243" i="106" s="1"/>
  <c r="D7253" i="106"/>
  <c r="B5770" i="106"/>
  <c r="D5770" i="106" s="1"/>
  <c r="D44" i="36"/>
  <c r="B1328" i="106"/>
  <c r="D1328" i="106" s="1"/>
  <c r="D7250"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1145" i="106"/>
  <c r="D1145" i="106" s="1"/>
  <c r="K367" i="29"/>
  <c r="F24" i="37"/>
  <c r="B7224" i="106"/>
  <c r="D7224"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J20" i="4"/>
  <c r="B6230" i="106" s="1"/>
  <c r="D6230" i="106" s="1"/>
  <c r="B6227" i="106"/>
  <c r="D6227" i="106" s="1"/>
  <c r="B6223" i="106"/>
  <c r="D6223" i="106" s="1"/>
  <c r="D8" i="146"/>
  <c r="K17" i="4"/>
  <c r="K20"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J78" i="4"/>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J82" i="4" s="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<sst xmlns="http://schemas.openxmlformats.org/spreadsheetml/2006/main" count="5109" uniqueCount="2113">
  <si>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</si>
  <si>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</si>
  <si>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</si>
  <si>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</si>
  <si>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</si>
  <si>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</si>
  <si>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</si>
  <si>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</si>
  <si>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</si>
  <si>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</si>
  <si>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</si>
  <si>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</si>
  <si>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</si>
  <si>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</si>
  <si>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</si>
  <si>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</si>
  <si>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</si>
  <si>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</si>
  <si>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</si>
  <si>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</si>
  <si>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</si>
  <si>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</si>
  <si>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</si>
  <si>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</si>
  <si>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</si>
  <si>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</si>
  <si>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</si>
  <si>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</si>
  <si>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</si>
  <si>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</si>
  <si>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</si>
  <si>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</si>
  <si>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</si>
  <si>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</si>
  <si>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</si>
  <si>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</si>
  <si>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</si>
  <si>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</si>
  <si>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</si>
  <si>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</si>
  <si>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</si>
  <si>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</si>
  <si>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</si>
  <si>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</si>
  <si>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</si>
  <si>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</si>
  <si>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</si>
  <si>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</si>
  <si>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</si>
  <si>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</si>
  <si>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</si>
  <si>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</si>
  <si>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</si>
  <si>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</si>
  <si>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</si>
  <si>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</si>
  <si>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</si>
  <si>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</si>
  <si>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</si>
  <si>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</si>
  <si>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</si>
  <si>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</si>
  <si>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</si>
  <si>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</si>
  <si>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</si>
  <si>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</si>
  <si>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</si>
  <si>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</si>
  <si>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</si>
  <si>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</si>
  <si>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</si>
  <si>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</si>
  <si>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</si>
  <si>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</si>
  <si>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</si>
  <si>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</si>
  <si>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</si>
  <si>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</si>
  <si>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</si>
  <si>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</si>
  <si>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</si>
  <si>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</si>
  <si>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</si>
  <si>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</si>
  <si>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</si>
  <si>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</si>
  <si>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</si>
  <si>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</si>
  <si>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</si>
  <si>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</si>
  <si>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</si>
  <si>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</si>
  <si>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</si>
  <si>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</si>
  <si>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</si>
  <si>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</si>
  <si>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</si>
  <si>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</si>
  <si>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</si>
  <si>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</si>
  <si>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</si>
  <si>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</si>
  <si>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</si>
  <si>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</si>
  <si>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</si>
  <si>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</si>
  <si>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</si>
  <si>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</si>
  <si>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</si>
  <si>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</si>
  <si>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</si>
  <si>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</si>
  <si>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</si>
  <si>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</si>
  <si>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</si>
  <si>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</si>
  <si>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</si>
  <si>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</si>
  <si>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</si>
  <si>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</si>
  <si>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</si>
  <si>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</si>
  <si>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</si>
  <si>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</si>
  <si>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</si>
  <si>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</si>
  <si>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</si>
  <si>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</si>
  <si>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</si>
  <si>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</si>
  <si>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</si>
  <si>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</si>
  <si>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</si>
  <si>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</si>
  <si>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</si>
  <si>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</si>
  <si>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</si>
  <si>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</si>
  <si>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</si>
  <si>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</si>
  <si>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</si>
  <si>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</si>
  <si>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</si>
  <si>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</si>
  <si>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</si>
  <si>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</si>
  <si>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</si>
  <si>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</si>
  <si>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</si>
  <si>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</si>
  <si>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</si>
  <si>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</si>
  <si>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</si>
  <si>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</si>
  <si>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</si>
  <si>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</si>
  <si>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</si>
  <si>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</si>
  <si>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</si>
  <si>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</si>
  <si>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</si>
  <si>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</si>
  <si>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</si>
  <si>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</si>
  <si>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</si>
  <si>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</si>
  <si>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</si>
  <si>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</si>
  <si>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</si>
  <si>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</si>
  <si>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</si>
  <si>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</si>
  <si>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</si>
  <si>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</si>
  <si>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</si>
  <si>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</si>
  <si>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</si>
  <si>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</si>
  <si>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</si>
  <si>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</si>
  <si>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</si>
  <si>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</si>
  <si>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</si>
  <si>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</si>
  <si>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</si>
  <si>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</si>
  <si>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</si>
  <si>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</si>
  <si>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</si>
  <si>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</si>
  <si>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</si>
  <si>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</si>
  <si>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</si>
  <si>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</si>
  <si>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</si>
  <si>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</si>
  <si>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</si>
  <si>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</si>
  <si>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</si>
  <si>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</si>
  <si>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</si>
  <si>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</si>
  <si>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</si>
  <si>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</si>
  <si>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</si>
  <si>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</si>
  <si>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</si>
  <si>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</si>
  <si>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</si>
  <si>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</si>
  <si>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</si>
  <si>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</si>
  <si>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</si>
  <si>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</si>
  <si>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</si>
  <si>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</si>
  <si>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</si>
  <si>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</si>
  <si>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</si>
  <si>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</si>
  <si>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</si>
  <si>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</si>
  <si>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</si>
  <si>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</si>
  <si>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</si>
  <si>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</si>
  <si>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</si>
  <si>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</si>
  <si>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</si>
  <si>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</si>
  <si>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</si>
  <si>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</si>
  <si>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</si>
  <si>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</si>
  <si>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</si>
  <si>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</si>
  <si>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</si>
  <si>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</si>
  <si>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</si>
  <si>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</si>
  <si>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</si>
  <si>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</si>
  <si>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</si>
  <si>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</si>
  <si>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</si>
  <si>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</si>
  <si>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</si>
  <si>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</si>
  <si>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</si>
  <si>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</si>
  <si>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</si>
  <si>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</si>
  <si>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</si>
  <si>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</si>
  <si>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</si>
  <si>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</si>
  <si>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</si>
  <si>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</si>
  <si>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</si>
  <si>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</si>
  <si>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</si>
  <si>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</si>
  <si>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</si>
  <si>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</si>
  <si>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</si>
  <si>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</si>
  <si>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</si>
  <si>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</si>
  <si>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</si>
  <si>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</si>
  <si>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</si>
  <si>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</si>
  <si>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</si>
  <si>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</si>
  <si>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</si>
  <si>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</si>
  <si>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</si>
  <si>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</si>
  <si>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</si>
  <si>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</si>
  <si>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</si>
  <si>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</si>
  <si>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</si>
  <si>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</si>
  <si>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</si>
  <si>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</si>
  <si>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</si>
  <si>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</si>
  <si>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</si>
  <si>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</si>
  <si>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</si>
  <si>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</si>
  <si>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</si>
  <si>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</si>
  <si>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</si>
  <si>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</si>
  <si>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</si>
  <si>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</si>
  <si>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</si>
  <si>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</si>
  <si>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</si>
  <si>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</si>
  <si>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</si>
  <si>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</si>
  <si>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</si>
  <si>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</si>
  <si>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</si>
  <si>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</si>
  <si>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</si>
  <si>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</si>
  <si>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</si>
  <si>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</si>
  <si>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</si>
  <si>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</si>
  <si>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</si>
  <si>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</si>
  <si>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</si>
  <si>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</si>
  <si>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</si>
  <si>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</si>
  <si>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</si>
  <si>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</si>
  <si>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</si>
  <si>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</si>
  <si>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</si>
  <si>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</si>
  <si>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</si>
  <si>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</si>
  <si>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</si>
  <si>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</si>
  <si>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</si>
  <si>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</si>
  <si>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</si>
  <si>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</si>
  <si>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</si>
  <si>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</si>
  <si>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</si>
  <si>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</si>
  <si>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</si>
  <si>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</si>
  <si>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</si>
  <si>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</si>
  <si>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</si>
  <si>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</si>
  <si>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</si>
  <si>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</si>
  <si>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</si>
  <si>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</si>
  <si>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</si>
  <si>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</si>
  <si>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</si>
  <si>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</si>
  <si>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</si>
  <si>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</si>
  <si>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</si>
  <si>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</si>
  <si>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</si>
  <si>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</si>
  <si>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</si>
  <si>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</si>
  <si>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</si>
  <si>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</si>
  <si>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</si>
  <si>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</si>
  <si>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</si>
  <si>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</si>
  <si>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</si>
  <si>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</si>
  <si>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</si>
  <si>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</si>
  <si>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</si>
  <si>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</si>
  <si>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</si>
  <si>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</si>
  <si>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</si>
  <si>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</si>
  <si>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</si>
  <si>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</si>
  <si>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</si>
  <si>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</si>
  <si>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</si>
  <si>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</si>
  <si>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</si>
  <si>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</si>
  <si>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</si>
  <si>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</si>
  <si>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</si>
  <si>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</si>
  <si>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</si>
  <si>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</si>
  <si>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</si>
  <si>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</si>
  <si>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</si>
  <si>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</si>
  <si>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</si>
  <si>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</si>
  <si>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</si>
  <si>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</si>
  <si>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</si>
  <si>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</si>
  <si>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</si>
  <si>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</si>
  <si>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</si>
  <si>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</si>
  <si>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</si>
  <si>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</si>
  <si>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</si>
  <si>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</si>
  <si>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</si>
  <si>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</si>
  <si>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</si>
  <si>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</si>
  <si>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</si>
  <si>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</si>
  <si>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</si>
  <si>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</si>
  <si>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</si>
  <si>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</si>
  <si>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</si>
  <si>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</si>
  <si>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</si>
  <si>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</si>
  <si>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</si>
  <si>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</si>
  <si>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</si>
  <si>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</si>
  <si>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</si>
  <si>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</si>
  <si>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</si>
  <si>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</si>
  <si>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</si>
  <si>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</si>
  <si>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</si>
  <si>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</si>
  <si>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</si>
  <si>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</si>
  <si>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</si>
  <si>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</si>
  <si>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</si>
  <si>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</si>
  <si>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</si>
  <si>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</si>
  <si>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</si>
  <si>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</si>
  <si>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</si>
  <si>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</si>
  <si>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</si>
  <si>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</si>
  <si>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</si>
  <si>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</si>
  <si>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</si>
  <si>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</si>
  <si>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</si>
  <si>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</si>
  <si>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</si>
  <si>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</si>
  <si>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</si>
  <si>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</si>
  <si>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</si>
  <si>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</si>
  <si>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</si>
  <si>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</si>
  <si>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</si>
  <si>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</si>
  <si>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</si>
  <si>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</si>
  <si>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</si>
  <si>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</si>
  <si>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</si>
  <si>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</si>
  <si>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</si>
  <si>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</si>
  <si>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</si>
  <si>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</si>
  <si>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</si>
  <si>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</si>
  <si>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</si>
  <si>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</si>
  <si>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</si>
  <si>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</si>
  <si>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</si>
  <si>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</si>
  <si>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</si>
  <si>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</si>
  <si>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</si>
  <si>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</si>
  <si>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</si>
  <si>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</si>
  <si>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</si>
  <si>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</si>
  <si>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</si>
  <si>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</si>
  <si>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</si>
  <si>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</si>
  <si>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</si>
  <si>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</si>
  <si>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</si>
  <si>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</si>
  <si>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</si>
  <si>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</si>
  <si>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</si>
  <si>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</si>
  <si>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</si>
  <si>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</si>
  <si>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</si>
  <si>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</si>
  <si>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</si>
  <si>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</si>
  <si>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</si>
  <si>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</si>
  <si>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</si>
  <si>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</si>
  <si>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</si>
  <si>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</si>
  <si>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</si>
  <si>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</si>
  <si>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</si>
  <si>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</si>
  <si>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</si>
  <si>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</si>
  <si>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</si>
  <si>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</si>
  <si>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</si>
  <si>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</si>
  <si>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</si>
  <si>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</si>
  <si>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</si>
  <si>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</si>
  <si>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</si>
  <si>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</si>
  <si>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</si>
  <si>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</si>
  <si>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</si>
  <si>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</si>
  <si>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</si>
  <si>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</si>
  <si>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</si>
  <si>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</si>
  <si>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</si>
  <si>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</si>
  <si>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</si>
  <si>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</si>
  <si>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</si>
  <si>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</si>
  <si>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</si>
  <si>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</si>
  <si>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</si>
  <si>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</si>
  <si>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</si>
  <si>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</si>
  <si>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</si>
  <si>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</si>
  <si>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</si>
  <si>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</si>
  <si>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</si>
  <si>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</si>
  <si>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</si>
  <si>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</si>
  <si>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</si>
  <si>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</si>
  <si>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</si>
  <si>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</si>
  <si>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</si>
  <si>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</si>
  <si>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</si>
  <si>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</si>
  <si>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</si>
  <si>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</si>
  <si>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</si>
  <si>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</si>
  <si>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</si>
  <si>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</si>
  <si>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</si>
  <si>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</si>
  <si>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</si>
  <si>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</si>
  <si>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</si>
  <si>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</si>
  <si>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</si>
  <si>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</si>
  <si>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</si>
  <si>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</si>
  <si>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</si>
  <si>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</si>
  <si>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</si>
  <si>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</si>
  <si>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</si>
  <si>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</si>
  <si>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</si>
  <si>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</si>
  <si>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</si>
  <si>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</si>
  <si>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</si>
  <si>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</si>
  <si>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</si>
  <si>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</si>
  <si>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</si>
  <si>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</si>
  <si>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</si>
  <si>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</si>
  <si>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</si>
  <si>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</si>
  <si>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</si>
  <si>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</si>
  <si>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</si>
  <si>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</si>
  <si>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</si>
  <si>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</si>
  <si>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</si>
  <si>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</si>
  <si>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</si>
  <si>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</si>
  <si>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</si>
  <si>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</si>
  <si>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</si>
  <si>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</si>
  <si>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</si>
  <si>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</si>
  <si>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</si>
  <si>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</si>
  <si>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</si>
  <si>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</si>
  <si>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</si>
  <si>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</si>
  <si>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</si>
  <si>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</si>
  <si>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</si>
  <si>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</si>
  <si>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</si>
  <si>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</si>
  <si>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</si>
  <si>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</si>
  <si>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</si>
  <si>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</si>
  <si>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</si>
  <si>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</si>
  <si>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</si>
  <si>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</si>
  <si>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</si>
  <si>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</si>
  <si>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</si>
  <si>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</si>
  <si>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</si>
  <si>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</si>
  <si>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</si>
  <si>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</si>
  <si>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</si>
  <si>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</si>
  <si>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</si>
  <si>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</si>
  <si>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</si>
  <si>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</si>
  <si>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</si>
  <si>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</si>
  <si>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</si>
  <si>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</si>
  <si>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</si>
  <si>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</si>
  <si>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</si>
  <si>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</si>
  <si>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</si>
  <si>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</si>
  <si>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</si>
  <si>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</si>
  <si>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</si>
  <si>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</si>
  <si>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</si>
  <si>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</si>
  <si>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</si>
  <si>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</si>
  <si>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</si>
  <si>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</si>
  <si>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</si>
  <si>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</si>
  <si>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</si>
  <si>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</si>
  <si>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</si>
  <si>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</si>
  <si>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</si>
  <si>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</si>
  <si>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</si>
  <si>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</si>
  <si>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</si>
  <si>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</si>
  <si>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</si>
  <si>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</si>
  <si>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</si>
  <si>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</si>
  <si>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</si>
  <si>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</si>
  <si>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</si>
  <si>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</si>
  <si>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</si>
  <si>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</si>
  <si>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</si>
  <si>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</si>
  <si>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</si>
  <si>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</si>
  <si>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</si>
  <si>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</si>
  <si>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</si>
  <si>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</si>
  <si>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</si>
  <si>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</si>
  <si>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</si>
  <si>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</si>
  <si>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</si>
  <si>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</si>
  <si>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</si>
  <si>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</si>
  <si>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</si>
  <si>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</si>
  <si>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</si>
  <si>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</si>
  <si>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</si>
  <si>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</si>
  <si>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</si>
  <si>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</si>
  <si>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</si>
  <si>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</si>
  <si>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</si>
  <si>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</si>
  <si>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</si>
  <si>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</si>
  <si>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</si>
  <si>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</si>
  <si>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</si>
  <si>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</si>
  <si>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</si>
  <si>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</si>
  <si>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</si>
  <si>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</si>
  <si>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</si>
  <si>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</si>
  <si>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</si>
  <si>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</si>
  <si>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</si>
  <si>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</si>
  <si>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</si>
  <si>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</si>
  <si>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</si>
  <si>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</si>
  <si>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</si>
  <si>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</si>
  <si>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</si>
  <si>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</si>
  <si>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</si>
  <si>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</si>
  <si>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</si>
  <si>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</si>
  <si>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</si>
  <si>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</si>
  <si>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</si>
  <si>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</si>
  <si>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</si>
  <si>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</si>
  <si>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</si>
  <si>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</si>
  <si>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</si>
  <si>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</si>
  <si>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</si>
  <si>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</si>
  <si>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</si>
  <si>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</si>
  <si>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</si>
  <si>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</si>
  <si>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</si>
  <si>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</si>
  <si>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</si>
  <si>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</si>
  <si>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</si>
  <si>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</si>
  <si>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</si>
  <si>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</si>
  <si>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</si>
  <si>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</si>
  <si>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</si>
  <si>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</si>
  <si>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</si>
  <si>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</si>
  <si>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</si>
  <si>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</si>
  <si>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</si>
  <si>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</si>
  <si>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</si>
  <si>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</si>
  <si>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</si>
  <si>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</si>
  <si>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</si>
  <si>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</si>
  <si>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</si>
  <si>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</si>
  <si>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</si>
  <si>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</si>
  <si>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</si>
  <si>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</si>
  <si>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</si>
  <si>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</si>
  <si>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</si>
  <si>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</si>
  <si>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</si>
  <si>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</si>
  <si>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</si>
  <si>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</si>
  <si>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</si>
  <si>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</si>
  <si>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</si>
  <si>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</si>
  <si>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</si>
  <si>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</si>
  <si>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</si>
  <si>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</si>
  <si>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</si>
  <si>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</si>
  <si>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</si>
  <si>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</si>
  <si>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</si>
  <si>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</si>
  <si>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</si>
  <si>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</si>
  <si>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</si>
  <si>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</si>
  <si>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</si>
  <si>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</si>
  <si>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</si>
  <si>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</si>
  <si>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</si>
  <si>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</si>
  <si>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</si>
  <si>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</si>
  <si>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</si>
  <si>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</si>
  <si>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</si>
  <si>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</si>
  <si>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</si>
  <si>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</si>
  <si>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</si>
  <si>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</si>
  <si>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</si>
  <si>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</si>
  <si>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</si>
  <si>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</si>
  <si>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</si>
  <si>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</si>
  <si>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</si>
  <si>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</si>
  <si>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</si>
  <si>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</si>
  <si>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</si>
  <si>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</si>
  <si>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</si>
  <si>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</si>
  <si>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</si>
  <si>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</si>
  <si>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</si>
  <si>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</si>
  <si>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</si>
  <si>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</si>
  <si>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</si>
  <si>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</si>
  <si>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</si>
  <si>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</si>
  <si>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</si>
  <si>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</si>
  <si>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</si>
  <si>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</si>
  <si>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</si>
  <si>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</si>
  <si>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</si>
  <si>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</si>
  <si>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</si>
  <si>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</si>
  <si>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</si>
  <si>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</si>
  <si>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</si>
  <si>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</si>
  <si>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</si>
  <si>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</si>
  <si>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</si>
  <si>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</si>
  <si>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</si>
  <si>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</si>
  <si>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</si>
  <si>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</si>
  <si>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</si>
  <si>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</si>
  <si>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</si>
  <si>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</si>
  <si>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</si>
  <si>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</si>
  <si>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</si>
  <si>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</si>
  <si>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</si>
  <si>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</si>
  <si>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</si>
  <si>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</si>
  <si>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</si>
  <si>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</si>
  <si>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</si>
  <si>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</si>
  <si>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</si>
  <si>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</si>
  <si>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</si>
  <si>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</si>
  <si>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</si>
  <si>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</si>
  <si>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</si>
  <si>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</si>
  <si>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</si>
  <si>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</si>
  <si>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</si>
  <si>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</si>
  <si>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</si>
  <si>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</si>
  <si>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</si>
  <si>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</si>
  <si>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</si>
  <si>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</si>
  <si>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</si>
  <si>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</si>
  <si>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</si>
  <si>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</si>
  <si>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</si>
  <si>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</si>
  <si>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</si>
  <si>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</si>
  <si>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</si>
  <si>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</si>
  <si>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</si>
  <si>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</si>
  <si>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</si>
  <si>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</si>
  <si>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</si>
  <si>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</si>
  <si>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</si>
  <si>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</si>
  <si>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</si>
  <si>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</si>
  <si>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</si>
  <si>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</si>
  <si>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</si>
  <si>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</si>
  <si>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</si>
  <si>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</si>
  <si>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</si>
  <si>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</si>
  <si>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</si>
  <si>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</si>
  <si>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</si>
  <si>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</si>
  <si>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</si>
  <si>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</si>
  <si>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</si>
  <si>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</si>
  <si>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</si>
  <si>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</si>
  <si>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</si>
  <si>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</si>
  <si>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</si>
  <si>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</si>
  <si>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</si>
  <si>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</si>
  <si>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</si>
  <si>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</si>
  <si>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</si>
  <si>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</si>
  <si>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</si>
  <si>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</si>
  <si>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</si>
  <si>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</si>
  <si>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</si>
  <si>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</si>
  <si>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</si>
  <si>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</si>
  <si>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</si>
  <si>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</si>
  <si>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</si>
  <si>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</si>
  <si>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</si>
  <si>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</si>
  <si>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</si>
  <si>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</si>
  <si>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</si>
  <si>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</si>
  <si>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</si>
  <si>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</si>
  <si>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</si>
  <si>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</si>
  <si>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</si>
  <si>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</si>
  <si>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</si>
  <si>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</si>
  <si>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</si>
  <si>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</si>
  <si>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</si>
  <si>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</si>
  <si>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</si>
  <si>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</si>
  <si>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</si>
  <si>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</si>
  <si>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</si>
  <si>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</si>
  <si>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</si>
  <si>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</si>
  <si>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</si>
  <si>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</si>
  <si>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</si>
  <si>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</si>
  <si>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</si>
  <si>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</si>
  <si>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</si>
  <si>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</si>
  <si>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</si>
  <si>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</si>
  <si>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</si>
  <si>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</si>
  <si>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</si>
  <si>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</si>
  <si>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</si>
  <si>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</si>
  <si>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</si>
  <si>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</si>
  <si>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</si>
  <si>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</si>
  <si>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</si>
  <si>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</si>
  <si>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</si>
  <si>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</si>
  <si>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</si>
  <si>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</si>
  <si>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</si>
  <si>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</si>
  <si>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</si>
  <si>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</si>
  <si>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</si>
  <si>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</si>
  <si>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</si>
  <si>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</si>
  <si>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</si>
  <si>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</si>
  <si>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</si>
  <si>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</si>
  <si>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</si>
  <si>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</si>
  <si>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</si>
  <si>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</si>
  <si>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</si>
  <si>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</si>
  <si>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</si>
  <si>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</si>
  <si>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</si>
  <si>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</si>
  <si>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</si>
  <si>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</si>
  <si>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</si>
  <si>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</si>
  <si>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</si>
  <si>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</si>
  <si>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</si>
  <si>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</si>
  <si>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</si>
  <si>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</si>
  <si>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</si>
  <si>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</si>
  <si>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</si>
  <si>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</si>
  <si>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</si>
  <si>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</si>
  <si>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</si>
  <si>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</si>
  <si>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</si>
  <si>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</si>
  <si>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</si>
  <si>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</si>
  <si>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</si>
  <si>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</si>
  <si>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</si>
  <si>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</si>
  <si>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</si>
  <si>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</si>
  <si>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</si>
  <si>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</si>
  <si>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</si>
  <si>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</si>
  <si>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</si>
  <si>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</si>
  <si>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</si>
  <si>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</si>
  <si>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</si>
  <si>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</si>
  <si>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</si>
  <si>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</si>
  <si>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</si>
  <si>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</si>
  <si>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</si>
  <si>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</si>
  <si>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</si>
  <si>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</si>
  <si>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</si>
  <si>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</si>
  <si>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</si>
  <si>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</si>
  <si>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</si>
  <si>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</si>
  <si>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</si>
  <si>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</si>
  <si>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</si>
  <si>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</si>
  <si>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</si>
  <si>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</si>
  <si>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</si>
  <si>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</si>
  <si>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</si>
  <si>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</si>
  <si>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</si>
  <si>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</si>
  <si>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</si>
  <si>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</si>
  <si>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</si>
  <si>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</si>
  <si>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</si>
  <si>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</si>
  <si>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</si>
  <si>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</si>
  <si>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</si>
  <si>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</si>
  <si>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</si>
  <si>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</si>
  <si>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</si>
  <si>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</si>
  <si>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</si>
  <si>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</si>
  <si>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</si>
  <si>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</si>
  <si>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</si>
  <si>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</si>
  <si>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</si>
  <si>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</si>
  <si>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</si>
  <si>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</si>
  <si>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</si>
  <si>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</si>
  <si>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</si>
  <si>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</si>
  <si>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</si>
  <si>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</si>
  <si>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</si>
  <si>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</si>
  <si>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</si>
  <si>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</si>
  <si>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</si>
  <si>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</si>
  <si>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</si>
  <si>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</si>
  <si>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</si>
  <si>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</si>
  <si>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</si>
  <si>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</si>
  <si>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</si>
  <si>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</si>
  <si>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</si>
  <si>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</si>
  <si>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</si>
  <si>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</si>
  <si>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</si>
  <si>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</si>
  <si>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</si>
  <si>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</si>
  <si>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</si>
  <si>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</si>
  <si>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</si>
  <si>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</si>
  <si>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</si>
  <si>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</si>
  <si>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</si>
  <si>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</si>
  <si>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</si>
  <si>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</si>
  <si>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</si>
  <si>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</si>
  <si>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</si>
  <si>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</si>
  <si>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</si>
  <si>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</si>
  <si>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</si>
  <si>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</si>
  <si>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</si>
  <si>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</si>
  <si>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</si>
  <si>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</si>
  <si>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</si>
  <si>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</si>
  <si>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</si>
  <si>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</si>
  <si>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</si>
  <si>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</si>
  <si>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</si>
  <si>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</si>
  <si>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</si>
  <si>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</si>
  <si>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</si>
  <si>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</si>
  <si>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</si>
  <si>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</si>
  <si>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</si>
  <si>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</si>
  <si>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</si>
  <si>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</si>
  <si>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</si>
  <si>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</si>
  <si>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</si>
  <si>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</si>
  <si>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</si>
  <si>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</si>
  <si>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</si>
  <si>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</si>
  <si>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</si>
  <si>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</si>
  <si>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</si>
  <si>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</si>
  <si>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</si>
  <si>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</si>
  <si>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</si>
  <si>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</si>
  <si>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</si>
  <si>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</si>
  <si>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</si>
  <si>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</si>
  <si>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</si>
  <si>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</si>
  <si>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</si>
  <si>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</si>
  <si>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</si>
  <si>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</si>
  <si>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</si>
  <si>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</si>
  <si>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</si>
  <si>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</si>
  <si>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</si>
  <si>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</si>
  <si>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</si>
  <si>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</si>
  <si>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</si>
  <si>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</si>
  <si>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</si>
  <si>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</si>
  <si>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</si>
  <si>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</si>
  <si>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</si>
  <si>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</si>
  <si>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</si>
  <si>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</si>
  <si>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</si>
  <si>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</si>
  <si>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</si>
  <si>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</si>
  <si>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</si>
  <si>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</si>
  <si>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</si>
  <si>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</si>
  <si>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</si>
  <si>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</si>
  <si>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</si>
  <si>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</si>
  <si>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</si>
  <si>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</si>
  <si>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</si>
  <si>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</si>
  <si>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</si>
  <si>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</si>
  <si>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</si>
  <si>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</si>
  <si>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</si>
  <si>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</si>
  <si>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</si>
  <si>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</si>
  <si>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</si>
  <si>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</si>
  <si>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</si>
  <si>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</si>
  <si>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</si>
  <si>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</si>
  <si>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</si>
  <si>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</si>
  <si>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</si>
  <si>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</si>
  <si>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</si>
  <si>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</si>
  <si>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</si>
  <si>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</si>
  <si>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</si>
  <si>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</si>
  <si>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</si>
  <si>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</si>
  <si>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</si>
  <si>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</si>
  <si>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</si>
  <si>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</si>
  <si>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</si>
  <si>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</si>
  <si>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</si>
  <si>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</si>
  <si>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</si>
  <si>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</si>
  <si>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</si>
  <si>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</si>
  <si>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</si>
  <si>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</si>
  <si>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</si>
  <si>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</si>
  <si>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</si>
  <si>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</si>
  <si>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</si>
  <si>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</si>
  <si>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</si>
  <si>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</si>
  <si>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</si>
  <si>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</si>
  <si>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</si>
  <si>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</si>
  <si>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</si>
  <si>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</si>
  <si>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</si>
  <si>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</si>
  <si>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</si>
  <si>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</si>
  <si>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</si>
  <si>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</si>
  <si>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</si>
  <si>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</si>
  <si>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</si>
  <si>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</si>
  <si>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</si>
  <si>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</si>
  <si>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</si>
  <si>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</si>
  <si>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</si>
  <si>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</si>
  <si>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</si>
  <si>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</si>
  <si>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</si>
  <si>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</si>
  <si>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</si>
  <si>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</si>
  <si>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</si>
  <si>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</si>
  <si>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</si>
  <si>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</si>
  <si>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</si>
  <si>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</si>
  <si>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</si>
  <si>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</si>
  <si>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</si>
  <si>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</si>
  <si>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</si>
  <si>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</si>
  <si>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</si>
  <si>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</si>
  <si>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</si>
  <si>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</si>
  <si>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</si>
  <si>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</si>
  <si>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</si>
  <si>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</si>
  <si>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</si>
  <si>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</si>
  <si>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</si>
  <si>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</si>
  <si>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</si>
  <si>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</si>
  <si>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</si>
  <si>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</si>
  <si>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</si>
  <si>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</si>
  <si>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</si>
  <si>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</si>
  <si>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</si>
  <si>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</si>
  <si>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</si>
  <si>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</si>
  <si>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</si>
  <si>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</si>
  <si>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</si>
  <si>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</si>
  <si>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</si>
  <si>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</si>
  <si>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</si>
  <si>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</si>
  <si>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</si>
  <si>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</si>
  <si>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</si>
  <si>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</si>
  <si>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</si>
  <si>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</si>
  <si>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</si>
  <si>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</si>
  <si>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</si>
  <si>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</si>
  <si>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</si>
  <si>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</si>
  <si>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</si>
  <si>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</si>
  <si>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</si>
  <si>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</si>
  <si>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</si>
  <si>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</si>
  <si>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</si>
  <si>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</si>
  <si>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</si>
  <si>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</si>
  <si>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</si>
  <si>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</si>
  <si>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</si>
  <si>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</si>
  <si>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</si>
  <si>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</si>
  <si>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</si>
  <si>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</si>
  <si>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</si>
  <si>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</si>
  <si>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</si>
  <si>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</si>
  <si>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</si>
  <si>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</si>
  <si>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</si>
  <si>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</si>
  <si>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</si>
  <si>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</si>
  <si>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</si>
  <si>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</si>
  <si>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</si>
  <si>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</si>
  <si>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</si>
  <si>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</si>
  <si>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</si>
  <si>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</si>
  <si>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</si>
  <si>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</si>
  <si>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</si>
  <si>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</si>
  <si>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</si>
  <si>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</si>
  <si>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</si>
  <si>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</si>
  <si>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</si>
  <si>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</si>
  <si>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</si>
  <si>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</si>
  <si>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</si>
  <si>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</si>
  <si>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</si>
  <si>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</si>
  <si>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</si>
  <si>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</si>
  <si>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</si>
  <si>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</si>
  <si>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</si>
  <si>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</si>
  <si>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</si>
  <si>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</si>
  <si>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</si>
  <si>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</si>
  <si>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</si>
  <si>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</si>
  <si>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</si>
  <si>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</si>
  <si>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</si>
  <si>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</si>
  <si>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</si>
  <si>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</si>
  <si>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</si>
  <si>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</si>
  <si>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</si>
  <si>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</si>
  <si>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</si>
  <si>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</si>
  <si>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</si>
  <si>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</si>
  <si>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</si>
  <si>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</si>
  <si>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</si>
  <si>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</si>
  <si>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</si>
  <si>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</si>
  <si>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</si>
  <si>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</si>
  <si>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</si>
  <si>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</si>
  <si>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</si>
  <si>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</si>
  <si>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</si>
  <si>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</si>
  <si>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</si>
  <si>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</si>
  <si>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</si>
  <si>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</si>
  <si>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</si>
  <si>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</si>
  <si>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</si>
  <si>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</si>
  <si>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</si>
  <si>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</si>
  <si>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</si>
  <si>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</si>
  <si>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</si>
  <si>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</si>
  <si>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</si>
  <si>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</si>
  <si>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</si>
  <si>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</si>
  <si>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</si>
  <si>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</si>
  <si>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</si>
  <si>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</si>
  <si>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</si>
  <si>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</si>
  <si>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</si>
  <si>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</si>
  <si>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</si>
  <si>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</si>
  <si>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</si>
  <si>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</si>
  <si>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</si>
  <si>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</si>
  <si>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</si>
  <si>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</si>
  <si>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</si>
  <si>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</si>
  <si>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</si>
  <si>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</si>
  <si>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</si>
  <si>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</si>
  <si>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</si>
  <si>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</si>
  <si>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</si>
  <si>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</si>
  <si>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</si>
  <si>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</si>
  <si>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</si>
  <si>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</si>
  <si>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</si>
  <si>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</si>
  <si>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</si>
  <si>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</si>
  <si>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</si>
  <si>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</si>
  <si>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</si>
  <si>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</si>
  <si>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</si>
  <si>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</si>
  <si>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</si>
  <si>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</si>
  <si>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</si>
  <si>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</si>
  <si>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</si>
  <si>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</si>
  <si>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</si>
  <si>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</si>
  <si>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</si>
  <si>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</si>
  <si>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</si>
  <si>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</si>
  <si>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</si>
  <si>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</si>
  <si>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</si>
  <si>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</si>
  <si>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</si>
  <si>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</si>
  <si>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</si>
  <si>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</si>
  <si>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</si>
  <si>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</si>
  <si>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</si>
  <si>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</si>
  <si>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</si>
  <si>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</si>
  <si>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</si>
  <si>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</si>
  <si>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</si>
  <si>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</si>
  <si>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</si>
  <si>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</si>
  <si>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</si>
  <si>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</si>
  <si>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</si>
  <si>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</si>
  <si>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</si>
  <si>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</si>
  <si>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</si>
  <si>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</si>
  <si>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</si>
  <si>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</si>
  <si>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</si>
  <si>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</si>
  <si>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</si>
  <si>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</si>
  <si>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</si>
  <si>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</si>
  <si>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</si>
  <si>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</si>
  <si>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</si>
  <si>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</si>
  <si>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</si>
  <si>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</si>
  <si>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</si>
  <si>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</si>
  <si>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</si>
  <si>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</si>
  <si>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</si>
  <si>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</si>
  <si>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</si>
  <si>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</si>
  <si>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</si>
  <si>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</si>
  <si>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</si>
  <si>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</si>
  <si>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</si>
  <si>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</si>
  <si>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</si>
  <si>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</si>
  <si>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</si>
  <si>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</si>
  <si>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</si>
  <si>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</si>
  <si>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</si>
  <si>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</si>
  <si>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</si>
  <si>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</si>
  <si>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</si>
  <si>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</si>
  <si>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</si>
  <si>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</si>
  <si>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</si>
  <si>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</si>
  <si>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</si>
  <si>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</si>
  <si>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</si>
  <si>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</si>
  <si>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</si>
  <si>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</si>
  <si>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</si>
  <si>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</si>
  <si>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</si>
  <si>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</si>
  <si>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</si>
  <si>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</si>
  <si>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</si>
  <si>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</si>
  <si>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</si>
  <si>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</si>
  <si>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</si>
  <si>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</si>
  <si>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</si>
  <si>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</si>
  <si>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</si>
  <si>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</si>
  <si>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</si>
  <si>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</si>
  <si>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</si>
  <si>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</si>
  <si>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</si>
  <si>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</si>
  <si>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</si>
  <si>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</si>
  <si>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</si>
  <si>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</si>
  <si>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</si>
  <si>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</si>
  <si>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</si>
  <si>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</si>
  <si>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</si>
  <si>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</si>
  <si>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</si>
  <si>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</si>
  <si>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</si>
  <si>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</si>
  <si>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</si>
  <si>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</si>
  <si>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</si>
  <si>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</si>
  <si>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</si>
  <si>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</si>
  <si>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</si>
  <si>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</si>
  <si>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</si>
  <si>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</si>
  <si>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</si>
  <si>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</si>
  <si>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</si>
  <si>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</si>
  <si>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</si>
  <si>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</si>
  <si>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</si>
  <si>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</si>
  <si>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</si>
  <si>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</si>
  <si>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</si>
  <si>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</si>
  <si>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</si>
  <si>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</si>
  <si>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</si>
  <si>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</si>
  <si>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</si>
  <si>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</si>
  <si>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</si>
  <si>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</si>
  <si>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</si>
  <si>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</si>
  <si>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</si>
  <si>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</si>
  <si>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</si>
  <si>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</si>
  <si>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</si>
  <si>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</si>
  <si>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</si>
  <si>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</si>
  <si>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</si>
  <si>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</si>
  <si>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</si>
  <si>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</si>
  <si>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</si>
  <si>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</si>
  <si>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</si>
  <si>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</si>
  <si>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</si>
  <si>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</si>
  <si>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</si>
  <si>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</si>
  <si>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</si>
  <si>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</si>
  <si>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</si>
  <si>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</si>
  <si>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</si>
  <si>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</si>
  <si>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</si>
  <si>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</si>
  <si>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</si>
  <si>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</si>
  <si>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</si>
  <si>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</si>
  <si>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</si>
  <si>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</si>
  <si>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</si>
  <si>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</si>
  <si>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</si>
  <si>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</si>
  <si>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</si>
  <si>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</si>
  <si>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</si>
  <si>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</si>
  <si>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</si>
  <si>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</si>
  <si>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</si>
  <si>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</si>
  <si>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</si>
  <si>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</si>
  <si>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</si>
  <si>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</si>
  <si>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</si>
  <si>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</si>
  <si>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</si>
  <si>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</si>
  <si>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</si>
  <si>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</si>
  <si>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</si>
  <si>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</si>
  <si>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</si>
  <si>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</si>
  <si>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</si>
  <si>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</si>
  <si>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</si>
  <si>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</si>
  <si>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</si>
  <si>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</si>
  <si>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</si>
  <si>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</si>
  <si>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</si>
  <si>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</si>
  <si>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</si>
  <si>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</si>
  <si>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</si>
  <si>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</si>
  <si>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</si>
  <si>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</si>
  <si>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</si>
  <si>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</si>
  <si>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</si>
  <si>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</si>
  <si>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</si>
  <si>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</si>
  <si>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</si>
  <si>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</si>
  <si>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</si>
  <si>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</si>
  <si>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</si>
  <si>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</si>
  <si>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</si>
  <si>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</si>
  <si>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</si>
  <si>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</si>
  <si>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</si>
  <si>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</si>
  <si>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</si>
  <si>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</si>
  <si>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</si>
  <si>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</si>
  <si>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</si>
  <si>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</si>
  <si>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</si>
  <si>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</si>
  <si>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</si>
  <si>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</si>
  <si>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</si>
  <si>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</si>
  <si>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</si>
  <si>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</si>
  <si>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</si>
  <si>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</si>
  <si>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</si>
  <si>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</si>
  <si>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</si>
  <si>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</si>
  <si>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</si>
  <si>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</si>
  <si>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</si>
  <si>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</si>
  <si>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</si>
  <si>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</si>
  <si>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</si>
  <si>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</si>
  <si>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</si>
  <si>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</si>
  <si>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</si>
  <si>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</si>
  <si>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</si>
  <si>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</si>
  <si>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</si>
  <si>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</si>
  <si>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</si>
  <si>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</si>
  <si>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</si>
  <si>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</si>
  <si>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</si>
  <si>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</si>
  <si>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</si>
  <si>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</si>
  <si>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</si>
  <si>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</si>
  <si>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</si>
  <si>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</si>
  <si>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</si>
  <si>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</si>
  <si>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</si>
  <si>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</si>
  <si>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</si>
  <si>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</si>
  <si>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</si>
  <si>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</si>
  <si>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</si>
  <si>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</si>
  <si>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</si>
  <si>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</si>
  <si>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</si>
  <si>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</si>
  <si>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</si>
  <si>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</si>
  <si>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</si>
  <si>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</si>
  <si>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</si>
  <si>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</si>
  <si>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</si>
  <si>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</si>
  <si>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</si>
  <si>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</si>
  <si>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</si>
  <si>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</si>
  <si>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</si>
  <si>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</si>
  <si>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</si>
  <si>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</si>
  <si>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</si>
  <si>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</si>
  <si>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</si>
  <si>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</si>
  <si>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</si>
  <si>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</si>
  <si>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</si>
  <si>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</si>
  <si>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</si>
  <si>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</si>
  <si>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</si>
  <si>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</si>
  <si>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</si>
  <si>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</si>
  <si>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</si>
  <si>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</si>
  <si>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</si>
  <si>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</si>
  <si>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</si>
  <si>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</si>
  <si>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</si>
  <si>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</si>
  <si>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</si>
  <si>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</si>
  <si>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</si>
  <si>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</si>
  <si>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</si>
  <si>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</si>
  <si>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</si>
  <si>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</si>
  <si>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</si>
  <si>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</si>
  <si>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</si>
  <si>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</si>
  <si>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</si>
  <si>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</si>
  <si>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</si>
  <si>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</si>
  <si>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</si>
  <si>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</si>
  <si>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</si>
  <si>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</si>
  <si>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</si>
  <si>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</si>
  <si>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</si>
  <si>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</si>
  <si>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</si>
  <si>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</si>
  <si>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</si>
  <si>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</si>
  <si>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</si>
  <si>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</si>
  <si>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</si>
  <si>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</si>
  <si>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</si>
  <si>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</si>
  <si>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</si>
  <si>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</si>
  <si>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</si>
  <si>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</si>
  <si>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</si>
  <si>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</si>
  <si>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</si>
  <si>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</si>
  <si>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</si>
  <si>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</si>
  <si>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</si>
  <si>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</si>
  <si>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</si>
  <si>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</si>
  <si>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</si>
  <si>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</si>
  <si>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</si>
  <si>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</si>
  <si>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</si>
  <si>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</si>
  <si>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</si>
  <si>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</si>
  <si>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</si>
  <si>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</si>
  <si>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</si>
  <si>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</si>
  <si>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</si>
  <si>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</si>
  <si>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</si>
  <si>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</si>
  <si>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</si>
  <si>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</si>
  <si>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</si>
  <si>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</si>
  <si>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</si>
  <si>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</si>
  <si>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</si>
  <si>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</si>
  <si>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</si>
  <si>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</si>
  <si>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</si>
  <si>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</si>
  <si>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</si>
  <si>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</si>
  <si>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</si>
  <si>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</si>
  <si>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</si>
  <si>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</si>
  <si>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</si>
  <si>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</si>
  <si>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</si>
  <si>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</si>
  <si>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</si>
  <si>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</si>
  <si>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</si>
  <si>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</si>
  <si>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</si>
  <si>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</si>
  <si>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</si>
  <si>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</si>
  <si>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</si>
  <si>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</si>
  <si>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</si>
  <si>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</si>
  <si>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</si>
  <si>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</si>
  <si>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</si>
  <si>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</si>
  <si>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</si>
  <si>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</si>
  <si>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</si>
  <si>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</si>
  <si>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</si>
  <si>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</si>
  <si>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</si>
  <si>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</si>
  <si>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</si>
  <si>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</si>
  <si>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</si>
  <si>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</si>
  <si>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</si>
  <si>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</si>
  <si>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</si>
  <si>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</si>
  <si>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</si>
  <si>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</si>
  <si>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</si>
  <si>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</si>
  <si>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</si>
  <si>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</si>
  <si>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</si>
  <si>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</si>
  <si>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</si>
  <si>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</si>
  <si>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</si>
  <si>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</si>
  <si>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</si>
  <si>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</si>
  <si>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</si>
  <si>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</si>
  <si>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</si>
  <si>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</si>
  <si>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</si>
  <si>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</si>
  <si>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</si>
  <si>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</si>
  <si>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</si>
  <si>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</si>
  <si>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</si>
  <si>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</si>
  <si>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</si>
  <si>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</si>
  <si>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</si>
  <si>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</si>
  <si>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</si>
  <si>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</si>
  <si>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</si>
  <si>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</si>
  <si>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</si>
  <si>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</si>
  <si>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</si>
  <si>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</si>
  <si>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</si>
  <si>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</si>
  <si>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</si>
  <si>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</si>
  <si>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</si>
  <si>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</si>
  <si>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ST. CLAIR</t>
  </si>
  <si>
    <t>X</t>
  </si>
  <si>
    <t>SCHEFFEL BOYLE</t>
  </si>
  <si>
    <t>222 EAST MAIN STREET</t>
  </si>
  <si>
    <t>811 DARMSTADT STREET</t>
  </si>
  <si>
    <t>BELLEVILLE</t>
  </si>
  <si>
    <t>IL</t>
  </si>
  <si>
    <t>ST. LIBORY</t>
  </si>
  <si>
    <t>618.277.8100</t>
  </si>
  <si>
    <t>681.277.9307</t>
  </si>
  <si>
    <t>065-023476</t>
  </si>
  <si>
    <t>brian.otten@scheffelboyle.com</t>
  </si>
  <si>
    <t>x</t>
  </si>
  <si>
    <t>St. Clair County ROE</t>
  </si>
  <si>
    <t>Belleville Area Special Services Coop; Freeburg Dist. #70; High Mount SD #116</t>
  </si>
  <si>
    <t>Promissory Note for Transportation Fund Vehicle</t>
  </si>
  <si>
    <t>Promissory Note</t>
  </si>
  <si>
    <t>Education-Instruction-Regular Programs</t>
  </si>
  <si>
    <t>Education-Support Services-Board of Education Services</t>
  </si>
  <si>
    <t>O&amp;M-Support Services-O&amp;M Plant Services</t>
  </si>
  <si>
    <t>Transportation-Support Services-Pupil Transportation</t>
  </si>
  <si>
    <t>10-1000-300</t>
  </si>
  <si>
    <t>10-2300-300</t>
  </si>
  <si>
    <t>20-2540-300</t>
  </si>
  <si>
    <t>40-2550-300</t>
  </si>
  <si>
    <t>Ricoh Copier</t>
  </si>
  <si>
    <t>Scheffel Boyle</t>
  </si>
  <si>
    <t>Orkin Pest Control</t>
  </si>
  <si>
    <t>Waste Management</t>
  </si>
  <si>
    <t>SWIBCO</t>
  </si>
  <si>
    <t>Page #</t>
  </si>
  <si>
    <t>----</t>
  </si>
  <si>
    <t>Schedule of LT Debt</t>
  </si>
  <si>
    <t>Transfer from student activity funds</t>
  </si>
  <si>
    <t>Egyptian Telephone capital credits</t>
  </si>
  <si>
    <t>Interest on taxes</t>
  </si>
  <si>
    <t>REAP Grant CFDA #84.358A</t>
  </si>
  <si>
    <t>Principal payments on promissory note</t>
  </si>
  <si>
    <t>BRIAN A. OTTEN, CPA</t>
  </si>
  <si>
    <t>THOMAS RUDE</t>
  </si>
  <si>
    <t>trude@egyptian.net</t>
  </si>
  <si>
    <t>618.768.4923</t>
  </si>
  <si>
    <t>618.768.4518</t>
  </si>
  <si>
    <t>SUSAN SARFATY</t>
  </si>
  <si>
    <t>ssarfaty@stclair.k12.il.us</t>
  </si>
  <si>
    <t>618.825.3900</t>
  </si>
  <si>
    <t>618.825.3999</t>
  </si>
  <si>
    <t>Freeburg District #70</t>
  </si>
  <si>
    <t>St Libory Cons SD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</si>
</sst>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u val="singleAccounting"/>
      <sz val="10"/>
      <name val="Calibri"/>
      <family val="2"/>
      <scheme val="minor"/>
    </font>
    <font>
      <u val="doub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6" fillId="0" borderId="0" xfId="0" applyFont="1" applyAlignment="1">
      <alignment horizontal="center"/>
    </xf>
    <xf numFmtId="0" fontId="56" fillId="0" borderId="78" xfId="0" applyFont="1" applyBorder="1" applyAlignment="1">
      <alignment horizontal="center"/>
    </xf>
    <xf numFmtId="181" fontId="56" fillId="0" borderId="0" xfId="19" applyNumberFormat="1" applyFont="1"/>
    <xf numFmtId="182" fontId="138" fillId="0" borderId="0" xfId="1" applyNumberFormat="1" applyFont="1"/>
    <xf numFmtId="181" fontId="139" fillId="0" borderId="0" xfId="0" applyNumberFormat="1" applyFont="1"/>
    <xf numFmtId="0" fontId="56" fillId="0" borderId="0" xfId="0" quotePrefix="1" applyFont="1" applyAlignment="1">
      <alignment horizont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1057275</xdr:colOff>
          <xdr:row>5</xdr:row>
          <xdr:rowOff>142875</xdr:rowOff>
        </xdr:from>
        <xdr:to>
          <xdr:col>1</xdr:col>
          <xdr:colOff>1971675</xdr:colOff>
          <xdr:row>10</xdr:row>
          <xdr:rowOff>19050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0" t="s">
        <v>405</v>
      </c>
      <c r="J1" s="2021"/>
      <c r="K1" s="2021"/>
      <c r="L1" s="2021"/>
      <c r="M1" s="2021"/>
      <c r="N1" s="2021"/>
      <c r="O1" s="2021"/>
      <c r="P1" s="2021"/>
      <c r="Q1" s="2021"/>
      <c r="R1" s="2021"/>
      <c r="S1" s="2021"/>
    </row>
    <row r="2" spans="1:28" ht="12" customHeight="1" x14ac:dyDescent="0.2">
      <c r="A2" s="47" t="s">
        <v>1993</v>
      </c>
      <c r="D2" s="48"/>
      <c r="I2" s="2022" t="s">
        <v>979</v>
      </c>
      <c r="J2" s="2021"/>
      <c r="K2" s="2021"/>
      <c r="L2" s="2021"/>
      <c r="M2" s="2021"/>
      <c r="N2" s="2021"/>
      <c r="O2" s="2021"/>
      <c r="P2" s="2021"/>
      <c r="Q2" s="2021"/>
      <c r="R2" s="2021"/>
      <c r="S2" s="2021"/>
    </row>
    <row r="3" spans="1:28" ht="12" customHeight="1" x14ac:dyDescent="0.2">
      <c r="A3" s="155" t="s">
        <v>1945</v>
      </c>
      <c r="B3" s="156"/>
      <c r="C3" s="156"/>
      <c r="D3" s="157"/>
      <c r="I3" s="2022" t="s">
        <v>52</v>
      </c>
      <c r="J3" s="2021"/>
      <c r="K3" s="2021"/>
      <c r="L3" s="2021"/>
      <c r="M3" s="2021"/>
      <c r="N3" s="2021"/>
      <c r="O3" s="2021"/>
      <c r="P3" s="2021"/>
      <c r="Q3" s="2021"/>
      <c r="R3" s="2021"/>
      <c r="S3" s="2021"/>
    </row>
    <row r="4" spans="1:28" ht="12" customHeight="1" x14ac:dyDescent="0.2">
      <c r="A4" s="37"/>
      <c r="I4" s="2022" t="s">
        <v>524</v>
      </c>
      <c r="J4" s="2021"/>
      <c r="K4" s="2021"/>
      <c r="L4" s="2021"/>
      <c r="M4" s="2021"/>
      <c r="N4" s="2021"/>
      <c r="O4" s="2021"/>
      <c r="P4" s="2021"/>
      <c r="Q4" s="2021"/>
      <c r="R4" s="2021"/>
      <c r="S4" s="2021"/>
    </row>
    <row r="5" spans="1:28" ht="14.1" customHeight="1" x14ac:dyDescent="0.2">
      <c r="B5" s="104" t="s">
        <v>2065</v>
      </c>
      <c r="C5" s="26" t="s">
        <v>910</v>
      </c>
      <c r="D5" s="84"/>
      <c r="E5" s="84"/>
      <c r="H5" s="38"/>
      <c r="I5" s="2029" t="s">
        <v>680</v>
      </c>
      <c r="J5" s="1974"/>
      <c r="K5" s="1974"/>
      <c r="L5" s="1974"/>
      <c r="M5" s="1974"/>
      <c r="N5" s="1974"/>
      <c r="O5" s="1974"/>
      <c r="P5" s="1974"/>
      <c r="Q5" s="1974"/>
      <c r="R5" s="1974"/>
      <c r="S5" s="1974"/>
    </row>
    <row r="6" spans="1:28" ht="14.1" customHeight="1" x14ac:dyDescent="0.2">
      <c r="B6" s="104"/>
      <c r="C6" s="26" t="s">
        <v>911</v>
      </c>
      <c r="D6" s="84"/>
      <c r="E6" s="84"/>
      <c r="I6" s="2028" t="s">
        <v>883</v>
      </c>
      <c r="J6" s="1974"/>
      <c r="K6" s="1974"/>
      <c r="L6" s="1974"/>
      <c r="M6" s="1974"/>
      <c r="N6" s="1974"/>
      <c r="O6" s="1974"/>
      <c r="P6" s="1974"/>
      <c r="Q6" s="1974"/>
      <c r="R6" s="1974"/>
      <c r="S6" s="1974"/>
    </row>
    <row r="7" spans="1:28" ht="12.2" customHeight="1" x14ac:dyDescent="0.2">
      <c r="I7" s="2023">
        <v>43646</v>
      </c>
      <c r="J7" s="2024"/>
      <c r="K7" s="2024"/>
      <c r="L7" s="2024"/>
      <c r="M7" s="2024"/>
      <c r="N7" s="2024"/>
      <c r="O7" s="2024"/>
      <c r="P7" s="2024"/>
      <c r="Q7" s="2024"/>
      <c r="R7" s="2024"/>
      <c r="S7" s="20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5" t="s">
        <v>674</v>
      </c>
      <c r="J9" s="2026"/>
      <c r="K9" s="2026"/>
      <c r="L9" s="2026"/>
      <c r="M9" s="2026"/>
      <c r="N9" s="2026"/>
      <c r="O9" s="2026"/>
      <c r="P9" s="2026"/>
      <c r="Q9" s="2026"/>
      <c r="R9" s="2026"/>
      <c r="S9" s="2027"/>
      <c r="T9" s="1970" t="s">
        <v>533</v>
      </c>
      <c r="U9" s="1971"/>
      <c r="V9" s="1971"/>
      <c r="W9" s="1971"/>
      <c r="X9" s="1971"/>
      <c r="Y9" s="1971"/>
      <c r="Z9" s="1971"/>
      <c r="AA9" s="1972"/>
    </row>
    <row r="10" spans="1:28" ht="13.5" customHeight="1" x14ac:dyDescent="0.2">
      <c r="A10" s="1979" t="s">
        <v>675</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955</v>
      </c>
      <c r="B11" s="1983"/>
      <c r="C11" s="1983"/>
      <c r="D11" s="1983"/>
      <c r="E11" s="1983"/>
      <c r="F11" s="1983"/>
      <c r="G11" s="1983"/>
      <c r="H11" s="1984"/>
      <c r="I11" s="27"/>
      <c r="J11" s="74"/>
      <c r="K11" s="27"/>
      <c r="O11" s="148" t="s">
        <v>2065</v>
      </c>
      <c r="P11" s="100" t="s">
        <v>201</v>
      </c>
      <c r="Q11" s="30"/>
      <c r="R11" s="28"/>
      <c r="S11" s="27"/>
      <c r="T11" s="1976"/>
      <c r="U11" s="1977"/>
      <c r="V11" s="1977"/>
      <c r="W11" s="1977"/>
      <c r="X11" s="1977"/>
      <c r="Y11" s="1977"/>
      <c r="Z11" s="1977"/>
      <c r="AA11" s="197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0">
        <v>50082030003</v>
      </c>
      <c r="B13" s="1991"/>
      <c r="C13" s="1991"/>
      <c r="D13" s="1991"/>
      <c r="E13" s="1991"/>
      <c r="F13" s="1991"/>
      <c r="G13" s="1991"/>
      <c r="H13" s="1992"/>
      <c r="I13" s="31"/>
      <c r="J13" s="30"/>
      <c r="K13" s="28"/>
      <c r="L13" s="30"/>
      <c r="M13" s="30"/>
      <c r="N13" s="30"/>
      <c r="O13" s="30"/>
      <c r="P13" s="30"/>
      <c r="Q13" s="30"/>
      <c r="R13" s="30"/>
      <c r="S13" s="30"/>
      <c r="T13" s="1995" t="s">
        <v>2066</v>
      </c>
      <c r="U13" s="1996"/>
      <c r="V13" s="1996"/>
      <c r="W13" s="1996"/>
      <c r="X13" s="1996"/>
      <c r="Y13" s="1997"/>
      <c r="Z13" s="1997"/>
      <c r="AA13" s="199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8" t="s">
        <v>2064</v>
      </c>
      <c r="B15" s="1993"/>
      <c r="C15" s="1993"/>
      <c r="D15" s="1993"/>
      <c r="E15" s="1993"/>
      <c r="F15" s="1993"/>
      <c r="G15" s="1993"/>
      <c r="H15" s="1994"/>
      <c r="T15" s="1956" t="s">
        <v>2102</v>
      </c>
      <c r="U15" s="1957"/>
      <c r="V15" s="1957"/>
      <c r="W15" s="1957"/>
      <c r="X15" s="1957"/>
      <c r="Y15" s="1999"/>
      <c r="Z15" s="1999"/>
      <c r="AA15" s="200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8" t="s">
        <v>2112</v>
      </c>
      <c r="B17" s="2018"/>
      <c r="C17" s="2018"/>
      <c r="D17" s="2018"/>
      <c r="E17" s="2018"/>
      <c r="F17" s="2018"/>
      <c r="G17" s="2018"/>
      <c r="H17" s="2019"/>
      <c r="T17" s="2005" t="s">
        <v>2067</v>
      </c>
      <c r="U17" s="2006"/>
      <c r="V17" s="2006"/>
      <c r="W17" s="2006"/>
      <c r="X17" s="2006"/>
      <c r="Y17" s="2006"/>
      <c r="Z17" s="2006"/>
      <c r="AA17" s="2007"/>
    </row>
    <row r="18" spans="1:27" ht="13.5" customHeight="1" x14ac:dyDescent="0.2">
      <c r="A18" s="85" t="s">
        <v>530</v>
      </c>
      <c r="B18" s="76"/>
      <c r="C18" s="72"/>
      <c r="D18" s="76"/>
      <c r="E18" s="76"/>
      <c r="F18" s="76"/>
      <c r="G18" s="76"/>
      <c r="H18" s="56"/>
      <c r="I18" s="2015" t="s">
        <v>676</v>
      </c>
      <c r="J18" s="2016"/>
      <c r="K18" s="2016"/>
      <c r="L18" s="2016"/>
      <c r="M18" s="2016"/>
      <c r="N18" s="2016"/>
      <c r="O18" s="2016"/>
      <c r="P18" s="2016"/>
      <c r="Q18" s="2016"/>
      <c r="R18" s="2016"/>
      <c r="S18" s="2017"/>
      <c r="T18" s="85" t="s">
        <v>711</v>
      </c>
      <c r="U18" s="51"/>
      <c r="V18" s="72"/>
      <c r="W18" s="50"/>
      <c r="X18" s="85" t="s">
        <v>266</v>
      </c>
      <c r="Y18" s="81"/>
      <c r="Z18" s="159" t="s">
        <v>677</v>
      </c>
      <c r="AA18" s="46"/>
    </row>
    <row r="19" spans="1:27" ht="13.5" customHeight="1" x14ac:dyDescent="0.2">
      <c r="A19" s="1988" t="s">
        <v>2068</v>
      </c>
      <c r="B19" s="1989"/>
      <c r="C19" s="1989"/>
      <c r="D19" s="1989"/>
      <c r="E19" s="1989"/>
      <c r="F19" s="1989"/>
      <c r="G19" s="1989"/>
      <c r="H19" s="1987"/>
      <c r="I19" s="30"/>
      <c r="J19" s="99"/>
      <c r="K19" s="40"/>
      <c r="L19" s="38"/>
      <c r="M19" s="112" t="s">
        <v>315</v>
      </c>
      <c r="P19" s="27"/>
      <c r="Q19" s="27"/>
      <c r="R19" s="27"/>
      <c r="S19" s="31"/>
      <c r="T19" s="1988" t="s">
        <v>2069</v>
      </c>
      <c r="U19" s="1986"/>
      <c r="V19" s="1986"/>
      <c r="W19" s="1987"/>
      <c r="X19" s="2003" t="s">
        <v>2070</v>
      </c>
      <c r="Y19" s="2004"/>
      <c r="Z19" s="2001">
        <v>62220</v>
      </c>
      <c r="AA19" s="200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5" t="s">
        <v>2071</v>
      </c>
      <c r="B21" s="1986"/>
      <c r="C21" s="1986"/>
      <c r="D21" s="1986"/>
      <c r="E21" s="1986"/>
      <c r="F21" s="1986"/>
      <c r="G21" s="1986"/>
      <c r="H21" s="1987"/>
      <c r="I21" s="2011" t="s">
        <v>678</v>
      </c>
      <c r="J21" s="1974"/>
      <c r="K21" s="1974"/>
      <c r="L21" s="1974"/>
      <c r="M21" s="1974"/>
      <c r="N21" s="1974"/>
      <c r="O21" s="1974"/>
      <c r="P21" s="1974"/>
      <c r="Q21" s="1974"/>
      <c r="R21" s="1974"/>
      <c r="S21" s="1975"/>
      <c r="T21" s="1953" t="s">
        <v>2072</v>
      </c>
      <c r="U21" s="1954"/>
      <c r="V21" s="1954"/>
      <c r="W21" s="1954"/>
      <c r="X21" s="1967" t="s">
        <v>2073</v>
      </c>
      <c r="Y21" s="1968"/>
      <c r="Z21" s="1968"/>
      <c r="AA21" s="1969"/>
    </row>
    <row r="22" spans="1:27" ht="13.5" customHeight="1" x14ac:dyDescent="0.2">
      <c r="A22" s="87" t="s">
        <v>531</v>
      </c>
      <c r="B22" s="59"/>
      <c r="C22" s="59"/>
      <c r="D22" s="59"/>
      <c r="E22" s="59"/>
      <c r="F22" s="59"/>
      <c r="G22" s="59"/>
      <c r="H22" s="60"/>
      <c r="I22" s="2012" t="s">
        <v>1429</v>
      </c>
      <c r="J22" s="2013"/>
      <c r="K22" s="2013"/>
      <c r="L22" s="2013"/>
      <c r="M22" s="2013"/>
      <c r="N22" s="2013"/>
      <c r="O22" s="2013"/>
      <c r="P22" s="2013"/>
      <c r="Q22" s="2013"/>
      <c r="R22" s="2013"/>
      <c r="S22" s="2014"/>
      <c r="T22" s="85" t="s">
        <v>1516</v>
      </c>
      <c r="U22" s="51"/>
      <c r="V22" s="72"/>
      <c r="W22" s="51"/>
      <c r="X22" s="160" t="s">
        <v>1318</v>
      </c>
      <c r="Z22" s="45"/>
      <c r="AA22" s="46"/>
    </row>
    <row r="23" spans="1:27" ht="13.5" customHeight="1" x14ac:dyDescent="0.2">
      <c r="A23" s="2008"/>
      <c r="B23" s="2009"/>
      <c r="C23" s="2009"/>
      <c r="D23" s="2009"/>
      <c r="E23" s="2009"/>
      <c r="F23" s="2009"/>
      <c r="G23" s="2009"/>
      <c r="H23" s="2010"/>
      <c r="T23" s="1948" t="s">
        <v>2074</v>
      </c>
      <c r="U23" s="1949"/>
      <c r="V23" s="1949"/>
      <c r="W23" s="1949"/>
      <c r="X23" s="1964">
        <v>44469</v>
      </c>
      <c r="Y23" s="1965"/>
      <c r="Z23" s="1965"/>
      <c r="AA23" s="1966"/>
    </row>
    <row r="24" spans="1:27" ht="14.1" customHeight="1" x14ac:dyDescent="0.2">
      <c r="A24" s="88" t="s">
        <v>677</v>
      </c>
      <c r="B24" s="49"/>
      <c r="C24" s="49"/>
      <c r="D24" s="49"/>
      <c r="E24" s="49"/>
      <c r="F24" s="49"/>
      <c r="G24" s="49"/>
      <c r="H24" s="61"/>
      <c r="J24" s="2050">
        <f>IF(B5="x",IF(AUDITCHECK!D29="AFR form Incomplete.","",IF(AUDITCHECK!D29="Deficit reduction plan is required.","School District must complete a deficit reduction plan in the 2019-2020 Budget",)),"")</f>
        <v>0</v>
      </c>
      <c r="K24" s="2050"/>
      <c r="L24" s="2050"/>
      <c r="M24" s="2050"/>
      <c r="N24" s="2050"/>
      <c r="O24" s="2050"/>
      <c r="P24" s="2050"/>
      <c r="Q24" s="2050"/>
      <c r="R24" s="2050"/>
      <c r="S24" s="2051"/>
      <c r="T24" s="105" t="s">
        <v>531</v>
      </c>
      <c r="U24" s="106"/>
      <c r="V24" s="106"/>
      <c r="W24" s="106"/>
      <c r="X24" s="107"/>
      <c r="Y24" s="107"/>
      <c r="Z24" s="107"/>
      <c r="AA24" s="108"/>
    </row>
    <row r="25" spans="1:27" ht="14.1" customHeight="1" x14ac:dyDescent="0.2">
      <c r="A25" s="1985">
        <v>62282</v>
      </c>
      <c r="B25" s="1986"/>
      <c r="C25" s="1986"/>
      <c r="D25" s="1986"/>
      <c r="E25" s="1986"/>
      <c r="F25" s="1986"/>
      <c r="G25" s="1986"/>
      <c r="H25" s="1987"/>
      <c r="I25" s="113"/>
      <c r="J25" s="2052"/>
      <c r="K25" s="2052"/>
      <c r="L25" s="2052"/>
      <c r="M25" s="2052"/>
      <c r="N25" s="2052"/>
      <c r="O25" s="2052"/>
      <c r="P25" s="2052"/>
      <c r="Q25" s="2052"/>
      <c r="R25" s="2052"/>
      <c r="S25" s="2053"/>
      <c r="T25" s="1945" t="s">
        <v>2075</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3" t="s">
        <v>1511</v>
      </c>
      <c r="J27" s="2016"/>
      <c r="K27" s="2016"/>
      <c r="L27" s="2016"/>
      <c r="M27" s="2016"/>
      <c r="N27" s="2016"/>
      <c r="O27" s="2016"/>
      <c r="P27" s="2016"/>
      <c r="Q27" s="2016"/>
      <c r="R27" s="2016"/>
      <c r="S27" s="201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8" t="s">
        <v>2103</v>
      </c>
      <c r="B38" s="2018"/>
      <c r="C38" s="2018"/>
      <c r="D38" s="2018"/>
      <c r="E38" s="2018"/>
      <c r="F38" s="1986"/>
      <c r="G38" s="1986"/>
      <c r="H38" s="1987"/>
      <c r="I38" s="2037"/>
      <c r="J38" s="1957"/>
      <c r="K38" s="1957"/>
      <c r="L38" s="1957"/>
      <c r="M38" s="1957"/>
      <c r="N38" s="1957"/>
      <c r="O38" s="1957"/>
      <c r="P38" s="1958"/>
      <c r="Q38" s="1958"/>
      <c r="R38" s="1958"/>
      <c r="S38" s="1959"/>
      <c r="T38" s="1956" t="s">
        <v>2107</v>
      </c>
      <c r="U38" s="1957"/>
      <c r="V38" s="1957"/>
      <c r="W38" s="1957"/>
      <c r="X38" s="1958"/>
      <c r="Y38" s="1958"/>
      <c r="Z38" s="1958"/>
      <c r="AA38" s="1959"/>
    </row>
    <row r="39" spans="1:27" ht="12" customHeight="1" x14ac:dyDescent="0.2">
      <c r="A39" s="2041" t="s">
        <v>531</v>
      </c>
      <c r="B39" s="2042"/>
      <c r="C39" s="72"/>
      <c r="D39" s="69"/>
      <c r="E39" s="69"/>
      <c r="F39" s="79"/>
      <c r="G39" s="69"/>
      <c r="H39" s="56"/>
      <c r="I39" s="2041" t="s">
        <v>531</v>
      </c>
      <c r="J39" s="2042"/>
      <c r="K39" s="2042"/>
      <c r="L39" s="2042"/>
      <c r="M39" s="2042"/>
      <c r="N39" s="67"/>
      <c r="O39" s="72"/>
      <c r="P39" s="72"/>
      <c r="Q39" s="78"/>
      <c r="R39" s="72"/>
      <c r="S39" s="56"/>
      <c r="T39" s="72" t="s">
        <v>531</v>
      </c>
      <c r="U39" s="51"/>
      <c r="V39" s="72"/>
      <c r="W39" s="50"/>
      <c r="X39" s="78"/>
      <c r="Y39" s="45"/>
      <c r="Z39" s="45"/>
      <c r="AA39" s="46"/>
    </row>
    <row r="40" spans="1:27" ht="13.5" customHeight="1" x14ac:dyDescent="0.2">
      <c r="A40" s="2044" t="s">
        <v>2104</v>
      </c>
      <c r="B40" s="2045"/>
      <c r="C40" s="2046"/>
      <c r="D40" s="2046"/>
      <c r="E40" s="2046"/>
      <c r="F40" s="2047"/>
      <c r="G40" s="2047"/>
      <c r="H40" s="2048"/>
      <c r="I40" s="1960"/>
      <c r="J40" s="1962"/>
      <c r="K40" s="1962"/>
      <c r="L40" s="1962"/>
      <c r="M40" s="1962"/>
      <c r="N40" s="1962"/>
      <c r="O40" s="1962"/>
      <c r="P40" s="1962"/>
      <c r="Q40" s="1962"/>
      <c r="R40" s="1962"/>
      <c r="S40" s="1963"/>
      <c r="T40" s="1960" t="s">
        <v>2108</v>
      </c>
      <c r="U40" s="1961"/>
      <c r="V40" s="1962"/>
      <c r="W40" s="1962"/>
      <c r="X40" s="1962"/>
      <c r="Y40" s="1962"/>
      <c r="Z40" s="1962"/>
      <c r="AA40" s="196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4" t="s">
        <v>2105</v>
      </c>
      <c r="B42" s="2035"/>
      <c r="C42" s="2036"/>
      <c r="D42" s="2049" t="s">
        <v>2106</v>
      </c>
      <c r="E42" s="2035"/>
      <c r="F42" s="2035"/>
      <c r="G42" s="2035"/>
      <c r="H42" s="2036"/>
      <c r="I42" s="1955"/>
      <c r="J42" s="1951"/>
      <c r="K42" s="1951"/>
      <c r="L42" s="1951"/>
      <c r="M42" s="1951"/>
      <c r="N42" s="1951"/>
      <c r="O42" s="1952"/>
      <c r="P42" s="1950"/>
      <c r="Q42" s="1951"/>
      <c r="R42" s="1951"/>
      <c r="S42" s="1952"/>
      <c r="T42" s="1955" t="s">
        <v>2109</v>
      </c>
      <c r="U42" s="1951"/>
      <c r="V42" s="1951"/>
      <c r="W42" s="1952"/>
      <c r="X42" s="1950" t="s">
        <v>2110</v>
      </c>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25"/>
  <pageSetup scale="75" orientation="landscape" r:id="rId3"/>
  <headerFooter scaleWithDoc="0">
    <oddFooter>&amp;LSee notes to financial statements.&amp;C4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4" sqref="E1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7" t="s">
        <v>1802</v>
      </c>
      <c r="B2" s="1527" t="s">
        <v>1951</v>
      </c>
      <c r="C2" s="714" t="s">
        <v>1952</v>
      </c>
      <c r="D2" s="714" t="s">
        <v>1953</v>
      </c>
      <c r="E2" s="714" t="s">
        <v>1954</v>
      </c>
      <c r="F2" s="714" t="s">
        <v>1955</v>
      </c>
    </row>
    <row r="3" spans="1:6" ht="12" customHeight="1" x14ac:dyDescent="0.2">
      <c r="A3" s="2188"/>
      <c r="B3" s="1524"/>
      <c r="C3" s="1525"/>
      <c r="D3" s="1526" t="s">
        <v>256</v>
      </c>
      <c r="E3" s="1525"/>
      <c r="F3" s="1526" t="s">
        <v>257</v>
      </c>
    </row>
    <row r="4" spans="1:6" ht="13.7" customHeight="1" x14ac:dyDescent="0.2">
      <c r="A4" s="715" t="s">
        <v>1155</v>
      </c>
      <c r="B4" s="1748">
        <f>'Revenues 9-14'!C5</f>
        <v>308934</v>
      </c>
      <c r="C4" s="1523">
        <v>81401</v>
      </c>
      <c r="D4" s="1751">
        <f>B4-C4</f>
        <v>227533</v>
      </c>
      <c r="E4" s="1523">
        <v>317502</v>
      </c>
      <c r="F4" s="1751">
        <f>E4-C4</f>
        <v>236101</v>
      </c>
    </row>
    <row r="5" spans="1:6" ht="13.7" customHeight="1" x14ac:dyDescent="0.2">
      <c r="A5" s="715" t="s">
        <v>870</v>
      </c>
      <c r="B5" s="1749">
        <f>'Revenues 9-14'!D5</f>
        <v>47737</v>
      </c>
      <c r="C5" s="585">
        <v>12610</v>
      </c>
      <c r="D5" s="1752">
        <f t="shared" ref="D5:D18" si="0">B5-C5</f>
        <v>35127</v>
      </c>
      <c r="E5" s="585">
        <v>49183</v>
      </c>
      <c r="F5" s="1752">
        <f>E5-C5</f>
        <v>36573</v>
      </c>
    </row>
    <row r="6" spans="1:6" ht="13.7" customHeight="1" x14ac:dyDescent="0.2">
      <c r="A6" s="715" t="s">
        <v>411</v>
      </c>
      <c r="B6" s="1749">
        <f>'Revenues 9-14'!E5</f>
        <v>0</v>
      </c>
      <c r="C6" s="585">
        <v>0</v>
      </c>
      <c r="D6" s="1752">
        <f t="shared" si="0"/>
        <v>0</v>
      </c>
      <c r="E6" s="585">
        <v>0</v>
      </c>
      <c r="F6" s="1752">
        <f t="shared" ref="F6:F18" si="1">E6-C6</f>
        <v>0</v>
      </c>
    </row>
    <row r="7" spans="1:6" ht="13.7" customHeight="1" x14ac:dyDescent="0.2">
      <c r="A7" s="715" t="s">
        <v>155</v>
      </c>
      <c r="B7" s="1749">
        <f>'Revenues 9-14'!F5</f>
        <v>15276</v>
      </c>
      <c r="C7" s="585">
        <v>4035</v>
      </c>
      <c r="D7" s="1752">
        <f t="shared" si="0"/>
        <v>11241</v>
      </c>
      <c r="E7" s="585">
        <v>15739</v>
      </c>
      <c r="F7" s="1752">
        <f t="shared" si="1"/>
        <v>11704</v>
      </c>
    </row>
    <row r="8" spans="1:6" ht="13.7" customHeight="1" x14ac:dyDescent="0.2">
      <c r="A8" s="715" t="s">
        <v>1179</v>
      </c>
      <c r="B8" s="1749">
        <f>'Revenues 9-14'!G5</f>
        <v>7985</v>
      </c>
      <c r="C8" s="585">
        <v>3591</v>
      </c>
      <c r="D8" s="1752">
        <f t="shared" si="0"/>
        <v>4394</v>
      </c>
      <c r="E8" s="585">
        <v>14007</v>
      </c>
      <c r="F8" s="1752">
        <f t="shared" si="1"/>
        <v>10416</v>
      </c>
    </row>
    <row r="9" spans="1:6" ht="13.7" customHeight="1" x14ac:dyDescent="0.2">
      <c r="A9" s="715" t="s">
        <v>408</v>
      </c>
      <c r="B9" s="1749">
        <f>'Revenues 9-14'!H5</f>
        <v>0</v>
      </c>
      <c r="C9" s="585">
        <v>0</v>
      </c>
      <c r="D9" s="1752">
        <f t="shared" si="0"/>
        <v>0</v>
      </c>
      <c r="E9" s="585">
        <v>0</v>
      </c>
      <c r="F9" s="1752">
        <f t="shared" si="1"/>
        <v>0</v>
      </c>
    </row>
    <row r="10" spans="1:6" ht="13.7" customHeight="1" x14ac:dyDescent="0.2">
      <c r="A10" s="715" t="s">
        <v>407</v>
      </c>
      <c r="B10" s="1749">
        <f>'Revenues 9-14'!I5</f>
        <v>6351</v>
      </c>
      <c r="C10" s="585">
        <v>1668</v>
      </c>
      <c r="D10" s="1752">
        <f t="shared" si="0"/>
        <v>4683</v>
      </c>
      <c r="E10" s="585">
        <v>6505</v>
      </c>
      <c r="F10" s="1752">
        <f t="shared" si="1"/>
        <v>4837</v>
      </c>
    </row>
    <row r="11" spans="1:6" x14ac:dyDescent="0.2">
      <c r="A11" s="715" t="s">
        <v>409</v>
      </c>
      <c r="B11" s="1749">
        <f>'Revenues 9-14'!J5</f>
        <v>61520</v>
      </c>
      <c r="C11" s="585">
        <v>16154</v>
      </c>
      <c r="D11" s="1752">
        <f t="shared" si="0"/>
        <v>45366</v>
      </c>
      <c r="E11" s="585">
        <v>63007</v>
      </c>
      <c r="F11" s="1752">
        <f t="shared" si="1"/>
        <v>46853</v>
      </c>
    </row>
    <row r="12" spans="1:6" ht="13.7" customHeight="1" x14ac:dyDescent="0.2">
      <c r="A12" s="715" t="s">
        <v>157</v>
      </c>
      <c r="B12" s="1749">
        <f>'Revenues 9-14'!K5</f>
        <v>6061</v>
      </c>
      <c r="C12" s="585">
        <v>1668</v>
      </c>
      <c r="D12" s="1752">
        <f t="shared" si="0"/>
        <v>4393</v>
      </c>
      <c r="E12" s="585">
        <v>6505</v>
      </c>
      <c r="F12" s="1752">
        <f t="shared" si="1"/>
        <v>4837</v>
      </c>
    </row>
    <row r="13" spans="1:6" ht="13.7" customHeight="1" x14ac:dyDescent="0.2">
      <c r="A13" s="715" t="s">
        <v>936</v>
      </c>
      <c r="B13" s="1749">
        <f>SUM('Revenues 9-14'!C6:D6)</f>
        <v>2658</v>
      </c>
      <c r="C13" s="585">
        <v>1412</v>
      </c>
      <c r="D13" s="1752">
        <f t="shared" si="0"/>
        <v>1246</v>
      </c>
      <c r="E13" s="585">
        <v>5509</v>
      </c>
      <c r="F13" s="1752">
        <f t="shared" si="1"/>
        <v>4097</v>
      </c>
    </row>
    <row r="14" spans="1:6" ht="13.7" customHeight="1" x14ac:dyDescent="0.2">
      <c r="A14" s="715" t="s">
        <v>410</v>
      </c>
      <c r="B14" s="1749">
        <f>SUM('Revenues 9-14'!C7:D7,'Revenues 9-14'!F7:H7)</f>
        <v>2543</v>
      </c>
      <c r="C14" s="585">
        <v>669</v>
      </c>
      <c r="D14" s="1752">
        <f t="shared" si="0"/>
        <v>1874</v>
      </c>
      <c r="E14" s="585">
        <v>2610</v>
      </c>
      <c r="F14" s="1752">
        <f t="shared" si="1"/>
        <v>1941</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0</v>
      </c>
      <c r="C16" s="585"/>
      <c r="D16" s="1752">
        <f t="shared" si="0"/>
        <v>0</v>
      </c>
      <c r="E16" s="585"/>
      <c r="F16" s="1752">
        <f t="shared" si="1"/>
        <v>0</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459065</v>
      </c>
      <c r="C19" s="1750">
        <f>SUM(C4:C18)</f>
        <v>123208</v>
      </c>
      <c r="D19" s="1750">
        <f>SUM(D4:D18)</f>
        <v>335857</v>
      </c>
      <c r="E19" s="1750">
        <f>SUM(E4:E18)</f>
        <v>480567</v>
      </c>
      <c r="F19" s="1750">
        <f>SUM(F4:F18)</f>
        <v>357359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25"/>
  <pageSetup firstPageNumber="23" orientation="landscape" useFirstPageNumber="1" r:id="rId1"/>
  <headerFooter scaleWithDoc="0">
    <oddFooter>&amp;LSee notes to financial statements.&amp;C28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G32" sqref="G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3" t="s">
        <v>629</v>
      </c>
      <c r="B1" s="2194"/>
      <c r="C1" s="721"/>
    </row>
    <row r="2" spans="1:7" ht="33.75" x14ac:dyDescent="0.2">
      <c r="A2" s="2202" t="s">
        <v>1802</v>
      </c>
      <c r="B2" s="2203"/>
      <c r="C2" s="1883" t="s">
        <v>1956</v>
      </c>
      <c r="D2" s="723" t="s">
        <v>1957</v>
      </c>
      <c r="E2" s="723" t="s">
        <v>1958</v>
      </c>
      <c r="F2" s="1883" t="s">
        <v>1959</v>
      </c>
    </row>
    <row r="3" spans="1:7" ht="15.75" customHeight="1" x14ac:dyDescent="0.2">
      <c r="A3" s="2206" t="s">
        <v>1114</v>
      </c>
      <c r="B3" s="2207"/>
      <c r="C3" s="2195"/>
      <c r="D3" s="2196"/>
      <c r="E3" s="2196"/>
      <c r="F3" s="2197"/>
    </row>
    <row r="4" spans="1:7" ht="12.75" customHeight="1" thickBot="1" x14ac:dyDescent="0.25">
      <c r="A4" s="2204" t="s">
        <v>630</v>
      </c>
      <c r="B4" s="2205"/>
      <c r="C4" s="581"/>
      <c r="D4" s="581"/>
      <c r="E4" s="581"/>
      <c r="F4" s="1754">
        <f>SUM(C4+D4)-E4</f>
        <v>0</v>
      </c>
    </row>
    <row r="5" spans="1:7" ht="15.75" customHeight="1" thickTop="1" x14ac:dyDescent="0.2">
      <c r="A5" s="2189" t="s">
        <v>1110</v>
      </c>
      <c r="B5" s="2190"/>
      <c r="C5" s="2198"/>
      <c r="D5" s="2199"/>
      <c r="E5" s="2199"/>
      <c r="F5" s="2200"/>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1" t="s">
        <v>631</v>
      </c>
      <c r="B15" s="2192"/>
      <c r="C15" s="1754">
        <f>SUM(C6:C14)</f>
        <v>0</v>
      </c>
      <c r="D15" s="1754">
        <f>SUM(D6:D14)</f>
        <v>0</v>
      </c>
      <c r="E15" s="1754">
        <f>SUM(E6:E14)</f>
        <v>0</v>
      </c>
      <c r="F15" s="1754">
        <f>SUM(F6:F14)</f>
        <v>0</v>
      </c>
      <c r="G15" s="552"/>
    </row>
    <row r="16" spans="1:7" s="202" customFormat="1" ht="15.75" customHeight="1" thickTop="1" x14ac:dyDescent="0.2">
      <c r="A16" s="2201" t="s">
        <v>1111</v>
      </c>
      <c r="B16" s="2190"/>
      <c r="C16" s="2198"/>
      <c r="D16" s="2199"/>
      <c r="E16" s="2199"/>
      <c r="F16" s="2200"/>
    </row>
    <row r="17" spans="1:11" ht="12.75" customHeight="1" thickBot="1" x14ac:dyDescent="0.25">
      <c r="A17" s="2214" t="s">
        <v>64</v>
      </c>
      <c r="B17" s="2215"/>
      <c r="C17" s="726"/>
      <c r="D17" s="585"/>
      <c r="E17" s="726"/>
      <c r="F17" s="1754">
        <f>SUM(C17+D17)-E17</f>
        <v>0</v>
      </c>
    </row>
    <row r="18" spans="1:11" ht="12.75" customHeight="1" thickTop="1" thickBot="1" x14ac:dyDescent="0.25">
      <c r="A18" s="2214" t="s">
        <v>6</v>
      </c>
      <c r="B18" s="2215"/>
      <c r="C18" s="726"/>
      <c r="D18" s="585"/>
      <c r="E18" s="726"/>
      <c r="F18" s="1754">
        <f>SUM(C18+D18)-E18</f>
        <v>0</v>
      </c>
    </row>
    <row r="19" spans="1:11" ht="12.75" customHeight="1" thickTop="1" thickBot="1" x14ac:dyDescent="0.25">
      <c r="A19" s="2214" t="s">
        <v>388</v>
      </c>
      <c r="B19" s="2215"/>
      <c r="C19" s="726"/>
      <c r="D19" s="585"/>
      <c r="E19" s="726"/>
      <c r="F19" s="1754">
        <f>SUM(C19+D19)-E19</f>
        <v>0</v>
      </c>
    </row>
    <row r="20" spans="1:11" ht="12.75" customHeight="1" thickTop="1" thickBot="1" x14ac:dyDescent="0.25">
      <c r="A20" s="2214" t="s">
        <v>448</v>
      </c>
      <c r="B20" s="2215"/>
      <c r="C20" s="726"/>
      <c r="D20" s="585"/>
      <c r="E20" s="726"/>
      <c r="F20" s="1754">
        <f>SUM(C20+D20)-E20</f>
        <v>0</v>
      </c>
    </row>
    <row r="21" spans="1:11" ht="14.25" thickTop="1" thickBot="1" x14ac:dyDescent="0.25">
      <c r="A21" s="2191" t="s">
        <v>632</v>
      </c>
      <c r="B21" s="2192"/>
      <c r="C21" s="1754">
        <f>SUM(C17:C20)</f>
        <v>0</v>
      </c>
      <c r="D21" s="1754">
        <f>SUM(D17:D20)</f>
        <v>0</v>
      </c>
      <c r="E21" s="1754">
        <f>SUM(E17:E20)</f>
        <v>0</v>
      </c>
      <c r="F21" s="1754">
        <f>SUM(F17:F20)</f>
        <v>0</v>
      </c>
      <c r="G21" s="552"/>
    </row>
    <row r="22" spans="1:11" ht="15.75" customHeight="1" thickTop="1" x14ac:dyDescent="0.2">
      <c r="A22" s="2216" t="s">
        <v>1112</v>
      </c>
      <c r="B22" s="2190"/>
      <c r="C22" s="2198"/>
      <c r="D22" s="2199"/>
      <c r="E22" s="2199"/>
      <c r="F22" s="2200"/>
    </row>
    <row r="23" spans="1:11" ht="13.5" thickBot="1" x14ac:dyDescent="0.25">
      <c r="A23" s="2204" t="s">
        <v>633</v>
      </c>
      <c r="B23" s="2205"/>
      <c r="C23" s="581"/>
      <c r="D23" s="581"/>
      <c r="E23" s="581"/>
      <c r="F23" s="1754">
        <f>SUM(C23+D23)-E23</f>
        <v>0</v>
      </c>
      <c r="G23" s="552"/>
    </row>
    <row r="24" spans="1:11" ht="15.75" customHeight="1" thickTop="1" x14ac:dyDescent="0.2">
      <c r="A24" s="2216" t="s">
        <v>1113</v>
      </c>
      <c r="B24" s="2190"/>
      <c r="C24" s="2198"/>
      <c r="D24" s="2199"/>
      <c r="E24" s="2199"/>
      <c r="F24" s="2200"/>
    </row>
    <row r="25" spans="1:11" ht="13.5" thickBot="1" x14ac:dyDescent="0.25">
      <c r="A25" s="2204" t="s">
        <v>634</v>
      </c>
      <c r="B25" s="2205"/>
      <c r="C25" s="581"/>
      <c r="D25" s="581"/>
      <c r="E25" s="581"/>
      <c r="F25" s="1754">
        <f>SUM(C25+D25)-E25</f>
        <v>0</v>
      </c>
      <c r="G25" s="552"/>
    </row>
    <row r="26" spans="1:11" ht="15.75" customHeight="1" thickTop="1" x14ac:dyDescent="0.2">
      <c r="A26" s="2189" t="s">
        <v>657</v>
      </c>
      <c r="B26" s="2190"/>
      <c r="C26" s="727"/>
      <c r="D26" s="727"/>
      <c r="E26" s="727"/>
      <c r="F26" s="728"/>
    </row>
    <row r="27" spans="1:11" ht="13.5" thickBot="1" x14ac:dyDescent="0.25">
      <c r="A27" s="2191" t="s">
        <v>1070</v>
      </c>
      <c r="B27" s="2192"/>
      <c r="C27" s="585"/>
      <c r="D27" s="585"/>
      <c r="E27" s="585"/>
      <c r="F27" s="1754">
        <f>SUM(C27+D27)-E27</f>
        <v>0</v>
      </c>
      <c r="G27" s="552"/>
    </row>
    <row r="28" spans="1:11" ht="7.5" customHeight="1" thickTop="1" x14ac:dyDescent="0.2">
      <c r="A28" s="593"/>
    </row>
    <row r="29" spans="1:11" ht="23.25" customHeight="1" x14ac:dyDescent="0.2">
      <c r="A29" s="2217" t="s">
        <v>582</v>
      </c>
      <c r="B29" s="2194"/>
      <c r="C29" s="729"/>
      <c r="D29" s="729"/>
      <c r="E29" s="729"/>
      <c r="F29" s="729"/>
      <c r="G29" s="729"/>
      <c r="H29" s="729"/>
      <c r="I29" s="729"/>
      <c r="J29" s="729"/>
    </row>
    <row r="30" spans="1:11" ht="33.75" x14ac:dyDescent="0.2">
      <c r="A30" s="1528" t="s">
        <v>1071</v>
      </c>
      <c r="B30" s="730" t="s">
        <v>1124</v>
      </c>
      <c r="C30" s="1884" t="s">
        <v>583</v>
      </c>
      <c r="D30" s="1884" t="s">
        <v>1673</v>
      </c>
      <c r="E30" s="1884" t="s">
        <v>1960</v>
      </c>
      <c r="F30" s="1884" t="s">
        <v>1961</v>
      </c>
      <c r="G30" s="1884" t="s">
        <v>1911</v>
      </c>
      <c r="H30" s="1884" t="s">
        <v>1962</v>
      </c>
      <c r="I30" s="1884" t="s">
        <v>1963</v>
      </c>
      <c r="J30" s="1885" t="s">
        <v>2</v>
      </c>
      <c r="K30" s="731"/>
    </row>
    <row r="31" spans="1:11" ht="12" customHeight="1" x14ac:dyDescent="0.2">
      <c r="A31" s="732" t="s">
        <v>2079</v>
      </c>
      <c r="B31" s="733">
        <v>42886</v>
      </c>
      <c r="C31" s="734">
        <v>21587</v>
      </c>
      <c r="D31" s="735">
        <v>7</v>
      </c>
      <c r="E31" s="734">
        <v>13972</v>
      </c>
      <c r="F31" s="734"/>
      <c r="G31" s="734">
        <v>-13972</v>
      </c>
      <c r="H31" s="734"/>
      <c r="I31" s="1755">
        <f>((E31+F31)-H31)+G31</f>
        <v>0</v>
      </c>
      <c r="J31" s="734"/>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21587</v>
      </c>
      <c r="D49" s="745"/>
      <c r="E49" s="1755">
        <f t="shared" ref="E49:J49" si="2">SUM(E31:E48)</f>
        <v>13972</v>
      </c>
      <c r="F49" s="1755">
        <f t="shared" si="2"/>
        <v>0</v>
      </c>
      <c r="G49" s="1755">
        <f t="shared" si="2"/>
        <v>-13972</v>
      </c>
      <c r="H49" s="1755">
        <f t="shared" si="2"/>
        <v>0</v>
      </c>
      <c r="I49" s="1755">
        <f t="shared" si="2"/>
        <v>0</v>
      </c>
      <c r="J49" s="1755">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8" t="s">
        <v>584</v>
      </c>
      <c r="C52" s="2209"/>
      <c r="D52" s="2209"/>
      <c r="E52" s="749" t="s">
        <v>845</v>
      </c>
      <c r="F52" s="2210" t="s">
        <v>2080</v>
      </c>
      <c r="G52" s="2211"/>
      <c r="H52" s="736"/>
      <c r="I52" s="736"/>
      <c r="J52" s="746"/>
    </row>
    <row r="53" spans="1:11" ht="11.25" customHeight="1" x14ac:dyDescent="0.2">
      <c r="A53" s="750" t="s">
        <v>913</v>
      </c>
      <c r="B53" s="751" t="s">
        <v>951</v>
      </c>
      <c r="C53" s="746"/>
      <c r="D53" s="737"/>
      <c r="E53" s="749" t="s">
        <v>497</v>
      </c>
      <c r="F53" s="2212"/>
      <c r="G53" s="2213"/>
      <c r="H53" s="736"/>
      <c r="I53" s="736"/>
      <c r="J53" s="746"/>
    </row>
    <row r="54" spans="1:11" ht="11.25" customHeight="1" x14ac:dyDescent="0.2">
      <c r="A54" s="752" t="s">
        <v>914</v>
      </c>
      <c r="B54" s="747" t="s">
        <v>952</v>
      </c>
      <c r="C54" s="746"/>
      <c r="D54" s="737"/>
      <c r="E54" s="749" t="s">
        <v>498</v>
      </c>
      <c r="F54" s="2212"/>
      <c r="G54" s="221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25"/>
  <pageSetup scale="73" firstPageNumber="24" fitToHeight="0" orientation="landscape" useFirstPageNumber="1" r:id="rId1"/>
  <headerFooter scaleWithDoc="0">
    <oddFooter>&amp;LSee notes to financial statements.&amp;C29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E28" sqref="E2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856</v>
      </c>
      <c r="B1" s="2243"/>
      <c r="C1" s="2243"/>
      <c r="D1" s="2243"/>
      <c r="E1" s="2243"/>
      <c r="F1" s="2243"/>
      <c r="G1" s="2244"/>
      <c r="H1" s="1529"/>
      <c r="I1" s="760"/>
      <c r="J1" s="433"/>
    </row>
    <row r="2" spans="1:11" ht="26.25" x14ac:dyDescent="0.2">
      <c r="A2" s="2221" t="s">
        <v>1677</v>
      </c>
      <c r="B2" s="2222"/>
      <c r="C2" s="2222"/>
      <c r="D2" s="2222"/>
      <c r="E2" s="2223"/>
      <c r="F2" s="761" t="s">
        <v>904</v>
      </c>
      <c r="G2" s="762" t="s">
        <v>1674</v>
      </c>
      <c r="H2" s="762" t="s">
        <v>410</v>
      </c>
      <c r="I2" s="762" t="s">
        <v>1158</v>
      </c>
      <c r="J2" s="762" t="s">
        <v>1812</v>
      </c>
      <c r="K2" s="762" t="s">
        <v>138</v>
      </c>
    </row>
    <row r="3" spans="1:11" x14ac:dyDescent="0.2">
      <c r="A3" s="2224" t="s">
        <v>1964</v>
      </c>
      <c r="B3" s="2225"/>
      <c r="C3" s="2225"/>
      <c r="D3" s="2225"/>
      <c r="E3" s="2226"/>
      <c r="F3" s="763"/>
      <c r="G3" s="764"/>
      <c r="H3" s="764"/>
      <c r="I3" s="764"/>
      <c r="J3" s="765"/>
      <c r="K3" s="765"/>
    </row>
    <row r="4" spans="1:11" x14ac:dyDescent="0.2">
      <c r="A4" s="2227" t="s">
        <v>369</v>
      </c>
      <c r="B4" s="2228"/>
      <c r="C4" s="2228"/>
      <c r="D4" s="2228"/>
      <c r="E4" s="2209"/>
      <c r="F4" s="766"/>
      <c r="G4" s="767"/>
      <c r="H4" s="768"/>
      <c r="I4" s="767"/>
      <c r="J4" s="769"/>
      <c r="K4" s="769"/>
    </row>
    <row r="5" spans="1:11" x14ac:dyDescent="0.2">
      <c r="A5" s="2245" t="s">
        <v>1069</v>
      </c>
      <c r="B5" s="2218"/>
      <c r="C5" s="2218"/>
      <c r="D5" s="2218"/>
      <c r="E5" s="2246"/>
      <c r="F5" s="770" t="s">
        <v>848</v>
      </c>
      <c r="G5" s="771"/>
      <c r="H5" s="764">
        <v>2543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5" t="s">
        <v>1813</v>
      </c>
      <c r="B10" s="2218"/>
      <c r="C10" s="2218"/>
      <c r="D10" s="2218"/>
      <c r="E10" s="2247"/>
      <c r="F10" s="783" t="s">
        <v>862</v>
      </c>
      <c r="G10" s="782"/>
      <c r="H10" s="784">
        <v>1</v>
      </c>
      <c r="I10" s="764"/>
      <c r="J10" s="765"/>
      <c r="K10" s="765"/>
    </row>
    <row r="11" spans="1:11" x14ac:dyDescent="0.2">
      <c r="A11" s="2245" t="s">
        <v>160</v>
      </c>
      <c r="B11" s="2218"/>
      <c r="C11" s="2218"/>
      <c r="D11" s="2218"/>
      <c r="E11" s="2246"/>
      <c r="F11" s="770" t="s">
        <v>852</v>
      </c>
      <c r="G11" s="771"/>
      <c r="H11" s="764"/>
      <c r="I11" s="764"/>
      <c r="J11" s="765"/>
      <c r="K11" s="773"/>
    </row>
    <row r="12" spans="1:11" ht="13.5" thickBot="1" x14ac:dyDescent="0.25">
      <c r="A12" s="2235" t="s">
        <v>905</v>
      </c>
      <c r="B12" s="2236"/>
      <c r="C12" s="2236"/>
      <c r="D12" s="2236"/>
      <c r="E12" s="2237"/>
      <c r="F12" s="1756"/>
      <c r="G12" s="1757">
        <f>SUM(G5:G11)</f>
        <v>0</v>
      </c>
      <c r="H12" s="1757">
        <f>SUM(H5:H11)</f>
        <v>2544</v>
      </c>
      <c r="I12" s="1757">
        <f>SUM(I5:I11)</f>
        <v>0</v>
      </c>
      <c r="J12" s="1757">
        <f>SUM(J5:J11)</f>
        <v>0</v>
      </c>
      <c r="K12" s="1757">
        <f>SUM(K5:K11)</f>
        <v>0</v>
      </c>
    </row>
    <row r="13" spans="1:11" ht="13.5" thickTop="1" x14ac:dyDescent="0.2">
      <c r="A13" s="2229" t="s">
        <v>370</v>
      </c>
      <c r="B13" s="2230"/>
      <c r="C13" s="2230"/>
      <c r="D13" s="2230"/>
      <c r="E13" s="2231"/>
      <c r="F13" s="785"/>
      <c r="G13" s="786"/>
      <c r="H13" s="787"/>
      <c r="I13" s="788"/>
      <c r="J13" s="788"/>
      <c r="K13" s="788"/>
    </row>
    <row r="14" spans="1:11" x14ac:dyDescent="0.2">
      <c r="A14" s="2251" t="s">
        <v>456</v>
      </c>
      <c r="B14" s="2251"/>
      <c r="C14" s="2251"/>
      <c r="D14" s="2251"/>
      <c r="E14" s="2252"/>
      <c r="F14" s="789" t="s">
        <v>854</v>
      </c>
      <c r="G14" s="782"/>
      <c r="H14" s="764">
        <v>2544</v>
      </c>
      <c r="I14" s="771"/>
      <c r="J14" s="773"/>
      <c r="K14" s="765"/>
    </row>
    <row r="15" spans="1:11" x14ac:dyDescent="0.2">
      <c r="A15" s="2218" t="s">
        <v>4</v>
      </c>
      <c r="B15" s="2218"/>
      <c r="C15" s="2218"/>
      <c r="D15" s="2218"/>
      <c r="E15" s="2246"/>
      <c r="F15" s="789" t="s">
        <v>855</v>
      </c>
      <c r="G15" s="771"/>
      <c r="H15" s="764"/>
      <c r="I15" s="764"/>
      <c r="J15" s="765"/>
      <c r="K15" s="765"/>
    </row>
    <row r="16" spans="1:11" x14ac:dyDescent="0.2">
      <c r="A16" s="2218" t="s">
        <v>298</v>
      </c>
      <c r="B16" s="2218"/>
      <c r="C16" s="2218"/>
      <c r="D16" s="2218"/>
      <c r="E16" s="2246"/>
      <c r="F16" s="789" t="s">
        <v>923</v>
      </c>
      <c r="G16" s="772"/>
      <c r="H16" s="767"/>
      <c r="I16" s="767"/>
      <c r="J16" s="769"/>
      <c r="K16" s="769"/>
    </row>
    <row r="17" spans="1:11" x14ac:dyDescent="0.2">
      <c r="A17" s="2240" t="s">
        <v>935</v>
      </c>
      <c r="B17" s="2240"/>
      <c r="C17" s="2240"/>
      <c r="D17" s="2240"/>
      <c r="E17" s="2241"/>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53" t="s">
        <v>1809</v>
      </c>
      <c r="B19" s="2253"/>
      <c r="C19" s="2253"/>
      <c r="D19" s="2253"/>
      <c r="E19" s="2254"/>
      <c r="F19" s="789" t="s">
        <v>933</v>
      </c>
      <c r="G19" s="782"/>
      <c r="H19" s="782"/>
      <c r="I19" s="782"/>
      <c r="J19" s="765"/>
      <c r="K19" s="795"/>
    </row>
    <row r="20" spans="1:11" x14ac:dyDescent="0.2">
      <c r="A20" s="2232" t="s">
        <v>1814</v>
      </c>
      <c r="B20" s="2233"/>
      <c r="C20" s="2233"/>
      <c r="D20" s="2233"/>
      <c r="E20" s="2234"/>
      <c r="F20" s="789" t="s">
        <v>934</v>
      </c>
      <c r="G20" s="782"/>
      <c r="H20" s="782"/>
      <c r="I20" s="782"/>
      <c r="J20" s="765"/>
      <c r="K20" s="795"/>
    </row>
    <row r="21" spans="1:11" ht="13.5" thickBot="1" x14ac:dyDescent="0.25">
      <c r="A21" s="2238" t="s">
        <v>638</v>
      </c>
      <c r="B21" s="2238"/>
      <c r="C21" s="2238"/>
      <c r="D21" s="2238"/>
      <c r="E21" s="2238"/>
      <c r="F21" s="1758"/>
      <c r="G21" s="792"/>
      <c r="H21" s="796"/>
      <c r="I21" s="796"/>
      <c r="J21" s="1759">
        <f>SUM(J18:J20)</f>
        <v>0</v>
      </c>
      <c r="K21" s="793"/>
    </row>
    <row r="22" spans="1:11" ht="13.5" thickTop="1" x14ac:dyDescent="0.2">
      <c r="A22" s="2218" t="s">
        <v>1815</v>
      </c>
      <c r="B22" s="2218"/>
      <c r="C22" s="2218"/>
      <c r="D22" s="2218"/>
      <c r="E22" s="2246"/>
      <c r="F22" s="789" t="s">
        <v>862</v>
      </c>
      <c r="G22" s="782"/>
      <c r="H22" s="764"/>
      <c r="I22" s="764"/>
      <c r="J22" s="797"/>
      <c r="K22" s="765"/>
    </row>
    <row r="23" spans="1:11" ht="13.5" thickBot="1" x14ac:dyDescent="0.25">
      <c r="A23" s="2239" t="s">
        <v>906</v>
      </c>
      <c r="B23" s="2238"/>
      <c r="C23" s="2238"/>
      <c r="D23" s="2238"/>
      <c r="E23" s="2238"/>
      <c r="F23" s="1760"/>
      <c r="G23" s="1757">
        <f>SUM(G14:G16,G21,G22)</f>
        <v>0</v>
      </c>
      <c r="H23" s="1757">
        <f>SUM(H14:H16,H21,H22)</f>
        <v>2544</v>
      </c>
      <c r="I23" s="1757">
        <f>SUM(I14:I16,I21,I22)</f>
        <v>0</v>
      </c>
      <c r="J23" s="1757">
        <f>SUM(J14:J16,J21,J22)</f>
        <v>0</v>
      </c>
      <c r="K23" s="1757">
        <f>SUM(K14:K16,K21,K22)</f>
        <v>0</v>
      </c>
    </row>
    <row r="24" spans="1:11" ht="14.25" thickTop="1" thickBot="1" x14ac:dyDescent="0.25">
      <c r="A24" s="2239" t="s">
        <v>1965</v>
      </c>
      <c r="B24" s="2238"/>
      <c r="C24" s="2238"/>
      <c r="D24" s="2238"/>
      <c r="E24" s="2238"/>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1910</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t="s">
        <v>2065</v>
      </c>
      <c r="E30" s="808" t="s">
        <v>768</v>
      </c>
      <c r="F30" s="202"/>
      <c r="G30" s="805"/>
    </row>
    <row r="31" spans="1:11" x14ac:dyDescent="0.2">
      <c r="A31" s="809"/>
      <c r="D31" s="237"/>
      <c r="E31" s="810" t="s">
        <v>769</v>
      </c>
      <c r="F31" s="811" t="s">
        <v>539</v>
      </c>
      <c r="G31" s="764"/>
      <c r="H31" s="2248"/>
      <c r="I31" s="2249"/>
      <c r="J31" s="2249"/>
      <c r="K31" s="2249"/>
    </row>
    <row r="32" spans="1:11" x14ac:dyDescent="0.2">
      <c r="A32" s="809"/>
      <c r="B32" s="237"/>
      <c r="C32" s="237"/>
      <c r="D32" s="237"/>
      <c r="E32" s="805"/>
      <c r="F32" s="811" t="s">
        <v>540</v>
      </c>
      <c r="G32" s="764"/>
      <c r="H32" s="2250"/>
      <c r="I32" s="2249"/>
      <c r="J32" s="2249"/>
      <c r="K32" s="2249"/>
    </row>
    <row r="33" spans="1:11" ht="1.5" customHeight="1" x14ac:dyDescent="0.2">
      <c r="A33" s="812" t="s">
        <v>1169</v>
      </c>
      <c r="B33" s="364"/>
      <c r="C33" s="364"/>
      <c r="D33" s="364"/>
      <c r="E33" s="364"/>
      <c r="F33" s="364"/>
      <c r="G33" s="813"/>
      <c r="H33" s="2250"/>
      <c r="I33" s="2249"/>
      <c r="J33" s="2249"/>
      <c r="K33" s="224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19"/>
      <c r="C41" s="2219"/>
      <c r="D41" s="2219"/>
      <c r="E41" s="2219"/>
      <c r="F41" s="222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5"/>
  <pageSetup scale="80" firstPageNumber="25"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statements.&amp;C30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1909</v>
      </c>
      <c r="B1" s="2258"/>
      <c r="C1" s="2259"/>
      <c r="D1" s="826"/>
      <c r="E1" s="827"/>
      <c r="F1" s="827"/>
      <c r="G1" s="828"/>
      <c r="H1" s="829"/>
      <c r="I1" s="830"/>
      <c r="J1" s="2255"/>
      <c r="K1" s="2256"/>
      <c r="L1" s="2256"/>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1793</v>
      </c>
      <c r="D5" s="841"/>
      <c r="E5" s="841"/>
      <c r="F5" s="1759">
        <f>(C5+D5)-E5</f>
        <v>1793</v>
      </c>
      <c r="G5" s="837"/>
      <c r="H5" s="842"/>
      <c r="I5" s="842"/>
      <c r="J5" s="842"/>
      <c r="K5" s="793"/>
      <c r="L5" s="1768">
        <f>F5-K5</f>
        <v>1793</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1086618</v>
      </c>
      <c r="D8" s="844">
        <v>54364</v>
      </c>
      <c r="E8" s="844"/>
      <c r="F8" s="1759">
        <f>(C8+D8)-E8</f>
        <v>1140982</v>
      </c>
      <c r="G8" s="843">
        <v>50</v>
      </c>
      <c r="H8" s="765">
        <v>708216</v>
      </c>
      <c r="I8" s="765">
        <v>33360</v>
      </c>
      <c r="J8" s="765"/>
      <c r="K8" s="1768">
        <f>(H8+I8)-J8</f>
        <v>741576</v>
      </c>
      <c r="L8" s="1768">
        <f>F8-K8</f>
        <v>399406</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17540</v>
      </c>
      <c r="D10" s="846">
        <v>7400</v>
      </c>
      <c r="E10" s="846"/>
      <c r="F10" s="1763">
        <f>(C10+D10)-E10</f>
        <v>24940</v>
      </c>
      <c r="G10" s="843">
        <v>20</v>
      </c>
      <c r="H10" s="847">
        <v>17540</v>
      </c>
      <c r="I10" s="847">
        <v>185</v>
      </c>
      <c r="J10" s="847"/>
      <c r="K10" s="1768">
        <f>(H10+I10)-J10</f>
        <v>17725</v>
      </c>
      <c r="L10" s="1768">
        <f>F10-K10</f>
        <v>7215</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225471</v>
      </c>
      <c r="D12" s="844">
        <v>1025</v>
      </c>
      <c r="E12" s="844"/>
      <c r="F12" s="1759">
        <f>(C12+D12)-E12</f>
        <v>226496</v>
      </c>
      <c r="G12" s="843">
        <v>10</v>
      </c>
      <c r="H12" s="765">
        <v>214184</v>
      </c>
      <c r="I12" s="765">
        <v>1489</v>
      </c>
      <c r="J12" s="765"/>
      <c r="K12" s="1768">
        <f>(H12+I12)-J12</f>
        <v>215673</v>
      </c>
      <c r="L12" s="1768">
        <f>F12-K12</f>
        <v>10823</v>
      </c>
    </row>
    <row r="13" spans="1:14" ht="14.25" thickTop="1" thickBot="1" x14ac:dyDescent="0.25">
      <c r="A13" s="848" t="s">
        <v>1122</v>
      </c>
      <c r="B13" s="840">
        <v>252</v>
      </c>
      <c r="C13" s="844">
        <v>21587</v>
      </c>
      <c r="D13" s="844"/>
      <c r="E13" s="844"/>
      <c r="F13" s="1759">
        <f>(C13+D13)-E13</f>
        <v>21587</v>
      </c>
      <c r="G13" s="843">
        <v>5</v>
      </c>
      <c r="H13" s="765">
        <v>4317</v>
      </c>
      <c r="I13" s="765">
        <v>4318</v>
      </c>
      <c r="J13" s="765"/>
      <c r="K13" s="1768">
        <f>(H13+I13)-J13</f>
        <v>8635</v>
      </c>
      <c r="L13" s="1768">
        <f>F13-K13</f>
        <v>12952</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v>3000</v>
      </c>
      <c r="D15" s="844">
        <v>51364</v>
      </c>
      <c r="E15" s="844">
        <v>54364</v>
      </c>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1356009</v>
      </c>
      <c r="D16" s="1759">
        <f>SUM(D3,D5:D6,D8:D10,D12:D15)</f>
        <v>114153</v>
      </c>
      <c r="E16" s="1759">
        <f>SUM(E3,E5:E6,E8:E10,E12:E15)</f>
        <v>54364</v>
      </c>
      <c r="F16" s="1759">
        <f>SUM(F3,F5:F6,F8:F10,F12:F15)</f>
        <v>1415798</v>
      </c>
      <c r="G16" s="843"/>
      <c r="H16" s="1759">
        <f>SUM(H3,H6,H8:H10,H12:H14,)</f>
        <v>944257</v>
      </c>
      <c r="I16" s="1759">
        <f>SUM(I3,I6,I8:I10,I12:I14,)</f>
        <v>39352</v>
      </c>
      <c r="J16" s="1759">
        <f>SUM(J3,J6,J8:J10,J12:J14,)</f>
        <v>0</v>
      </c>
      <c r="K16" s="1759">
        <f>(H16+I16)-J16</f>
        <v>983609</v>
      </c>
      <c r="L16" s="1759">
        <f>F16-K16</f>
        <v>432189</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39352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25"/>
  <pageSetup scale="80" firstPageNumber="26" orientation="landscape" useFirstPageNumber="1" r:id="rId1"/>
  <headerFooter scaleWithDoc="0">
    <oddHeader xml:space="preserve">&amp;C </oddHeader>
    <oddFooter>&amp;LSee notes to financial statements.&amp;C31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 sqref="A4:F4"/>
      <selection pane="bottomLeft" activeCell="J75" sqref="J7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1975</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601216</v>
      </c>
      <c r="G8" s="865"/>
    </row>
    <row r="9" spans="1:7" x14ac:dyDescent="0.2">
      <c r="A9" s="869" t="s">
        <v>460</v>
      </c>
      <c r="B9" s="870" t="s">
        <v>1877</v>
      </c>
      <c r="C9" s="871"/>
      <c r="D9" s="869" t="s">
        <v>501</v>
      </c>
      <c r="E9" s="868"/>
      <c r="F9" s="1908">
        <f>'Expenditures 15-22'!K151</f>
        <v>50279</v>
      </c>
      <c r="G9" s="872"/>
    </row>
    <row r="10" spans="1:7" x14ac:dyDescent="0.2">
      <c r="A10" s="869" t="s">
        <v>499</v>
      </c>
      <c r="B10" s="870" t="s">
        <v>1878</v>
      </c>
      <c r="C10" s="871"/>
      <c r="D10" s="869" t="s">
        <v>501</v>
      </c>
      <c r="E10" s="868"/>
      <c r="F10" s="1908">
        <f>'Expenditures 15-22'!K174</f>
        <v>0</v>
      </c>
      <c r="G10" s="872"/>
    </row>
    <row r="11" spans="1:7" x14ac:dyDescent="0.2">
      <c r="A11" s="869" t="s">
        <v>461</v>
      </c>
      <c r="B11" s="870" t="s">
        <v>1879</v>
      </c>
      <c r="C11" s="871"/>
      <c r="D11" s="869" t="s">
        <v>501</v>
      </c>
      <c r="E11" s="868"/>
      <c r="F11" s="1908">
        <f>'Expenditures 15-22'!K210</f>
        <v>77009</v>
      </c>
      <c r="G11" s="872"/>
    </row>
    <row r="12" spans="1:7" x14ac:dyDescent="0.2">
      <c r="A12" s="869" t="s">
        <v>462</v>
      </c>
      <c r="B12" s="870" t="s">
        <v>1880</v>
      </c>
      <c r="C12" s="871"/>
      <c r="D12" s="869" t="s">
        <v>501</v>
      </c>
      <c r="E12" s="868"/>
      <c r="F12" s="1908">
        <f>'Expenditures 15-22'!K295</f>
        <v>14067</v>
      </c>
      <c r="G12" s="872"/>
    </row>
    <row r="13" spans="1:7" x14ac:dyDescent="0.2">
      <c r="A13" s="869" t="s">
        <v>106</v>
      </c>
      <c r="B13" s="870" t="s">
        <v>1881</v>
      </c>
      <c r="C13" s="871"/>
      <c r="D13" s="869" t="s">
        <v>501</v>
      </c>
      <c r="E13" s="868"/>
      <c r="F13" s="1908">
        <f>'Expenditures 15-22'!K342</f>
        <v>47622</v>
      </c>
      <c r="G13" s="873"/>
    </row>
    <row r="14" spans="1:7" ht="12" customHeight="1" thickBot="1" x14ac:dyDescent="0.25">
      <c r="A14" s="1769"/>
      <c r="B14" s="1770"/>
      <c r="C14" s="1771"/>
      <c r="D14" s="1772" t="s">
        <v>501</v>
      </c>
      <c r="E14" s="1773" t="s">
        <v>958</v>
      </c>
      <c r="F14" s="1774">
        <f>SUM(F8:F13)</f>
        <v>790193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3">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2002</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2">
        <f>'Expenditures 15-22'!K102</f>
        <v>119588</v>
      </c>
      <c r="G53" s="865"/>
    </row>
    <row r="54" spans="1:7" x14ac:dyDescent="0.2">
      <c r="A54" s="869" t="s">
        <v>459</v>
      </c>
      <c r="B54" s="869" t="s">
        <v>1476</v>
      </c>
      <c r="C54" s="889" t="s">
        <v>982</v>
      </c>
      <c r="D54" s="885" t="s">
        <v>1095</v>
      </c>
      <c r="E54" s="868"/>
      <c r="F54" s="1912">
        <f>'Expenditures 15-22'!G114</f>
        <v>1025</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2">
        <f>'Expenditures 15-22'!K139</f>
        <v>0</v>
      </c>
      <c r="G57" s="865"/>
    </row>
    <row r="58" spans="1:7" x14ac:dyDescent="0.2">
      <c r="A58" s="869" t="s">
        <v>460</v>
      </c>
      <c r="B58" s="869" t="s">
        <v>1883</v>
      </c>
      <c r="C58" s="886" t="s">
        <v>982</v>
      </c>
      <c r="D58" s="885" t="s">
        <v>1095</v>
      </c>
      <c r="E58" s="868"/>
      <c r="F58" s="1914">
        <f>'Expenditures 15-22'!G151</f>
        <v>7400</v>
      </c>
      <c r="G58" s="865"/>
    </row>
    <row r="59" spans="1:7" x14ac:dyDescent="0.2">
      <c r="A59" s="893" t="s">
        <v>460</v>
      </c>
      <c r="B59" s="856" t="s">
        <v>1884</v>
      </c>
      <c r="C59" s="894" t="s">
        <v>982</v>
      </c>
      <c r="D59" s="856" t="s">
        <v>291</v>
      </c>
      <c r="F59" s="1915">
        <f>'Expenditures 15-22'!I151</f>
        <v>0</v>
      </c>
      <c r="G59" s="865"/>
    </row>
    <row r="60" spans="1:7" x14ac:dyDescent="0.2">
      <c r="A60" s="893" t="s">
        <v>499</v>
      </c>
      <c r="B60" s="856" t="s">
        <v>1885</v>
      </c>
      <c r="C60" s="894">
        <v>4000</v>
      </c>
      <c r="D60" s="856" t="s">
        <v>312</v>
      </c>
      <c r="F60" s="1913">
        <f>'Expenditures 15-22'!K160</f>
        <v>0</v>
      </c>
      <c r="G60" s="865"/>
    </row>
    <row r="61" spans="1:7" x14ac:dyDescent="0.2">
      <c r="A61" s="895" t="s">
        <v>499</v>
      </c>
      <c r="B61" s="895" t="s">
        <v>1886</v>
      </c>
      <c r="C61" s="896" t="str">
        <f>'Expenditures 15-22'!B170</f>
        <v>5300</v>
      </c>
      <c r="D61" s="897" t="s">
        <v>311</v>
      </c>
      <c r="E61" s="879"/>
      <c r="F61" s="1912">
        <f>'Expenditures 15-22'!K170</f>
        <v>0</v>
      </c>
      <c r="G61" s="865"/>
    </row>
    <row r="62" spans="1:7" x14ac:dyDescent="0.2">
      <c r="A62" s="869" t="s">
        <v>461</v>
      </c>
      <c r="B62" s="869" t="s">
        <v>1887</v>
      </c>
      <c r="C62" s="886">
        <f>'Expenditures 15-22'!B185</f>
        <v>3000</v>
      </c>
      <c r="D62" s="876" t="s">
        <v>449</v>
      </c>
      <c r="E62" s="868"/>
      <c r="F62" s="1912">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1889</v>
      </c>
      <c r="C64" s="896" t="str">
        <f>'Expenditures 15-22'!B206</f>
        <v>5300</v>
      </c>
      <c r="D64" s="892" t="s">
        <v>311</v>
      </c>
      <c r="E64" s="868"/>
      <c r="F64" s="1912">
        <f>'Expenditures 15-22'!K206</f>
        <v>13972</v>
      </c>
      <c r="G64" s="865"/>
    </row>
    <row r="65" spans="1:8" x14ac:dyDescent="0.2">
      <c r="A65" s="869" t="s">
        <v>461</v>
      </c>
      <c r="B65" s="869" t="s">
        <v>1890</v>
      </c>
      <c r="C65" s="886" t="s">
        <v>982</v>
      </c>
      <c r="D65" s="885" t="s">
        <v>1095</v>
      </c>
      <c r="E65" s="868"/>
      <c r="F65" s="1912">
        <f>'Expenditures 15-22'!G210</f>
        <v>0</v>
      </c>
      <c r="G65" s="865"/>
    </row>
    <row r="66" spans="1:8" x14ac:dyDescent="0.2">
      <c r="A66" s="869" t="s">
        <v>461</v>
      </c>
      <c r="B66" s="869" t="s">
        <v>1891</v>
      </c>
      <c r="C66" s="886" t="s">
        <v>982</v>
      </c>
      <c r="D66" s="885" t="s">
        <v>291</v>
      </c>
      <c r="E66" s="868"/>
      <c r="F66" s="1912">
        <f>'Expenditures 15-22'!I210</f>
        <v>0</v>
      </c>
      <c r="G66" s="865"/>
    </row>
    <row r="67" spans="1:8" x14ac:dyDescent="0.2">
      <c r="A67" s="869" t="s">
        <v>462</v>
      </c>
      <c r="B67" s="869" t="s">
        <v>1892</v>
      </c>
      <c r="C67" s="886" t="str">
        <f>'Expenditures 15-22'!B216</f>
        <v>1125</v>
      </c>
      <c r="D67" s="892" t="str">
        <f>'Expenditures 15-22'!A216</f>
        <v>Pre-K Programs</v>
      </c>
      <c r="E67" s="868"/>
      <c r="F67" s="1912">
        <f>'Expenditures 15-22'!K216</f>
        <v>0</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1894</v>
      </c>
      <c r="C70" s="886">
        <f>'Expenditures 15-22'!B221</f>
        <v>1300</v>
      </c>
      <c r="D70" s="887" t="str">
        <f>'Expenditures 15-22'!A221</f>
        <v>Adult/Continuing Education Programs</v>
      </c>
      <c r="E70" s="868"/>
      <c r="F70" s="1912">
        <f>'Expenditures 15-22'!K221</f>
        <v>0</v>
      </c>
      <c r="G70" s="865"/>
    </row>
    <row r="71" spans="1:8" x14ac:dyDescent="0.2">
      <c r="A71" s="869" t="s">
        <v>462</v>
      </c>
      <c r="B71" s="869" t="s">
        <v>1895</v>
      </c>
      <c r="C71" s="886">
        <f>'Expenditures 15-22'!B224</f>
        <v>1600</v>
      </c>
      <c r="D71" s="887" t="str">
        <f>'Expenditures 15-22'!A224</f>
        <v>Summer School Programs</v>
      </c>
      <c r="E71" s="868"/>
      <c r="F71" s="1912">
        <f>'Expenditures 15-22'!K224</f>
        <v>0</v>
      </c>
      <c r="G71" s="865"/>
    </row>
    <row r="72" spans="1:8" x14ac:dyDescent="0.2">
      <c r="A72" s="869" t="s">
        <v>462</v>
      </c>
      <c r="B72" s="869" t="s">
        <v>1896</v>
      </c>
      <c r="C72" s="886">
        <f>'Expenditures 15-22'!B280</f>
        <v>3000</v>
      </c>
      <c r="D72" s="876" t="s">
        <v>449</v>
      </c>
      <c r="E72" s="868"/>
      <c r="F72" s="1912">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1898</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141985</v>
      </c>
      <c r="G76" s="865"/>
    </row>
    <row r="77" spans="1:8" s="893" customFormat="1" ht="12" customHeight="1" thickTop="1" thickBot="1" x14ac:dyDescent="0.25">
      <c r="A77" s="1778"/>
      <c r="B77" s="1775"/>
      <c r="C77" s="1771"/>
      <c r="D77" s="1776" t="s">
        <v>1900</v>
      </c>
      <c r="E77" s="1773"/>
      <c r="F77" s="1779">
        <f>(F14-F76)</f>
        <v>648208</v>
      </c>
      <c r="G77" s="869"/>
    </row>
    <row r="78" spans="1:8" s="893" customFormat="1" ht="12" customHeight="1" thickTop="1" x14ac:dyDescent="0.2">
      <c r="A78" s="1780"/>
      <c r="B78" s="1775"/>
      <c r="C78" s="1771"/>
      <c r="D78" s="1776" t="s">
        <v>2062</v>
      </c>
      <c r="E78" s="1773"/>
      <c r="F78" s="898">
        <v>61.4</v>
      </c>
      <c r="G78" s="899"/>
      <c r="H78" s="869"/>
    </row>
    <row r="79" spans="1:8" s="893" customFormat="1" ht="12" customHeight="1" thickBot="1" x14ac:dyDescent="0.25">
      <c r="A79" s="1781"/>
      <c r="B79" s="1775"/>
      <c r="C79" s="1771"/>
      <c r="D79" s="1776" t="s">
        <v>1901</v>
      </c>
      <c r="E79" s="1773" t="s">
        <v>958</v>
      </c>
      <c r="F79" s="1782">
        <f>IF(F78&gt;0,F77/F78," Complete Line 78")</f>
        <v>10557.133550488599</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14152</v>
      </c>
      <c r="G94" s="912"/>
    </row>
    <row r="95" spans="1:7" x14ac:dyDescent="0.2">
      <c r="A95" s="908" t="s">
        <v>140</v>
      </c>
      <c r="B95" s="908" t="s">
        <v>175</v>
      </c>
      <c r="C95" s="910">
        <v>1700</v>
      </c>
      <c r="D95" s="918" t="str">
        <f>'Revenues 9-14'!A82</f>
        <v>Total District/School Activity Income</v>
      </c>
      <c r="E95" s="906"/>
      <c r="F95" s="1788">
        <f>SUM('Revenues 9-14'!C82,'Revenues 9-14'!D82)</f>
        <v>6800</v>
      </c>
      <c r="G95" s="912"/>
    </row>
    <row r="96" spans="1:7" x14ac:dyDescent="0.2">
      <c r="A96" s="908" t="s">
        <v>459</v>
      </c>
      <c r="B96" s="908" t="s">
        <v>176</v>
      </c>
      <c r="C96" s="910">
        <f>'Revenues 9-14'!B84</f>
        <v>1811</v>
      </c>
      <c r="D96" s="911" t="str">
        <f>'Revenues 9-14'!A84</f>
        <v>Rentals - Regular Textbooks</v>
      </c>
      <c r="E96" s="906"/>
      <c r="F96" s="1788">
        <f>'Revenues 9-14'!C84</f>
        <v>5310</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155</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2003</v>
      </c>
      <c r="C105" s="913">
        <v>3100</v>
      </c>
      <c r="D105" s="919" t="str">
        <f>'Revenues 9-14'!A132</f>
        <v>Total Special Education</v>
      </c>
      <c r="E105" s="906"/>
      <c r="F105" s="1788">
        <f>SUM('Revenues 9-14'!C132:D132,'Revenues 9-14'!F132)</f>
        <v>0</v>
      </c>
      <c r="G105" s="912"/>
    </row>
    <row r="106" spans="1:7" x14ac:dyDescent="0.2">
      <c r="A106" s="908" t="s">
        <v>673</v>
      </c>
      <c r="B106" s="908" t="s">
        <v>2004</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2005</v>
      </c>
      <c r="C107" s="920">
        <v>3300</v>
      </c>
      <c r="D107" s="911" t="str">
        <f>'Revenues 9-14'!A145</f>
        <v>Total Bilingual Ed</v>
      </c>
      <c r="E107" s="906"/>
      <c r="F107" s="1788">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8">
        <f>'Revenues 9-14'!C146</f>
        <v>78</v>
      </c>
      <c r="G108" s="912"/>
    </row>
    <row r="109" spans="1:7" x14ac:dyDescent="0.2">
      <c r="A109" s="908" t="s">
        <v>673</v>
      </c>
      <c r="B109" s="908" t="s">
        <v>2007</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8">
        <f>SUM('Revenues 9-14'!C148,'Revenues 9-14'!D148)</f>
        <v>0</v>
      </c>
      <c r="G110" s="912"/>
    </row>
    <row r="111" spans="1:7" x14ac:dyDescent="0.2">
      <c r="A111" s="908" t="s">
        <v>668</v>
      </c>
      <c r="B111" s="908" t="s">
        <v>2009</v>
      </c>
      <c r="C111" s="922">
        <v>3500</v>
      </c>
      <c r="D111" s="911" t="str">
        <f>'Revenues 9-14'!A155</f>
        <v>Total Transportation</v>
      </c>
      <c r="E111" s="906"/>
      <c r="F111" s="1788">
        <f>SUM('Revenues 9-14'!C155,'Revenues 9-14'!D155,'Revenues 9-14'!F155,'Revenues 9-14'!G155)</f>
        <v>47263</v>
      </c>
      <c r="G111" s="912"/>
    </row>
    <row r="112" spans="1:7" x14ac:dyDescent="0.2">
      <c r="A112" s="908" t="s">
        <v>459</v>
      </c>
      <c r="B112" s="908" t="s">
        <v>2010</v>
      </c>
      <c r="C112" s="920">
        <f>'Revenues 9-14'!B156</f>
        <v>3610</v>
      </c>
      <c r="D112" s="911" t="str">
        <f>'Revenues 9-14'!A156</f>
        <v>Learning Improvement - Change Grants</v>
      </c>
      <c r="E112" s="906"/>
      <c r="F112" s="1788">
        <f>'Revenues 9-14'!C156</f>
        <v>0</v>
      </c>
      <c r="G112" s="912"/>
    </row>
    <row r="113" spans="1:7" x14ac:dyDescent="0.2">
      <c r="A113" s="908" t="s">
        <v>668</v>
      </c>
      <c r="B113" s="908" t="s">
        <v>2011</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6">
        <f>SUM('Revenues 9-14'!C163:G163)</f>
        <v>0</v>
      </c>
      <c r="G118" s="912"/>
    </row>
    <row r="119" spans="1:7" x14ac:dyDescent="0.2">
      <c r="A119" s="923" t="s">
        <v>504</v>
      </c>
      <c r="B119" s="923" t="s">
        <v>2017</v>
      </c>
      <c r="C119" s="924">
        <f>'Revenues 9-14'!B164</f>
        <v>3815</v>
      </c>
      <c r="D119" s="925" t="str">
        <f>'Revenues 9-14'!A164</f>
        <v>State Charter Schools</v>
      </c>
      <c r="E119" s="906"/>
      <c r="F119" s="1906">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8">
        <f>'Revenues 9-14'!D167</f>
        <v>0</v>
      </c>
      <c r="G120" s="930"/>
    </row>
    <row r="121" spans="1:7" x14ac:dyDescent="0.2">
      <c r="A121" s="927" t="s">
        <v>500</v>
      </c>
      <c r="B121" s="927" t="s">
        <v>2019</v>
      </c>
      <c r="C121" s="928">
        <f>'Revenues 9-14'!B168</f>
        <v>3999</v>
      </c>
      <c r="D121" s="929" t="s">
        <v>543</v>
      </c>
      <c r="E121" s="931"/>
      <c r="F121" s="1788">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8">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8">
        <f>SUM('Revenues 9-14'!C181,'Revenues 9-14'!D181,'Revenues 9-14'!F181,'Revenues 9-14'!G181)</f>
        <v>18276</v>
      </c>
      <c r="G123" s="930"/>
    </row>
    <row r="124" spans="1:7" x14ac:dyDescent="0.2">
      <c r="A124" s="927" t="s">
        <v>668</v>
      </c>
      <c r="B124" s="927" t="s">
        <v>2022</v>
      </c>
      <c r="C124" s="932">
        <v>4100</v>
      </c>
      <c r="D124" s="933" t="str">
        <f>'Revenues 9-14'!A188</f>
        <v>Total Title V</v>
      </c>
      <c r="E124" s="906"/>
      <c r="F124" s="1788">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8">
        <f>SUM('Revenues 9-14'!C198,'Revenues 9-14'!G198)</f>
        <v>6776</v>
      </c>
      <c r="G125" s="930"/>
    </row>
    <row r="126" spans="1:7" x14ac:dyDescent="0.2">
      <c r="A126" s="927" t="s">
        <v>668</v>
      </c>
      <c r="B126" s="927" t="s">
        <v>2024</v>
      </c>
      <c r="C126" s="932">
        <v>4300</v>
      </c>
      <c r="D126" s="933" t="str">
        <f>'Revenues 9-14'!A204</f>
        <v>Total Title I</v>
      </c>
      <c r="E126" s="906"/>
      <c r="F126" s="1788">
        <f>SUM('Revenues 9-14'!C204,'Revenues 9-14'!D204,'Revenues 9-14'!F204,'Revenues 9-14'!G204)</f>
        <v>7808</v>
      </c>
      <c r="G126" s="930"/>
    </row>
    <row r="127" spans="1:7" x14ac:dyDescent="0.2">
      <c r="A127" s="927" t="s">
        <v>668</v>
      </c>
      <c r="B127" s="927" t="s">
        <v>2025</v>
      </c>
      <c r="C127" s="932">
        <v>4400</v>
      </c>
      <c r="D127" s="933" t="str">
        <f>'Revenues 9-14'!A209</f>
        <v>Total Title IV</v>
      </c>
      <c r="E127" s="906"/>
      <c r="F127" s="1788">
        <f>SUM('Revenues 9-14'!C209,'Revenues 9-14'!D209,'Revenues 9-14'!F209,'Revenues 9-14'!G209)</f>
        <v>9858</v>
      </c>
      <c r="G127" s="930"/>
    </row>
    <row r="128" spans="1:7" x14ac:dyDescent="0.2">
      <c r="A128" s="927" t="s">
        <v>668</v>
      </c>
      <c r="B128" s="927" t="s">
        <v>2026</v>
      </c>
      <c r="C128" s="932">
        <f>'Revenues 9-14'!B213</f>
        <v>4620</v>
      </c>
      <c r="D128" s="933" t="str">
        <f>'Revenues 9-14'!A213</f>
        <v>Fed - Spec Education - IDEA - Flow Through</v>
      </c>
      <c r="E128" s="906"/>
      <c r="F128" s="1788">
        <f>SUM('Revenues 9-14'!C213:D213,'Revenues 9-14'!F213:G213)</f>
        <v>20373</v>
      </c>
      <c r="G128" s="930"/>
    </row>
    <row r="129" spans="1:7" x14ac:dyDescent="0.2">
      <c r="A129" s="927" t="s">
        <v>668</v>
      </c>
      <c r="B129" s="927" t="s">
        <v>2027</v>
      </c>
      <c r="C129" s="932">
        <f>'Revenues 9-14'!B214</f>
        <v>4625</v>
      </c>
      <c r="D129" s="933" t="str">
        <f>'Revenues 9-14'!A214</f>
        <v>Fed - Spec Education - IDEA - Room &amp; Board</v>
      </c>
      <c r="E129" s="906"/>
      <c r="F129" s="1788">
        <f>SUM('Revenues 9-14'!C214,'Revenues 9-14'!D214,'Revenues 9-14'!F214,'Revenues 9-14'!G214)</f>
        <v>6109</v>
      </c>
      <c r="G129" s="930"/>
    </row>
    <row r="130" spans="1:7" x14ac:dyDescent="0.2">
      <c r="A130" s="927" t="s">
        <v>668</v>
      </c>
      <c r="B130" s="927" t="s">
        <v>2028</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2029</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8">
        <v>0</v>
      </c>
      <c r="G138" s="905"/>
    </row>
    <row r="139" spans="1:7" s="867" customFormat="1" hidden="1" x14ac:dyDescent="0.2">
      <c r="A139" s="934" t="s">
        <v>206</v>
      </c>
      <c r="B139" s="934" t="s">
        <v>2036</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9-14'!C253)</f>
        <v>0</v>
      </c>
      <c r="G158" s="905"/>
    </row>
    <row r="159" spans="1:7" s="867" customFormat="1" x14ac:dyDescent="0.2">
      <c r="A159" s="938" t="s">
        <v>500</v>
      </c>
      <c r="B159" s="939" t="s">
        <v>2046</v>
      </c>
      <c r="C159" s="940" t="s">
        <v>1466</v>
      </c>
      <c r="D159" s="941" t="s">
        <v>1467</v>
      </c>
      <c r="E159" s="942"/>
      <c r="F159" s="1788">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6">
        <f>SUM('Revenues 9-14'!C259,'Revenues 9-14'!D259,'Revenues 9-14'!F259,'Revenues 9-14'!G259)</f>
        <v>2830</v>
      </c>
      <c r="G164" s="930"/>
    </row>
    <row r="165" spans="1:7" x14ac:dyDescent="0.2">
      <c r="A165" s="927" t="s">
        <v>668</v>
      </c>
      <c r="B165" s="927" t="s">
        <v>2052</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8">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8">
        <f>SUM('Revenues 9-14'!C264:D264,'Revenues 9-14'!F264:G264)</f>
        <v>301</v>
      </c>
      <c r="G169" s="947"/>
    </row>
    <row r="170" spans="1:7" x14ac:dyDescent="0.2">
      <c r="A170" s="948" t="s">
        <v>668</v>
      </c>
      <c r="B170" s="944" t="s">
        <v>2055</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1920</v>
      </c>
      <c r="C171" s="1919">
        <v>3100</v>
      </c>
      <c r="D171" s="1920" t="s">
        <v>1922</v>
      </c>
      <c r="E171" s="906"/>
      <c r="F171" s="1905"/>
      <c r="G171" s="927"/>
    </row>
    <row r="172" spans="1:7" x14ac:dyDescent="0.2">
      <c r="A172" s="1917" t="s">
        <v>664</v>
      </c>
      <c r="B172" s="1918" t="s">
        <v>1920</v>
      </c>
      <c r="C172" s="1919">
        <v>3300</v>
      </c>
      <c r="D172" s="1920" t="s">
        <v>1923</v>
      </c>
      <c r="E172" s="906"/>
      <c r="F172" s="1905"/>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146089</v>
      </c>
    </row>
    <row r="175" spans="1:7" ht="12" customHeight="1" x14ac:dyDescent="0.2">
      <c r="A175" s="1769"/>
      <c r="B175" s="1783"/>
      <c r="C175" s="1784"/>
      <c r="D175" s="1785" t="s">
        <v>2057</v>
      </c>
      <c r="E175" s="1786"/>
      <c r="F175" s="1788">
        <f>'PCTC-OEPP 27-28'!F77-F174</f>
        <v>502119</v>
      </c>
    </row>
    <row r="176" spans="1:7" ht="12" customHeight="1" x14ac:dyDescent="0.2">
      <c r="A176" s="1769"/>
      <c r="B176" s="1783"/>
      <c r="C176" s="1784"/>
      <c r="D176" s="1785" t="s">
        <v>1817</v>
      </c>
      <c r="E176" s="1786"/>
      <c r="F176" s="1788">
        <f>'Cap Outlay Deprec 26'!I18</f>
        <v>39352</v>
      </c>
    </row>
    <row r="177" spans="1:7" ht="12" customHeight="1" x14ac:dyDescent="0.2">
      <c r="A177" s="1769"/>
      <c r="B177" s="1783"/>
      <c r="C177" s="1784"/>
      <c r="D177" s="1785" t="s">
        <v>2058</v>
      </c>
      <c r="E177" s="1786"/>
      <c r="F177" s="1788">
        <f>F175+F176</f>
        <v>541471</v>
      </c>
    </row>
    <row r="178" spans="1:7" ht="12" customHeight="1" x14ac:dyDescent="0.2">
      <c r="A178" s="1769"/>
      <c r="B178" s="1789"/>
      <c r="C178" s="1784"/>
      <c r="D178" s="1785" t="str">
        <f>D78</f>
        <v>9 Month ADA from District Average Daily Attendance/Prior General State Aid Inquiry 2018-2019</v>
      </c>
      <c r="E178" s="1786"/>
      <c r="F178" s="1790">
        <f>'PCTC-OEPP 27-28'!F78</f>
        <v>61.4</v>
      </c>
      <c r="G178" s="930"/>
    </row>
    <row r="179" spans="1:7" ht="12" customHeight="1" thickBot="1" x14ac:dyDescent="0.25">
      <c r="A179" s="1769"/>
      <c r="B179" s="1789"/>
      <c r="C179" s="1784"/>
      <c r="D179" s="1785" t="s">
        <v>2059</v>
      </c>
      <c r="E179" s="1786" t="s">
        <v>1545</v>
      </c>
      <c r="F179" s="1791">
        <f>F177/F178</f>
        <v>8818.7459283387616</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9"/>
      <c r="D184" s="930"/>
      <c r="E184" s="949"/>
      <c r="F184" s="930"/>
      <c r="G184" s="930"/>
    </row>
    <row r="185" spans="1:7" x14ac:dyDescent="0.2">
      <c r="A185" s="1925" t="s">
        <v>1925</v>
      </c>
      <c r="B185" s="1926"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25"/>
  <pageSetup scale="71" firstPageNumber="32" orientation="portrait" useFirstPageNumber="1" r:id="rId2"/>
  <headerFooter differentFirst="1" scaleWithDoc="0">
    <oddHeader xml:space="preserve">&amp;C </oddHeader>
    <oddFooter>&amp;LSee notes to financial statements.&amp;C33</oddFooter>
    <firstFooter>&amp;LSee notes to financial statements.&amp;C32</first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0" sqref="D20"/>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533" t="s">
        <v>1819</v>
      </c>
      <c r="B6" s="1534"/>
      <c r="C6" s="1534"/>
      <c r="D6" s="1534"/>
      <c r="E6" s="1534"/>
      <c r="F6" s="1534"/>
      <c r="G6" s="1535"/>
    </row>
    <row r="7" spans="1:7" ht="30.75" customHeight="1" x14ac:dyDescent="0.25">
      <c r="A7" s="2280" t="s">
        <v>1932</v>
      </c>
      <c r="B7" s="2281"/>
      <c r="C7" s="2281"/>
      <c r="D7" s="2281"/>
      <c r="E7" s="2281"/>
      <c r="F7" s="2281"/>
      <c r="G7" s="2282"/>
    </row>
    <row r="8" spans="1:7" ht="15.75" customHeight="1" x14ac:dyDescent="0.25">
      <c r="A8" s="2283" t="s">
        <v>1907</v>
      </c>
      <c r="B8" s="2284"/>
      <c r="C8" s="2284"/>
      <c r="D8" s="2284"/>
      <c r="E8" s="2284"/>
      <c r="F8" s="2284"/>
      <c r="G8" s="2285"/>
    </row>
    <row r="9" spans="1:7" ht="35.25" customHeight="1" x14ac:dyDescent="0.25">
      <c r="A9" s="2280" t="s">
        <v>1935</v>
      </c>
      <c r="B9" s="2281"/>
      <c r="C9" s="2281"/>
      <c r="D9" s="2281"/>
      <c r="E9" s="2281"/>
      <c r="F9" s="2281"/>
      <c r="G9" s="2282"/>
    </row>
    <row r="10" spans="1:7" ht="15" customHeight="1" x14ac:dyDescent="0.25">
      <c r="A10" s="1536" t="s">
        <v>1820</v>
      </c>
      <c r="B10" s="1537"/>
      <c r="C10" s="1537"/>
      <c r="D10" s="1537"/>
      <c r="E10" s="1537"/>
      <c r="F10" s="1537"/>
      <c r="G10" s="1538"/>
    </row>
    <row r="11" spans="1:7" ht="17.25" customHeight="1" x14ac:dyDescent="0.25">
      <c r="A11" s="2280" t="s">
        <v>1934</v>
      </c>
      <c r="B11" s="2281"/>
      <c r="C11" s="2281"/>
      <c r="D11" s="2281"/>
      <c r="E11" s="2281"/>
      <c r="F11" s="2281"/>
      <c r="G11" s="2282"/>
    </row>
    <row r="12" spans="1:7" ht="15" customHeight="1" x14ac:dyDescent="0.25">
      <c r="A12" s="1536" t="s">
        <v>1825</v>
      </c>
      <c r="B12" s="1537"/>
      <c r="C12" s="1537"/>
      <c r="D12" s="1537"/>
      <c r="E12" s="1537"/>
      <c r="F12" s="1537"/>
      <c r="G12" s="1538"/>
    </row>
    <row r="13" spans="1:7" ht="32.25" customHeight="1" x14ac:dyDescent="0.25">
      <c r="A13" s="2271" t="s">
        <v>1976</v>
      </c>
      <c r="B13" s="2272"/>
      <c r="C13" s="2272"/>
      <c r="D13" s="2272"/>
      <c r="E13" s="2272"/>
      <c r="F13" s="2272"/>
      <c r="G13" s="2273"/>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6" t="s">
        <v>2081</v>
      </c>
      <c r="B17" s="1937" t="s">
        <v>2085</v>
      </c>
      <c r="C17" s="1938" t="s">
        <v>2089</v>
      </c>
      <c r="D17" s="1843">
        <v>3915</v>
      </c>
      <c r="E17" s="1539">
        <f t="shared" ref="E17:E141" si="0">IF(D17&lt;=25000,D17,IF(D17&gt;25000,25000,0))</f>
        <v>3915</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3915</v>
      </c>
      <c r="G17" s="1792">
        <f>IF(F17=0,0,D17-F17)</f>
        <v>0</v>
      </c>
      <c r="H17" s="1646"/>
    </row>
    <row r="18" spans="1:8" x14ac:dyDescent="0.25">
      <c r="A18" s="1936" t="s">
        <v>2082</v>
      </c>
      <c r="B18" s="1937" t="s">
        <v>2086</v>
      </c>
      <c r="C18" s="1938" t="s">
        <v>2090</v>
      </c>
      <c r="D18" s="1843">
        <v>5000</v>
      </c>
      <c r="E18" s="1539">
        <f t="shared" ref="E18:E140" si="2">IF(D18&lt;=25000,D18,IF(D18&gt;25000,25000,0))</f>
        <v>5000</v>
      </c>
      <c r="F18" s="1931">
        <f t="shared" si="1"/>
        <v>5000</v>
      </c>
      <c r="G18" s="1792">
        <f t="shared" ref="G18:G140" si="3">IF(F18=0,0,D18-F18)</f>
        <v>0</v>
      </c>
    </row>
    <row r="19" spans="1:8" x14ac:dyDescent="0.25">
      <c r="A19" s="1936" t="s">
        <v>2083</v>
      </c>
      <c r="B19" s="1937" t="s">
        <v>2087</v>
      </c>
      <c r="C19" s="1938" t="s">
        <v>2091</v>
      </c>
      <c r="D19" s="1843">
        <v>958</v>
      </c>
      <c r="E19" s="1539">
        <f t="shared" si="2"/>
        <v>958</v>
      </c>
      <c r="F19" s="1931">
        <f t="shared" si="1"/>
        <v>958</v>
      </c>
      <c r="G19" s="1792">
        <f t="shared" si="3"/>
        <v>0</v>
      </c>
    </row>
    <row r="20" spans="1:8" x14ac:dyDescent="0.25">
      <c r="A20" s="1936" t="s">
        <v>2083</v>
      </c>
      <c r="B20" s="1937" t="s">
        <v>2087</v>
      </c>
      <c r="C20" s="1938" t="s">
        <v>2092</v>
      </c>
      <c r="D20" s="1843">
        <v>1903</v>
      </c>
      <c r="E20" s="1539">
        <f t="shared" si="2"/>
        <v>1903</v>
      </c>
      <c r="F20" s="1931">
        <f t="shared" si="1"/>
        <v>1903</v>
      </c>
      <c r="G20" s="1792">
        <f t="shared" si="3"/>
        <v>0</v>
      </c>
    </row>
    <row r="21" spans="1:8" x14ac:dyDescent="0.25">
      <c r="A21" s="1936" t="s">
        <v>2084</v>
      </c>
      <c r="B21" s="1937" t="s">
        <v>2088</v>
      </c>
      <c r="C21" s="1938" t="s">
        <v>2093</v>
      </c>
      <c r="D21" s="1843">
        <v>42081</v>
      </c>
      <c r="E21" s="1539">
        <f t="shared" si="2"/>
        <v>25000</v>
      </c>
      <c r="F21" s="1931">
        <f t="shared" si="1"/>
        <v>25000</v>
      </c>
      <c r="G21" s="1792">
        <f t="shared" si="3"/>
        <v>17081</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53857</v>
      </c>
      <c r="E141" s="1540">
        <f t="shared" si="0"/>
        <v>25000</v>
      </c>
      <c r="F141" s="1932">
        <f>SUM(F17:F140)</f>
        <v>36776</v>
      </c>
      <c r="G141" s="1794">
        <f>SUM(G17:G140)</f>
        <v>17081</v>
      </c>
    </row>
  </sheetData>
  <sheetProtection password="F60E" sheet="1" selectLockedCells="1"/>
  <mergeCells count="6">
    <mergeCell ref="A13:G13"/>
    <mergeCell ref="A4:G5"/>
    <mergeCell ref="A11:G11"/>
    <mergeCell ref="A7:G7"/>
    <mergeCell ref="A8:G8"/>
    <mergeCell ref="A9:G9"/>
  </mergeCells>
  <printOptions horizontalCentered="1"/>
  <pageMargins left="0.2" right="0.2" top="0.45" bottom="0.25" header="0.3" footer="0.15"/>
  <pageSetup scale="83" firstPageNumber="34" fitToHeight="0" orientation="landscape" useFirstPageNumber="1" r:id="rId1"/>
  <headerFooter differentFirst="1" scaleWithDoc="0">
    <oddFooter>&amp;LSee notes to financial statements.&amp;C&amp;P</oddFooter>
    <firstFooter>&amp;LSee notes to financial statements.&amp;C34</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5" colorId="8" zoomScale="110" zoomScaleNormal="110" workbookViewId="0">
      <selection activeCell="M23" sqref="M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6776</v>
      </c>
      <c r="F10" s="974"/>
      <c r="G10" s="975"/>
      <c r="H10" s="162"/>
      <c r="I10" s="162"/>
    </row>
    <row r="11" spans="1:9" s="668" customFormat="1" ht="22.5" customHeight="1" x14ac:dyDescent="0.2">
      <c r="A11" s="2291" t="s">
        <v>1977</v>
      </c>
      <c r="B11" s="2292"/>
      <c r="C11" s="2292"/>
      <c r="D11" s="2293"/>
      <c r="E11" s="977">
        <v>2799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346184</v>
      </c>
      <c r="F19" s="1798"/>
      <c r="G19" s="1800">
        <f>'Expenditures 15-22'!K33-SUM('Expenditures 15-22'!G33,'Expenditures 15-22'!I33)+'Expenditures 15-22'!D229</f>
        <v>346184</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4436</v>
      </c>
      <c r="F21" s="1801"/>
      <c r="G21" s="1804">
        <f>'Expenditures 15-22'!K42-SUM('Expenditures 15-22'!G42,'Expenditures 15-22'!I42)+'Expenditures 15-22'!K120-SUM('Expenditures 15-22'!G120,'Expenditures 15-22'!I120)+'Expenditures 15-22'!K180-SUM('Expenditures 15-22'!G180,'Expenditures 15-22'!I180)+'Expenditures 15-22'!D238</f>
        <v>4436</v>
      </c>
      <c r="H21" s="987"/>
      <c r="I21" s="162"/>
    </row>
    <row r="22" spans="1:9" s="668" customFormat="1" ht="12" customHeight="1" x14ac:dyDescent="0.2">
      <c r="A22" s="994" t="s">
        <v>564</v>
      </c>
      <c r="B22" s="995"/>
      <c r="C22" s="993">
        <v>2200</v>
      </c>
      <c r="D22" s="1801"/>
      <c r="E22" s="1803">
        <f>'Expenditures 15-22'!K47-SUM('Expenditures 15-22'!G47,'Expenditures 15-22'!I47)+'Expenditures 15-22'!D243</f>
        <v>2630</v>
      </c>
      <c r="F22" s="1801"/>
      <c r="G22" s="1804">
        <f>'Expenditures 15-22'!K47-SUM('Expenditures 15-22'!G47,'Expenditures 15-22'!I47)+'Expenditures 15-22'!D243</f>
        <v>2630</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111728</v>
      </c>
      <c r="F23" s="1801"/>
      <c r="G23" s="1803">
        <f>'Expenditures 15-22'!K53-SUM('Expenditures 15-22'!G53,'Expenditures 15-22'!I53)+'Expenditures 15-22'!D257+'Expenditures 15-22'!K330-SUM('Expenditures 15-22'!G330,'Expenditures 15-22'!I330)</f>
        <v>111728</v>
      </c>
      <c r="H23" s="987"/>
      <c r="I23" s="162"/>
    </row>
    <row r="24" spans="1:9" s="668" customFormat="1" ht="12" customHeight="1" x14ac:dyDescent="0.2">
      <c r="A24" s="994" t="s">
        <v>566</v>
      </c>
      <c r="B24" s="995"/>
      <c r="C24" s="993">
        <v>2400</v>
      </c>
      <c r="D24" s="1801"/>
      <c r="E24" s="1803">
        <f>'Expenditures 15-22'!K57-SUM('Expenditures 15-22'!G57,'Expenditures 15-22'!I57)+'Expenditures 15-22'!D261</f>
        <v>14007</v>
      </c>
      <c r="F24" s="1801"/>
      <c r="G24" s="1804">
        <f>'Expenditures 15-22'!K57-SUM('Expenditures 15-22'!G57,'Expenditures 15-22'!I57)+'Expenditures 15-22'!D261</f>
        <v>14007</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44841</v>
      </c>
      <c r="E27" s="1803">
        <f>E8</f>
        <v>0</v>
      </c>
      <c r="F27" s="1803">
        <f>'Expenditures 15-22'!K60-SUM('Expenditures 15-22'!G60,'Expenditures 15-22'!I60)+'Expenditures 15-22'!D264-E8</f>
        <v>44841</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44458</v>
      </c>
      <c r="F28" s="1805">
        <f>'Expenditures 15-22'!K61-SUM('Expenditures 15-22'!G61,'Expenditures 15-22'!I61)+'Expenditures 15-22'!K124-SUM('Expenditures 15-22'!G124,'Expenditures 15-22'!I124)+'Expenditures 15-22'!D266-E9</f>
        <v>44458</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63821</v>
      </c>
      <c r="F29" s="1801"/>
      <c r="G29" s="1804">
        <f>'Expenditures 15-22'!K62-SUM('Expenditures 15-22'!G62,'Expenditures 15-22'!I62)+'Expenditures 15-22'!K125-SUM('Expenditures 15-22'!G125,'Expenditures 15-22'!I125)+'Expenditures 15-22'!K182-SUM('Expenditures 15-22'!G182,'Expenditures 15-22'!I182)+'Expenditures 15-22'!D267</f>
        <v>63821</v>
      </c>
      <c r="H29" s="985"/>
    </row>
    <row r="30" spans="1:9" ht="12" customHeight="1" x14ac:dyDescent="0.2">
      <c r="A30" s="994" t="s">
        <v>100</v>
      </c>
      <c r="B30" s="997"/>
      <c r="C30" s="993">
        <v>2560</v>
      </c>
      <c r="D30" s="1801"/>
      <c r="E30" s="1803">
        <f>'Expenditures 15-22'!K63-SUM('Expenditures 15-22'!G63,'Expenditures 15-22'!I63)+'Expenditures 15-22'!D268-E10</f>
        <v>9300</v>
      </c>
      <c r="F30" s="1801"/>
      <c r="G30" s="1803">
        <f>'Expenditures 15-22'!K63-SUM('Expenditures 15-22'!G63,'Expenditures 15-22'!I63)+'Expenditures 15-22'!D268-E10</f>
        <v>9300</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0</v>
      </c>
      <c r="F39" s="1801"/>
      <c r="G39" s="180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1"/>
      <c r="E40" s="1805">
        <f>-'Contracts Paid in CY 29'!G141</f>
        <v>-17081</v>
      </c>
      <c r="F40" s="1801"/>
      <c r="G40" s="1805">
        <f>-'Contracts Paid in CY 29'!G141</f>
        <v>-17081</v>
      </c>
    </row>
    <row r="41" spans="1:7" ht="12" customHeight="1" x14ac:dyDescent="0.2">
      <c r="A41" s="998" t="s">
        <v>156</v>
      </c>
      <c r="B41" s="999"/>
      <c r="C41" s="1000"/>
      <c r="D41" s="1805">
        <f>SUM(D19:D39)</f>
        <v>44841</v>
      </c>
      <c r="E41" s="1805">
        <f>SUM(E19:E40)</f>
        <v>579483</v>
      </c>
      <c r="F41" s="1805">
        <f>SUM(F19:F39)</f>
        <v>89299</v>
      </c>
      <c r="G41" s="1805">
        <f>SUM(G19:G40)</f>
        <v>535025</v>
      </c>
    </row>
    <row r="42" spans="1:7" x14ac:dyDescent="0.2">
      <c r="A42" s="987"/>
      <c r="B42" s="162"/>
      <c r="C42" s="1001"/>
      <c r="D42" s="2289" t="s">
        <v>522</v>
      </c>
      <c r="E42" s="2290"/>
      <c r="F42" s="1002" t="s">
        <v>523</v>
      </c>
      <c r="G42" s="1003"/>
    </row>
    <row r="43" spans="1:7" ht="12" customHeight="1" x14ac:dyDescent="0.2">
      <c r="A43" s="987"/>
      <c r="B43" s="162"/>
      <c r="C43" s="1001"/>
      <c r="D43" s="1806" t="s">
        <v>473</v>
      </c>
      <c r="E43" s="1807">
        <f>D41</f>
        <v>44841</v>
      </c>
      <c r="F43" s="1806" t="s">
        <v>473</v>
      </c>
      <c r="G43" s="1807">
        <f>F41</f>
        <v>89299</v>
      </c>
    </row>
    <row r="44" spans="1:7" ht="12" customHeight="1" x14ac:dyDescent="0.2">
      <c r="A44" s="987"/>
      <c r="B44" s="162"/>
      <c r="C44" s="1001"/>
      <c r="D44" s="1806" t="s">
        <v>474</v>
      </c>
      <c r="E44" s="1807">
        <f>E41</f>
        <v>579483</v>
      </c>
      <c r="F44" s="1806" t="s">
        <v>474</v>
      </c>
      <c r="G44" s="1807">
        <f>G41</f>
        <v>535025</v>
      </c>
    </row>
    <row r="45" spans="1:7" ht="12" customHeight="1" x14ac:dyDescent="0.2">
      <c r="A45" s="987"/>
      <c r="B45" s="162"/>
      <c r="C45" s="162"/>
      <c r="D45" s="1808" t="s">
        <v>1006</v>
      </c>
      <c r="E45" s="1809">
        <f>(E43/E44)</f>
        <v>7.7381044827889683E-2</v>
      </c>
      <c r="F45" s="1808" t="s">
        <v>1006</v>
      </c>
      <c r="G45" s="1809">
        <f>(G43/G44)</f>
        <v>0.16690621933554506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25"/>
  <pageSetup scale="85" firstPageNumber="30" orientation="landscape" useFirstPageNumber="1" r:id="rId1"/>
  <headerFooter scaleWithDoc="0">
    <oddHeader>&amp;C&amp;"Arial,Bold"
ESTIMATED INDIRECT COST DATA</oddHeader>
    <oddFooter>&amp;LSee notes to financial statements.&amp;C38</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7" activePane="bottomLeft" state="frozen"/>
      <selection activeCell="A4" sqref="A4:F4"/>
      <selection pane="bottomLeft" activeCell="E31" sqref="E31"/>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297" t="s">
        <v>1379</v>
      </c>
      <c r="B1" s="2297"/>
      <c r="C1" s="2297"/>
      <c r="D1" s="2297"/>
      <c r="E1" s="2297"/>
      <c r="F1" s="2297"/>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298" t="s">
        <v>1546</v>
      </c>
      <c r="B5" s="2299"/>
      <c r="C5" s="2300"/>
      <c r="D5" s="2300"/>
      <c r="E5" s="2300"/>
      <c r="F5" s="2300"/>
    </row>
    <row r="6" spans="1:10" ht="12" customHeight="1" x14ac:dyDescent="0.25">
      <c r="A6" s="1849"/>
      <c r="B6" s="1850"/>
      <c r="C6" s="2301" t="str">
        <f>COVER!A17</f>
        <v>St Libory Cons SD 30</v>
      </c>
      <c r="D6" s="2301"/>
      <c r="E6" s="2301"/>
      <c r="F6" s="1851"/>
    </row>
    <row r="7" spans="1:10" ht="11.25" customHeight="1" thickBot="1" x14ac:dyDescent="0.3">
      <c r="A7" s="1849"/>
      <c r="B7" s="1850"/>
      <c r="C7" s="2302">
        <f>COVER!A13</f>
        <v>50082030003</v>
      </c>
      <c r="D7" s="2302"/>
      <c r="E7" s="2302"/>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t="s">
        <v>2065</v>
      </c>
      <c r="D24" s="1864" t="s">
        <v>2076</v>
      </c>
      <c r="E24" s="1867" t="s">
        <v>2076</v>
      </c>
      <c r="F24" s="1866" t="s">
        <v>2077</v>
      </c>
      <c r="H24" s="1877">
        <f t="shared" si="0"/>
        <v>5</v>
      </c>
      <c r="I24" s="1877">
        <f t="shared" si="1"/>
        <v>5</v>
      </c>
      <c r="J24" s="1877">
        <f t="shared" si="2"/>
        <v>5</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2076</v>
      </c>
      <c r="D26" s="1864" t="s">
        <v>2076</v>
      </c>
      <c r="E26" s="1867" t="s">
        <v>2076</v>
      </c>
      <c r="F26" s="1866" t="s">
        <v>2078</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t="s">
        <v>2076</v>
      </c>
      <c r="F30" s="1866" t="s">
        <v>2111</v>
      </c>
      <c r="H30" s="1877">
        <f t="shared" si="0"/>
        <v>0</v>
      </c>
      <c r="I30" s="1877">
        <f t="shared" si="1"/>
        <v>0</v>
      </c>
      <c r="J30" s="1877">
        <f t="shared" si="2"/>
        <v>5</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10</v>
      </c>
      <c r="I34" s="1877">
        <f>SUM(I11:I32)</f>
        <v>10</v>
      </c>
      <c r="J34" s="1877">
        <f>SUM(J11:J32)</f>
        <v>15</v>
      </c>
      <c r="K34" s="1877">
        <f>SUM(H34:J34)</f>
        <v>35</v>
      </c>
    </row>
    <row r="35" spans="1:11" ht="12" customHeight="1" x14ac:dyDescent="0.2">
      <c r="A35" s="1870" t="s">
        <v>1392</v>
      </c>
      <c r="B35" s="1871"/>
      <c r="C35" s="2303"/>
      <c r="D35" s="2303"/>
      <c r="E35" s="2303"/>
      <c r="F35" s="2304"/>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308"/>
      <c r="B38" s="2309"/>
      <c r="C38" s="2309"/>
      <c r="D38" s="2309"/>
      <c r="E38" s="2309"/>
      <c r="F38" s="2310"/>
    </row>
    <row r="39" spans="1:11" ht="4.5" hidden="1" customHeight="1" x14ac:dyDescent="0.2">
      <c r="A39" s="1872"/>
      <c r="B39" s="1872"/>
      <c r="C39" s="1872"/>
      <c r="D39" s="1872"/>
      <c r="E39" s="1872"/>
      <c r="F39" s="1872"/>
    </row>
    <row r="40" spans="1:11" s="1869" customFormat="1" ht="12" customHeight="1" x14ac:dyDescent="0.25">
      <c r="A40" s="1873" t="s">
        <v>1391</v>
      </c>
      <c r="B40" s="1874"/>
      <c r="C40" s="2311"/>
      <c r="D40" s="2311"/>
      <c r="E40" s="2311"/>
      <c r="F40" s="2312"/>
      <c r="H40" s="1878"/>
      <c r="I40" s="1878"/>
      <c r="J40" s="1878"/>
      <c r="K40" s="1878"/>
    </row>
    <row r="41" spans="1:11" s="1869" customFormat="1" ht="12" customHeight="1" x14ac:dyDescent="0.25">
      <c r="A41" s="2313"/>
      <c r="B41" s="2314"/>
      <c r="C41" s="2314"/>
      <c r="D41" s="2314"/>
      <c r="E41" s="2314"/>
      <c r="F41" s="2315"/>
      <c r="H41" s="1878"/>
      <c r="I41" s="1878"/>
      <c r="J41" s="1878"/>
      <c r="K41" s="1878"/>
    </row>
    <row r="42" spans="1:11" s="1869" customFormat="1" ht="12" customHeight="1" x14ac:dyDescent="0.25">
      <c r="A42" s="2313"/>
      <c r="B42" s="2314"/>
      <c r="C42" s="2314"/>
      <c r="D42" s="2314"/>
      <c r="E42" s="2314"/>
      <c r="F42" s="2315"/>
      <c r="H42" s="1878"/>
      <c r="I42" s="1878"/>
      <c r="J42" s="1878"/>
      <c r="K42" s="1878"/>
    </row>
    <row r="43" spans="1:11" s="1869" customFormat="1" ht="15" x14ac:dyDescent="0.25">
      <c r="A43" s="2305"/>
      <c r="B43" s="2306"/>
      <c r="C43" s="2306"/>
      <c r="D43" s="2306"/>
      <c r="E43" s="2306"/>
      <c r="F43" s="2307"/>
      <c r="H43" s="1878"/>
      <c r="I43" s="1878"/>
      <c r="J43" s="1878"/>
      <c r="K43" s="1878"/>
    </row>
    <row r="44" spans="1:11" s="1869" customFormat="1" ht="12" hidden="1" customHeight="1" x14ac:dyDescent="0.25">
      <c r="A44" s="2305"/>
      <c r="B44" s="2306"/>
      <c r="C44" s="2306"/>
      <c r="D44" s="2306"/>
      <c r="E44" s="2306"/>
      <c r="F44" s="2307"/>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25"/>
  <pageSetup scale="84" orientation="landscape" r:id="rId1"/>
  <headerFooter scaleWithDoc="0">
    <oddFooter>&amp;LSee notes to financial statements.&amp;C39</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21" t="str">
        <f>COVER!A17</f>
        <v>St Libory Cons SD 30</v>
      </c>
      <c r="J6" s="2322"/>
      <c r="Q6" s="1663"/>
    </row>
    <row r="7" spans="1:17" x14ac:dyDescent="0.2">
      <c r="A7" s="2323" t="s">
        <v>869</v>
      </c>
      <c r="B7" s="2324"/>
      <c r="C7" s="2324"/>
      <c r="D7" s="2324"/>
      <c r="E7" s="2325"/>
      <c r="F7" s="1017"/>
      <c r="G7" s="1009"/>
      <c r="H7" s="1016" t="s">
        <v>372</v>
      </c>
      <c r="I7" s="2326">
        <f>COVER!A13</f>
        <v>50082030003</v>
      </c>
      <c r="J7" s="2326"/>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1979</v>
      </c>
      <c r="F9" s="1023"/>
      <c r="G9" s="1023"/>
      <c r="H9" s="1895"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49125</v>
      </c>
      <c r="F12" s="1039"/>
      <c r="G12" s="1810">
        <f t="shared" ref="G12:G18" si="0">SUM(E12:F12)</f>
        <v>49125</v>
      </c>
      <c r="H12" s="1040">
        <v>50550</v>
      </c>
      <c r="I12" s="1039"/>
      <c r="J12" s="1810">
        <f t="shared" ref="J12:J18" si="1">SUM(H12:I12)</f>
        <v>50550</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30" t="s">
        <v>7</v>
      </c>
      <c r="C18" s="2331"/>
      <c r="D18" s="2332"/>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49125</v>
      </c>
      <c r="F19" s="1812">
        <f t="shared" si="2"/>
        <v>0</v>
      </c>
      <c r="G19" s="1812">
        <f t="shared" si="2"/>
        <v>49125</v>
      </c>
      <c r="H19" s="1812">
        <f t="shared" si="2"/>
        <v>50550</v>
      </c>
      <c r="I19" s="1812">
        <f t="shared" si="2"/>
        <v>0</v>
      </c>
      <c r="J19" s="1812">
        <f t="shared" si="2"/>
        <v>50550</v>
      </c>
    </row>
    <row r="20" spans="1:10" ht="13.5" thickTop="1" x14ac:dyDescent="0.2">
      <c r="A20" s="1035">
        <v>9</v>
      </c>
      <c r="B20" s="2333" t="s">
        <v>1981</v>
      </c>
      <c r="C20" s="2333"/>
      <c r="D20" s="2334"/>
      <c r="E20" s="1046"/>
      <c r="F20" s="1046"/>
      <c r="G20" s="1046"/>
      <c r="H20" s="1046"/>
      <c r="I20" s="1046"/>
      <c r="J20" s="1813">
        <f>IF(AND(G19&gt;0,J19&gt;0),(((J19-G19)/G19)),"Enter Budget Data")</f>
        <v>2.9007633587786259E-2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1983</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scaleWithDoc="0">
    <oddHeader xml:space="preserve">&amp;C </oddHeader>
    <oddFooter>&amp;LSee notes to financial statements.&amp;C40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J67"/>
  <sheetViews>
    <sheetView showGridLines="0" zoomScale="110" zoomScaleNormal="110" workbookViewId="0"/>
  </sheetViews>
  <sheetFormatPr defaultColWidth="9.140625" defaultRowHeight="12.75" x14ac:dyDescent="0.2"/>
  <cols>
    <col min="1" max="1" width="3" style="329" customWidth="1"/>
    <col min="2" max="2" width="6.28515625" style="329" customWidth="1"/>
    <col min="3" max="3" width="3.140625" style="329" customWidth="1"/>
    <col min="4" max="4" width="6.5703125" style="329" customWidth="1"/>
    <col min="5" max="5" width="2.28515625" style="329" customWidth="1"/>
    <col min="6" max="6" width="27" style="329" customWidth="1"/>
    <col min="7" max="7" width="1.28515625" style="329" customWidth="1"/>
    <col min="8" max="8" width="38.7109375" style="329" customWidth="1"/>
    <col min="9" max="9" width="2.28515625" style="329" customWidth="1"/>
    <col min="10" max="10" width="10" style="329" bestFit="1" customWidth="1"/>
    <col min="11" max="16384" width="9.140625" style="329"/>
  </cols>
  <sheetData>
    <row r="2" spans="1:10" x14ac:dyDescent="0.2">
      <c r="A2" s="389" t="s">
        <v>258</v>
      </c>
    </row>
    <row r="3" spans="1:10" x14ac:dyDescent="0.2">
      <c r="A3" s="329" t="s">
        <v>259</v>
      </c>
    </row>
    <row r="5" spans="1:10" x14ac:dyDescent="0.2">
      <c r="B5" s="1940" t="s">
        <v>2094</v>
      </c>
      <c r="D5" s="1940" t="s">
        <v>378</v>
      </c>
      <c r="F5" s="1940" t="s">
        <v>1077</v>
      </c>
      <c r="H5" s="1940" t="s">
        <v>481</v>
      </c>
      <c r="J5" s="1940" t="s">
        <v>865</v>
      </c>
    </row>
    <row r="6" spans="1:10" x14ac:dyDescent="0.2">
      <c r="A6" s="1068">
        <v>1</v>
      </c>
      <c r="B6" s="1939">
        <v>15</v>
      </c>
      <c r="C6" s="1939"/>
      <c r="D6" s="1939">
        <v>1790</v>
      </c>
      <c r="E6" s="1939"/>
      <c r="F6" s="1939" t="s">
        <v>1155</v>
      </c>
      <c r="G6" s="1939"/>
      <c r="H6" s="1939" t="s">
        <v>2097</v>
      </c>
      <c r="J6" s="1941">
        <v>5030</v>
      </c>
    </row>
    <row r="7" spans="1:10" x14ac:dyDescent="0.2">
      <c r="A7" s="1068"/>
      <c r="B7" s="1939"/>
      <c r="C7" s="1939"/>
      <c r="D7" s="1939"/>
      <c r="E7" s="1939"/>
      <c r="F7" s="1939"/>
      <c r="G7" s="1939"/>
      <c r="H7" s="1939"/>
      <c r="J7" s="1941"/>
    </row>
    <row r="8" spans="1:10" x14ac:dyDescent="0.2">
      <c r="A8" s="1068">
        <v>2</v>
      </c>
      <c r="B8" s="1939">
        <v>15</v>
      </c>
      <c r="C8" s="1939"/>
      <c r="D8" s="1939">
        <v>1999</v>
      </c>
      <c r="E8" s="1939"/>
      <c r="F8" s="1939" t="s">
        <v>1155</v>
      </c>
      <c r="G8" s="1939"/>
      <c r="H8" s="1939" t="s">
        <v>2098</v>
      </c>
      <c r="J8" s="1941">
        <v>250</v>
      </c>
    </row>
    <row r="9" spans="1:10" ht="15" x14ac:dyDescent="0.35">
      <c r="A9" s="1068"/>
      <c r="B9" s="1939"/>
      <c r="C9" s="1939"/>
      <c r="D9" s="1939"/>
      <c r="E9" s="1939"/>
      <c r="F9" s="1939"/>
      <c r="G9" s="1939"/>
      <c r="H9" s="1939" t="s">
        <v>2099</v>
      </c>
      <c r="J9" s="1942">
        <v>126</v>
      </c>
    </row>
    <row r="10" spans="1:10" ht="15" x14ac:dyDescent="0.35">
      <c r="A10" s="1068"/>
      <c r="B10" s="1939"/>
      <c r="C10" s="1939"/>
      <c r="D10" s="1939"/>
      <c r="E10" s="1939"/>
      <c r="F10" s="1939"/>
      <c r="G10" s="1939"/>
      <c r="H10" s="1939"/>
      <c r="J10" s="1943">
        <f>SUM(J8:J9)</f>
        <v>376</v>
      </c>
    </row>
    <row r="11" spans="1:10" x14ac:dyDescent="0.2">
      <c r="A11" s="1068"/>
      <c r="B11" s="1939"/>
      <c r="C11" s="1939"/>
      <c r="D11" s="1939"/>
      <c r="E11" s="1939"/>
      <c r="F11" s="1939"/>
      <c r="G11" s="1939"/>
      <c r="H11" s="1939"/>
    </row>
    <row r="12" spans="1:10" x14ac:dyDescent="0.2">
      <c r="A12" s="1068">
        <v>3</v>
      </c>
      <c r="B12" s="1939">
        <v>15</v>
      </c>
      <c r="C12" s="1939"/>
      <c r="D12" s="1939">
        <v>1999</v>
      </c>
      <c r="E12" s="1939"/>
      <c r="F12" s="1939" t="s">
        <v>870</v>
      </c>
      <c r="G12" s="1939"/>
      <c r="H12" s="1939" t="s">
        <v>2099</v>
      </c>
      <c r="J12" s="1941">
        <v>19</v>
      </c>
    </row>
    <row r="13" spans="1:10" x14ac:dyDescent="0.2">
      <c r="A13" s="1068"/>
      <c r="B13" s="1939"/>
      <c r="C13" s="1939"/>
      <c r="D13" s="1939"/>
      <c r="E13" s="1939"/>
      <c r="F13" s="1939"/>
      <c r="G13" s="1939"/>
      <c r="H13" s="1939"/>
      <c r="J13" s="1941"/>
    </row>
    <row r="14" spans="1:10" x14ac:dyDescent="0.2">
      <c r="A14" s="1068">
        <v>4</v>
      </c>
      <c r="B14" s="1939">
        <v>15</v>
      </c>
      <c r="C14" s="1939"/>
      <c r="D14" s="1939">
        <v>1999</v>
      </c>
      <c r="E14" s="1939"/>
      <c r="F14" s="1939" t="s">
        <v>155</v>
      </c>
      <c r="G14" s="1939"/>
      <c r="H14" s="1939" t="s">
        <v>2099</v>
      </c>
      <c r="J14" s="1941">
        <v>6</v>
      </c>
    </row>
    <row r="15" spans="1:10" x14ac:dyDescent="0.2">
      <c r="A15" s="1068"/>
      <c r="B15" s="1939"/>
      <c r="C15" s="1939"/>
      <c r="D15" s="1939"/>
      <c r="E15" s="1939"/>
      <c r="F15" s="1939"/>
      <c r="G15" s="1939"/>
      <c r="H15" s="1939"/>
      <c r="J15" s="1941"/>
    </row>
    <row r="16" spans="1:10" x14ac:dyDescent="0.2">
      <c r="A16" s="1068">
        <v>5</v>
      </c>
      <c r="B16" s="1939">
        <v>15</v>
      </c>
      <c r="C16" s="1939"/>
      <c r="D16" s="1939">
        <v>1999</v>
      </c>
      <c r="E16" s="1939"/>
      <c r="F16" s="1939" t="s">
        <v>1179</v>
      </c>
      <c r="G16" s="1939"/>
      <c r="H16" s="1939" t="s">
        <v>2099</v>
      </c>
      <c r="J16" s="1941">
        <v>2</v>
      </c>
    </row>
    <row r="17" spans="1:10" x14ac:dyDescent="0.2">
      <c r="A17" s="1068"/>
      <c r="B17" s="1939"/>
      <c r="C17" s="1939"/>
      <c r="D17" s="1939"/>
      <c r="E17" s="1939"/>
      <c r="F17" s="1939"/>
      <c r="G17" s="1939"/>
      <c r="H17" s="1939"/>
      <c r="J17" s="1941"/>
    </row>
    <row r="18" spans="1:10" x14ac:dyDescent="0.2">
      <c r="A18" s="1068">
        <v>6</v>
      </c>
      <c r="B18" s="1939">
        <v>15</v>
      </c>
      <c r="C18" s="1939"/>
      <c r="D18" s="1939">
        <v>1999</v>
      </c>
      <c r="E18" s="1939"/>
      <c r="F18" s="1939" t="s">
        <v>407</v>
      </c>
      <c r="G18" s="1939"/>
      <c r="H18" s="1939" t="s">
        <v>2099</v>
      </c>
      <c r="J18" s="1941">
        <v>3</v>
      </c>
    </row>
    <row r="19" spans="1:10" x14ac:dyDescent="0.2">
      <c r="A19" s="1068"/>
      <c r="B19" s="1939"/>
      <c r="C19" s="1939"/>
      <c r="D19" s="1939"/>
      <c r="E19" s="1939"/>
      <c r="F19" s="1939"/>
      <c r="G19" s="1939"/>
      <c r="H19" s="1939"/>
      <c r="J19" s="1941"/>
    </row>
    <row r="20" spans="1:10" x14ac:dyDescent="0.2">
      <c r="A20" s="1068">
        <v>7</v>
      </c>
      <c r="B20" s="1939">
        <v>15</v>
      </c>
      <c r="C20" s="1939"/>
      <c r="D20" s="1939">
        <v>1999</v>
      </c>
      <c r="E20" s="1939"/>
      <c r="F20" s="1939" t="s">
        <v>436</v>
      </c>
      <c r="G20" s="1939"/>
      <c r="H20" s="1939" t="s">
        <v>2099</v>
      </c>
      <c r="J20" s="1941">
        <v>25</v>
      </c>
    </row>
    <row r="21" spans="1:10" x14ac:dyDescent="0.2">
      <c r="A21" s="1068"/>
      <c r="B21" s="1939"/>
      <c r="C21" s="1939"/>
      <c r="D21" s="1939"/>
      <c r="E21" s="1939"/>
      <c r="F21" s="1939"/>
      <c r="G21" s="1939"/>
      <c r="H21" s="1939"/>
      <c r="J21" s="1941"/>
    </row>
    <row r="22" spans="1:10" x14ac:dyDescent="0.2">
      <c r="A22" s="1068">
        <v>8</v>
      </c>
      <c r="B22" s="1939">
        <v>15</v>
      </c>
      <c r="C22" s="1939"/>
      <c r="D22" s="1939">
        <v>1999</v>
      </c>
      <c r="E22" s="1939"/>
      <c r="F22" s="1939" t="s">
        <v>157</v>
      </c>
      <c r="G22" s="1939"/>
      <c r="H22" s="1939" t="s">
        <v>2099</v>
      </c>
      <c r="J22" s="1941">
        <v>2</v>
      </c>
    </row>
    <row r="23" spans="1:10" x14ac:dyDescent="0.2">
      <c r="A23" s="1068"/>
      <c r="B23" s="1939"/>
      <c r="C23" s="1939"/>
      <c r="D23" s="1939"/>
      <c r="E23" s="1939"/>
      <c r="F23" s="1939"/>
      <c r="G23" s="1939"/>
      <c r="H23" s="1939"/>
      <c r="J23" s="1941"/>
    </row>
    <row r="24" spans="1:10" x14ac:dyDescent="0.2">
      <c r="A24" s="1068">
        <v>9</v>
      </c>
      <c r="B24" s="1939">
        <v>17</v>
      </c>
      <c r="C24" s="1939"/>
      <c r="D24" s="1939">
        <v>4090</v>
      </c>
      <c r="E24" s="1939"/>
      <c r="F24" s="1939" t="s">
        <v>1155</v>
      </c>
      <c r="G24" s="1939"/>
      <c r="H24" s="1939" t="s">
        <v>2100</v>
      </c>
      <c r="J24" s="1941">
        <v>18276</v>
      </c>
    </row>
    <row r="25" spans="1:10" x14ac:dyDescent="0.2">
      <c r="A25" s="1068"/>
      <c r="B25" s="1939"/>
      <c r="C25" s="1939"/>
      <c r="D25" s="1939"/>
      <c r="E25" s="1939"/>
      <c r="F25" s="1939"/>
      <c r="G25" s="1939"/>
      <c r="H25" s="1939"/>
      <c r="J25" s="1941"/>
    </row>
    <row r="26" spans="1:10" x14ac:dyDescent="0.2">
      <c r="A26" s="1068">
        <v>10</v>
      </c>
      <c r="B26" s="1939">
        <v>29</v>
      </c>
      <c r="C26" s="1939"/>
      <c r="D26" s="1944" t="s">
        <v>2095</v>
      </c>
      <c r="E26" s="1939"/>
      <c r="F26" s="1939" t="s">
        <v>2096</v>
      </c>
      <c r="G26" s="1939"/>
      <c r="H26" s="1939" t="s">
        <v>2101</v>
      </c>
      <c r="J26" s="1941">
        <v>-13972</v>
      </c>
    </row>
    <row r="27" spans="1:10" x14ac:dyDescent="0.2">
      <c r="A27" s="1068"/>
      <c r="B27" s="1939"/>
      <c r="C27" s="1939"/>
      <c r="D27" s="1939"/>
      <c r="E27" s="1939"/>
      <c r="F27" s="1939"/>
      <c r="G27" s="1939"/>
      <c r="H27" s="1939"/>
      <c r="J27" s="1941"/>
    </row>
    <row r="28" spans="1:10" x14ac:dyDescent="0.2">
      <c r="A28" s="1068">
        <v>11</v>
      </c>
      <c r="B28" s="1939">
        <v>30</v>
      </c>
      <c r="C28" s="1939"/>
      <c r="D28" s="1944" t="s">
        <v>2095</v>
      </c>
      <c r="E28" s="1939"/>
      <c r="F28" s="1939" t="s">
        <v>410</v>
      </c>
      <c r="G28" s="1939"/>
      <c r="H28" s="1939" t="s">
        <v>3</v>
      </c>
      <c r="J28" s="1941">
        <v>1</v>
      </c>
    </row>
    <row r="29" spans="1:10" x14ac:dyDescent="0.2">
      <c r="A29" s="1068"/>
    </row>
    <row r="30" spans="1:10" x14ac:dyDescent="0.2">
      <c r="A30" s="1068"/>
    </row>
    <row r="31" spans="1:10" x14ac:dyDescent="0.2">
      <c r="A31" s="1068"/>
    </row>
    <row r="32" spans="1:10"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row>
    <row r="66" spans="1:2" x14ac:dyDescent="0.2">
      <c r="A66" s="1068"/>
      <c r="B66" s="258" t="str">
        <f>COVER!A17</f>
        <v>St Libory Cons SD 30</v>
      </c>
    </row>
    <row r="67" spans="1:2" x14ac:dyDescent="0.2">
      <c r="B67" s="1069">
        <f>COVER!A13</f>
        <v>50082030003</v>
      </c>
    </row>
  </sheetData>
  <phoneticPr fontId="14" type="noConversion"/>
  <pageMargins left="0.7" right="0.2" top="1.17" bottom="0.75" header="0.19" footer="0.25"/>
  <pageSetup scale="78" firstPageNumber="32" orientation="portrait" useFirstPageNumber="1" r:id="rId1"/>
  <headerFooter scaleWithDoc="0">
    <oddHeader xml:space="preserve">&amp;C </oddHeader>
    <oddFooter>&amp;LSee notes to financial statements.&amp;C41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 right="0.7" top="0.75" bottom="0.75" header="0.3" footer="0.25"/>
  <pageSetup scale="73" firstPageNumber="5" fitToHeight="0" orientation="portrait" r:id="rId4"/>
  <headerFooter scaleWithDoc="0">
    <oddFooter>&amp;LSee notes to financial statements.&amp;C5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24" sqref="C2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40" t="s">
        <v>1685</v>
      </c>
      <c r="B18" s="234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1057275</xdr:colOff>
                <xdr:row>5</xdr:row>
                <xdr:rowOff>142875</xdr:rowOff>
              </from>
              <to>
                <xdr:col>1</xdr:col>
                <xdr:colOff>1971675</xdr:colOff>
                <xdr:row>10</xdr:row>
                <xdr:rowOff>19050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1987</v>
      </c>
      <c r="B2" s="2352"/>
      <c r="C2" s="2352"/>
      <c r="D2" s="2352"/>
      <c r="E2" s="2352"/>
      <c r="F2" s="2353"/>
      <c r="G2" s="1073"/>
      <c r="H2" s="1073"/>
    </row>
    <row r="3" spans="1:8" ht="57" customHeight="1" x14ac:dyDescent="0.2">
      <c r="A3" s="2354" t="s">
        <v>1686</v>
      </c>
      <c r="B3" s="2355"/>
      <c r="C3" s="2355"/>
      <c r="D3" s="2355"/>
      <c r="E3" s="2355"/>
      <c r="F3" s="2356"/>
      <c r="G3" s="1073"/>
      <c r="H3" s="1073"/>
    </row>
    <row r="4" spans="1:8" ht="14.25" customHeight="1" x14ac:dyDescent="0.2">
      <c r="A4" s="2360" t="s">
        <v>1988</v>
      </c>
      <c r="B4" s="2361"/>
      <c r="C4" s="2361"/>
      <c r="D4" s="2361"/>
      <c r="E4" s="2361"/>
      <c r="F4" s="2362"/>
      <c r="G4" s="1073"/>
      <c r="H4" s="1073"/>
    </row>
    <row r="5" spans="1:8" ht="14.25" customHeight="1" x14ac:dyDescent="0.2">
      <c r="A5" s="2363" t="s">
        <v>1984</v>
      </c>
      <c r="B5" s="2364"/>
      <c r="C5" s="2364"/>
      <c r="D5" s="2364"/>
      <c r="E5" s="2364"/>
      <c r="F5" s="2365"/>
      <c r="G5" s="1073"/>
      <c r="H5" s="1073"/>
    </row>
    <row r="6" spans="1:8" s="1074" customFormat="1" ht="41.25" customHeight="1" x14ac:dyDescent="0.2">
      <c r="A6" s="2357" t="s">
        <v>1691</v>
      </c>
      <c r="B6" s="2358"/>
      <c r="C6" s="2358"/>
      <c r="D6" s="2358"/>
      <c r="E6" s="2358"/>
      <c r="F6" s="2359"/>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708682</v>
      </c>
      <c r="C8" s="1814">
        <f>'Acct Summary 7-8'!D8</f>
        <v>47963</v>
      </c>
      <c r="D8" s="1814">
        <f>'Acct Summary 7-8'!F8</f>
        <v>77405</v>
      </c>
      <c r="E8" s="1814">
        <f>'Acct Summary 7-8'!I8</f>
        <v>6362</v>
      </c>
      <c r="F8" s="1814">
        <f>SUM(B8:E8)</f>
        <v>840412</v>
      </c>
    </row>
    <row r="9" spans="1:8" s="1078" customFormat="1" ht="14.25" customHeight="1" thickBot="1" x14ac:dyDescent="0.25">
      <c r="A9" s="1077" t="s">
        <v>1369</v>
      </c>
      <c r="B9" s="1815">
        <f>'Acct Summary 7-8'!C17</f>
        <v>601216</v>
      </c>
      <c r="C9" s="1815">
        <f>'Acct Summary 7-8'!D17</f>
        <v>50279</v>
      </c>
      <c r="D9" s="1815">
        <f>'Acct Summary 7-8'!F17</f>
        <v>77009</v>
      </c>
      <c r="E9" s="1814"/>
      <c r="F9" s="1814">
        <f>SUM(B9:E9)</f>
        <v>728504</v>
      </c>
    </row>
    <row r="10" spans="1:8" s="1078" customFormat="1" ht="14.25" thickTop="1" thickBot="1" x14ac:dyDescent="0.25">
      <c r="A10" s="1079" t="s">
        <v>1370</v>
      </c>
      <c r="B10" s="1816">
        <f>(B8-B9)</f>
        <v>107466</v>
      </c>
      <c r="C10" s="1816">
        <f>(C8-C9)</f>
        <v>-2316</v>
      </c>
      <c r="D10" s="1816">
        <f>(D8-D9)</f>
        <v>396</v>
      </c>
      <c r="E10" s="1815">
        <f>(E8-E9)</f>
        <v>6362</v>
      </c>
      <c r="F10" s="1817">
        <f>SUM(F8-F9)</f>
        <v>111908</v>
      </c>
    </row>
    <row r="11" spans="1:8" s="1078" customFormat="1" ht="14.25" thickTop="1" thickBot="1" x14ac:dyDescent="0.25">
      <c r="A11" s="1080" t="s">
        <v>1985</v>
      </c>
      <c r="B11" s="1818">
        <f>'Acct Summary 7-8'!C81</f>
        <v>312450</v>
      </c>
      <c r="C11" s="1818">
        <f>'Acct Summary 7-8'!D81</f>
        <v>60798</v>
      </c>
      <c r="D11" s="1818">
        <f>'Acct Summary 7-8'!F81</f>
        <v>27091</v>
      </c>
      <c r="E11" s="1818">
        <f>'Acct Summary 7-8'!I81</f>
        <v>14972</v>
      </c>
      <c r="F11" s="1819">
        <f>SUM(B11:E11)</f>
        <v>415311</v>
      </c>
    </row>
    <row r="12" spans="1:8" ht="16.5" customHeight="1" thickTop="1" x14ac:dyDescent="0.2">
      <c r="A12" s="1081"/>
      <c r="B12" s="1082"/>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3"/>
      <c r="B13" s="1084"/>
      <c r="C13" s="2345"/>
      <c r="D13" s="2346"/>
      <c r="E13" s="2346"/>
      <c r="F13" s="2347"/>
      <c r="H13" s="1073"/>
    </row>
    <row r="14" spans="1:8" ht="19.5" customHeight="1" x14ac:dyDescent="0.2">
      <c r="A14" s="1083"/>
      <c r="B14" s="1084"/>
      <c r="C14" s="2345"/>
      <c r="D14" s="2346"/>
      <c r="E14" s="2346"/>
      <c r="F14" s="2347"/>
      <c r="H14" s="1073"/>
    </row>
    <row r="15" spans="1:8" ht="17.25" customHeight="1" x14ac:dyDescent="0.2">
      <c r="A15" s="1083"/>
      <c r="B15" s="1084"/>
      <c r="C15" s="2348"/>
      <c r="D15" s="2349"/>
      <c r="E15" s="2349"/>
      <c r="F15" s="2350"/>
      <c r="H15" s="1073"/>
    </row>
    <row r="16" spans="1:8" s="310" customFormat="1" ht="51.75" hidden="1" customHeight="1" x14ac:dyDescent="0.2">
      <c r="A16" s="2344" t="s">
        <v>1687</v>
      </c>
      <c r="B16" s="2344"/>
      <c r="C16" s="2344"/>
      <c r="D16" s="2344"/>
      <c r="E16" s="2344"/>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25"/>
  <pageSetup firstPageNumber="19" fitToHeight="0" orientation="landscape" useFirstPageNumber="1" r:id="rId1"/>
  <headerFooter scaleWithDoc="0">
    <oddFooter>&amp;LSee notes to financial statements.&amp;C42</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4" colorId="8" zoomScale="110" zoomScaleNormal="110" workbookViewId="0">
      <selection activeCell="D82" sqref="D82"/>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6" t="s">
        <v>665</v>
      </c>
      <c r="B3" s="2367"/>
      <c r="C3" s="2367"/>
      <c r="D3" s="2368"/>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77" t="s">
        <v>1504</v>
      </c>
      <c r="D7" s="2378"/>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81" t="s">
        <v>314</v>
      </c>
      <c r="D21" s="2382"/>
    </row>
    <row r="22" spans="1:10" ht="12.75" x14ac:dyDescent="0.2">
      <c r="A22" s="1138"/>
      <c r="B22" s="1139">
        <v>2</v>
      </c>
      <c r="C22" s="2379" t="s">
        <v>1524</v>
      </c>
      <c r="D22" s="2380"/>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3" t="s">
        <v>536</v>
      </c>
      <c r="D43" s="2384"/>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5" t="s">
        <v>784</v>
      </c>
      <c r="D56" s="2376"/>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75" t="s">
        <v>1696</v>
      </c>
      <c r="D70" s="2376"/>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scaleWithDoc="0">
    <oddFooter>&amp;LSee notes to financial statements.&amp;C43</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50082030003</v>
      </c>
    </row>
    <row r="3" spans="1:2" x14ac:dyDescent="0.2">
      <c r="A3" t="s">
        <v>956</v>
      </c>
      <c r="B3" s="138" t="str">
        <f>COVER!A15</f>
        <v>ST. CLAIR</v>
      </c>
    </row>
    <row r="4" spans="1:2" x14ac:dyDescent="0.2">
      <c r="A4" t="s">
        <v>1007</v>
      </c>
      <c r="B4" s="138" t="str">
        <f>COVER!A17</f>
        <v>St Libory Cons SD 30</v>
      </c>
    </row>
    <row r="5" spans="1:2" x14ac:dyDescent="0.2">
      <c r="A5" t="s">
        <v>704</v>
      </c>
      <c r="B5" s="138" t="str">
        <f>COVER!A38</f>
        <v>THOMAS RUDE</v>
      </c>
    </row>
    <row r="6" spans="1:2" x14ac:dyDescent="0.2">
      <c r="A6" t="s">
        <v>709</v>
      </c>
      <c r="B6" s="138">
        <f>COVER!P35</f>
        <v>0</v>
      </c>
    </row>
    <row r="7" spans="1:2" x14ac:dyDescent="0.2">
      <c r="A7" t="s">
        <v>705</v>
      </c>
      <c r="B7" s="138">
        <f>COVER!I38</f>
        <v>0</v>
      </c>
    </row>
    <row r="8" spans="1:2" x14ac:dyDescent="0.2">
      <c r="A8" t="s">
        <v>706</v>
      </c>
      <c r="B8" s="138" t="str">
        <f>COVER!T38</f>
        <v>SUSAN SARFATY</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065-023476</v>
      </c>
    </row>
    <row r="16" spans="1:2" x14ac:dyDescent="0.2">
      <c r="A16" t="s">
        <v>422</v>
      </c>
      <c r="B16" s="138" t="str">
        <f>COVER!T13</f>
        <v>SCHEFFEL BOYLE</v>
      </c>
    </row>
    <row r="17" spans="1:2" x14ac:dyDescent="0.2">
      <c r="A17" t="s">
        <v>884</v>
      </c>
      <c r="B17" s="138" t="str">
        <f>COVER!T15</f>
        <v>BRIAN A. OTTEN, CPA</v>
      </c>
    </row>
    <row r="18" spans="1:2" x14ac:dyDescent="0.2">
      <c r="A18" t="s">
        <v>1150</v>
      </c>
      <c r="B18" s="138" t="str">
        <f>COVER!T17</f>
        <v>222 EAST MAIN STREET</v>
      </c>
    </row>
    <row r="19" spans="1:2" x14ac:dyDescent="0.2">
      <c r="A19" t="s">
        <v>886</v>
      </c>
      <c r="B19" s="138" t="str">
        <f>COVER!T25</f>
        <v>brian.otten@scheffelboyle.com</v>
      </c>
    </row>
    <row r="20" spans="1:2" x14ac:dyDescent="0.2">
      <c r="A20" t="s">
        <v>887</v>
      </c>
      <c r="B20" s="138" t="str">
        <f>COVER!T19</f>
        <v>BELLEVILLE</v>
      </c>
    </row>
    <row r="21" spans="1:2" x14ac:dyDescent="0.2">
      <c r="A21" t="s">
        <v>479</v>
      </c>
      <c r="B21" s="138" t="str">
        <f>COVER!X19</f>
        <v>IL</v>
      </c>
    </row>
    <row r="22" spans="1:2" x14ac:dyDescent="0.2">
      <c r="A22" t="s">
        <v>888</v>
      </c>
      <c r="B22" s="138">
        <f>COVER!Z19</f>
        <v>62220</v>
      </c>
    </row>
    <row r="23" spans="1:2" x14ac:dyDescent="0.2">
      <c r="A23" t="s">
        <v>1152</v>
      </c>
      <c r="B23" s="138" t="str">
        <f>COVER!T21</f>
        <v>618.277.8100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312450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299279</v>
      </c>
      <c r="D92" s="2" t="str">
        <f t="shared" si="0"/>
        <v>Error?</v>
      </c>
    </row>
    <row r="93" spans="1:4" x14ac:dyDescent="0.2">
      <c r="A93" s="5">
        <v>32</v>
      </c>
      <c r="B93" s="138">
        <f>'Assets-Liab 5-6'!C41</f>
        <v>312450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60798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60798</v>
      </c>
      <c r="D123" s="2" t="str">
        <f t="shared" si="0"/>
        <v>Error?</v>
      </c>
    </row>
    <row r="124" spans="1:4" x14ac:dyDescent="0.2">
      <c r="A124" s="5">
        <v>63</v>
      </c>
      <c r="B124" s="138">
        <f>'Assets-Liab 5-6'!D41</f>
        <v>60798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27091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18210</v>
      </c>
      <c r="D170" s="2" t="str">
        <f t="shared" si="1"/>
        <v>Error?</v>
      </c>
    </row>
    <row r="171" spans="1:4" x14ac:dyDescent="0.2">
      <c r="A171" s="5">
        <v>110</v>
      </c>
      <c r="B171" s="138">
        <f>'Assets-Liab 5-6'!F41</f>
        <v>27091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20589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20589</v>
      </c>
      <c r="D189" s="2" t="str">
        <f t="shared" si="1"/>
        <v>Error?</v>
      </c>
    </row>
    <row r="190" spans="1:4" x14ac:dyDescent="0.2">
      <c r="A190" s="5">
        <v>129</v>
      </c>
      <c r="B190" s="138">
        <f>'Assets-Liab 5-6'!G41</f>
        <v>20589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10002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10002</v>
      </c>
      <c r="D212" s="2" t="str">
        <f t="shared" si="2"/>
        <v>Error?</v>
      </c>
    </row>
    <row r="213" spans="1:4" x14ac:dyDescent="0.2">
      <c r="A213" s="12">
        <v>152</v>
      </c>
      <c r="B213" s="138">
        <f>'Assets-Liab 5-6'!H41</f>
        <v>10002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1793</v>
      </c>
      <c r="D273" s="2" t="str">
        <f t="shared" si="3"/>
        <v>Error?</v>
      </c>
    </row>
    <row r="274" spans="1:4" x14ac:dyDescent="0.2">
      <c r="A274" s="5">
        <v>213</v>
      </c>
      <c r="B274" s="138">
        <f>'Assets-Liab 5-6'!M17</f>
        <v>1140982</v>
      </c>
      <c r="D274" s="2" t="str">
        <f t="shared" si="3"/>
        <v>Error?</v>
      </c>
    </row>
    <row r="275" spans="1:4" x14ac:dyDescent="0.2">
      <c r="A275" s="5">
        <v>214</v>
      </c>
      <c r="B275" s="138">
        <f>'Assets-Liab 5-6'!M18</f>
        <v>24940</v>
      </c>
      <c r="D275" s="2" t="str">
        <f t="shared" si="3"/>
        <v>Error?</v>
      </c>
    </row>
    <row r="276" spans="1:4" x14ac:dyDescent="0.2">
      <c r="A276" s="5">
        <v>215</v>
      </c>
      <c r="B276" s="138">
        <f>'Assets-Liab 5-6'!M19</f>
        <v>248083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1415798</v>
      </c>
      <c r="C279" s="2" t="s">
        <v>573</v>
      </c>
      <c r="D279" s="2" t="str">
        <f t="shared" si="3"/>
        <v>Error?</v>
      </c>
    </row>
    <row r="280" spans="1:4" x14ac:dyDescent="0.2">
      <c r="A280" s="5">
        <v>219</v>
      </c>
      <c r="B280" s="138">
        <f>'Assets-Liab 5-6'!M40</f>
        <v>1415798</v>
      </c>
      <c r="D280" s="2" t="str">
        <f t="shared" si="3"/>
        <v>Error?</v>
      </c>
    </row>
    <row r="281" spans="1:4" x14ac:dyDescent="0.2">
      <c r="A281" s="5">
        <v>220</v>
      </c>
      <c r="B281" s="138">
        <f>'Assets-Liab 5-6'!M41</f>
        <v>1415798</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210017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6800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254752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41756</v>
      </c>
      <c r="D733" s="2" t="str">
        <f t="shared" si="10"/>
        <v>Error?</v>
      </c>
    </row>
    <row r="734" spans="1:4" x14ac:dyDescent="0.2">
      <c r="A734" s="5">
        <v>673</v>
      </c>
      <c r="B734" s="138">
        <f>'Expenditures 15-22'!C53</f>
        <v>41756</v>
      </c>
      <c r="C734" s="2" t="s">
        <v>573</v>
      </c>
      <c r="D734" s="2" t="str">
        <f t="shared" si="10"/>
        <v>Error?</v>
      </c>
    </row>
    <row r="735" spans="1:4" x14ac:dyDescent="0.2">
      <c r="A735" s="5">
        <v>674</v>
      </c>
      <c r="B735" s="138">
        <f>'Expenditures 15-22'!C55</f>
        <v>12249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12249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41150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7475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48625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102630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357382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51464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61525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5387</v>
      </c>
      <c r="D791" s="2" t="str">
        <f t="shared" si="11"/>
        <v>Error?</v>
      </c>
    </row>
    <row r="792" spans="1:4" x14ac:dyDescent="0.2">
      <c r="A792" s="5">
        <v>731</v>
      </c>
      <c r="B792" s="138">
        <f>'Expenditures 15-22'!D53</f>
        <v>5387</v>
      </c>
      <c r="C792" s="2" t="s">
        <v>573</v>
      </c>
      <c r="D792" s="2" t="str">
        <f t="shared" si="11"/>
        <v>Error?</v>
      </c>
    </row>
    <row r="793" spans="1:4" x14ac:dyDescent="0.2">
      <c r="A793" s="5">
        <v>732</v>
      </c>
      <c r="B793" s="138">
        <f>'Expenditures 15-22'!D55</f>
        <v>1580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1580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6967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68492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8414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9074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320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4116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4436</v>
      </c>
      <c r="C843" s="2" t="s">
        <v>573</v>
      </c>
      <c r="D843" s="2" t="str">
        <f t="shared" si="12"/>
        <v>Error?</v>
      </c>
    </row>
    <row r="844" spans="1:4" x14ac:dyDescent="0.2">
      <c r="A844" s="5">
        <v>783</v>
      </c>
      <c r="B844" s="138">
        <f>'Expenditures 15-22'!E44</f>
        <v>2630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2630</v>
      </c>
      <c r="C847" s="2" t="s">
        <v>573</v>
      </c>
      <c r="D847" s="2" t="str">
        <f t="shared" si="12"/>
        <v>Error?</v>
      </c>
    </row>
    <row r="848" spans="1:4" x14ac:dyDescent="0.2">
      <c r="A848" s="5">
        <v>787</v>
      </c>
      <c r="B848" s="138">
        <f>'Expenditures 15-22'!E49</f>
        <v>11769</v>
      </c>
      <c r="D848" s="2" t="str">
        <f t="shared" si="12"/>
        <v>Error?</v>
      </c>
    </row>
    <row r="849" spans="1:4" x14ac:dyDescent="0.2">
      <c r="A849" s="5">
        <v>788</v>
      </c>
      <c r="B849" s="138">
        <f>'Expenditures 15-22'!E50</f>
        <v>1704</v>
      </c>
      <c r="D849" s="2" t="str">
        <f t="shared" si="12"/>
        <v>Error?</v>
      </c>
    </row>
    <row r="850" spans="1:4" x14ac:dyDescent="0.2">
      <c r="A850" s="5">
        <v>789</v>
      </c>
      <c r="B850" s="138">
        <f>'Expenditures 15-22'!E53</f>
        <v>13473</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531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21070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30144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12258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12815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278</v>
      </c>
      <c r="D907" s="2" t="str">
        <f t="shared" si="13"/>
        <v>Error?</v>
      </c>
    </row>
    <row r="908" spans="1:4" x14ac:dyDescent="0.2">
      <c r="A908" s="5">
        <v>847</v>
      </c>
      <c r="B908" s="138">
        <f>'Expenditures 15-22'!F53</f>
        <v>278</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7418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7418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7696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20511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1025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1025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1025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2873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2873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1201</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1201</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1201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119588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123662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286051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6800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342064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320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4116</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4436</v>
      </c>
      <c r="C1115" s="2" t="s">
        <v>573</v>
      </c>
      <c r="D1115" s="2" t="str">
        <f t="shared" si="16"/>
        <v>Error?</v>
      </c>
    </row>
    <row r="1116" spans="1:4" x14ac:dyDescent="0.2">
      <c r="A1116" s="5">
        <v>1055</v>
      </c>
      <c r="B1116" s="138">
        <f>'Expenditures 15-22'!K44</f>
        <v>2630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2630</v>
      </c>
      <c r="C1119" s="2" t="s">
        <v>573</v>
      </c>
      <c r="D1119" s="2" t="str">
        <f t="shared" si="16"/>
        <v>Error?</v>
      </c>
    </row>
    <row r="1120" spans="1:4" x14ac:dyDescent="0.2">
      <c r="A1120" s="5">
        <v>1059</v>
      </c>
      <c r="B1120" s="138">
        <f>'Expenditures 15-22'!K49</f>
        <v>12970</v>
      </c>
      <c r="C1120" s="2" t="s">
        <v>573</v>
      </c>
      <c r="D1120" s="2" t="str">
        <f t="shared" si="16"/>
        <v>Error?</v>
      </c>
    </row>
    <row r="1121" spans="1:4" x14ac:dyDescent="0.2">
      <c r="A1121" s="5">
        <v>1060</v>
      </c>
      <c r="B1121" s="138">
        <f>'Expenditures 15-22'!K50</f>
        <v>49125</v>
      </c>
      <c r="C1121" s="2" t="s">
        <v>573</v>
      </c>
      <c r="D1121" s="2" t="str">
        <f t="shared" si="16"/>
        <v>Error?</v>
      </c>
    </row>
    <row r="1122" spans="1:4" x14ac:dyDescent="0.2">
      <c r="A1122" s="5">
        <v>1061</v>
      </c>
      <c r="B1122" s="138">
        <f>'Expenditures 15-22'!K53</f>
        <v>62095</v>
      </c>
      <c r="C1122" s="2" t="s">
        <v>573</v>
      </c>
      <c r="D1122" s="2" t="str">
        <f t="shared" si="16"/>
        <v>Error?</v>
      </c>
    </row>
    <row r="1123" spans="1:4" x14ac:dyDescent="0.2">
      <c r="A1123" s="5">
        <v>1062</v>
      </c>
      <c r="B1123" s="138">
        <f>'Expenditures 15-22'!K55</f>
        <v>13829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13829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41150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15424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56574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139564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119588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601216</v>
      </c>
      <c r="C1152" s="2" t="s">
        <v>573</v>
      </c>
      <c r="D1152" s="2" t="str">
        <f t="shared" si="17"/>
        <v>Error?</v>
      </c>
    </row>
    <row r="1153" spans="1:4" x14ac:dyDescent="0.2">
      <c r="A1153" s="5">
        <v>1092</v>
      </c>
      <c r="B1153" s="138">
        <f>'Expenditures 15-22'!K115</f>
        <v>107466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17109</v>
      </c>
      <c r="D1221" s="2" t="str">
        <f t="shared" si="18"/>
        <v>Error?</v>
      </c>
    </row>
    <row r="1222" spans="1:4" x14ac:dyDescent="0.2">
      <c r="A1222" s="10">
        <v>1161</v>
      </c>
      <c r="D1222" s="2" t="str">
        <f t="shared" si="18"/>
        <v>OK</v>
      </c>
    </row>
    <row r="1223" spans="1:4" x14ac:dyDescent="0.2">
      <c r="A1223" s="5">
        <v>1162</v>
      </c>
      <c r="B1223" s="138">
        <f>'Expenditures 15-22'!C127</f>
        <v>17109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17109</v>
      </c>
      <c r="C1225" s="2" t="s">
        <v>573</v>
      </c>
      <c r="D1225" s="2" t="str">
        <f t="shared" si="18"/>
        <v>Error?</v>
      </c>
    </row>
    <row r="1226" spans="1:4" x14ac:dyDescent="0.2">
      <c r="A1226" s="5">
        <v>1165</v>
      </c>
      <c r="B1226" s="138">
        <f>'Expenditures 15-22'!C151</f>
        <v>17109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20594</v>
      </c>
      <c r="D1237" s="2" t="str">
        <f t="shared" si="18"/>
        <v>Error?</v>
      </c>
    </row>
    <row r="1238" spans="1:4" x14ac:dyDescent="0.2">
      <c r="A1238" s="10">
        <v>1177</v>
      </c>
      <c r="D1238" s="2" t="str">
        <f t="shared" si="18"/>
        <v>OK</v>
      </c>
    </row>
    <row r="1239" spans="1:4" x14ac:dyDescent="0.2">
      <c r="A1239" s="5">
        <v>1178</v>
      </c>
      <c r="B1239" s="138">
        <f>'Expenditures 15-22'!E127</f>
        <v>20594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20594</v>
      </c>
      <c r="C1241" s="2" t="s">
        <v>573</v>
      </c>
      <c r="D1241" s="2" t="str">
        <f t="shared" si="18"/>
        <v>Error?</v>
      </c>
    </row>
    <row r="1242" spans="1:4" x14ac:dyDescent="0.2">
      <c r="A1242" s="5">
        <v>1181</v>
      </c>
      <c r="B1242" s="138">
        <f>'Expenditures 15-22'!E151</f>
        <v>20594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5176</v>
      </c>
      <c r="D1245" s="2" t="str">
        <f t="shared" si="18"/>
        <v>Error?</v>
      </c>
    </row>
    <row r="1246" spans="1:4" x14ac:dyDescent="0.2">
      <c r="A1246" s="10">
        <v>1185</v>
      </c>
      <c r="D1246" s="2" t="str">
        <f t="shared" si="18"/>
        <v>OK</v>
      </c>
    </row>
    <row r="1247" spans="1:4" x14ac:dyDescent="0.2">
      <c r="A1247" s="5">
        <v>1186</v>
      </c>
      <c r="B1247" s="138">
        <f>'Expenditures 15-22'!F127</f>
        <v>5176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5176</v>
      </c>
      <c r="C1249" s="2" t="s">
        <v>573</v>
      </c>
      <c r="D1249" s="2" t="str">
        <f t="shared" si="18"/>
        <v>Error?</v>
      </c>
    </row>
    <row r="1250" spans="1:4" x14ac:dyDescent="0.2">
      <c r="A1250" s="5">
        <v>1189</v>
      </c>
      <c r="B1250" s="138">
        <f>'Expenditures 15-22'!F151</f>
        <v>5176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7400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7400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7400</v>
      </c>
      <c r="C1258" s="2" t="s">
        <v>573</v>
      </c>
      <c r="D1258" s="2" t="str">
        <f t="shared" si="18"/>
        <v>Error?</v>
      </c>
    </row>
    <row r="1259" spans="1:4" x14ac:dyDescent="0.2">
      <c r="A1259" s="5">
        <v>1198</v>
      </c>
      <c r="B1259" s="138">
        <f>'Expenditures 15-22'!G151</f>
        <v>7400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50279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50279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50279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50279</v>
      </c>
      <c r="C1288" s="2" t="s">
        <v>573</v>
      </c>
      <c r="D1288" s="2" t="str">
        <f t="shared" si="19"/>
        <v>Error?</v>
      </c>
    </row>
    <row r="1289" spans="1:4" x14ac:dyDescent="0.2">
      <c r="A1289" s="5">
        <v>1228</v>
      </c>
      <c r="B1289" s="138">
        <f>'Expenditures 15-22'!K152</f>
        <v>-2316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12193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12193</v>
      </c>
      <c r="C1339" s="2" t="s">
        <v>573</v>
      </c>
      <c r="D1339" s="2" t="str">
        <f t="shared" si="19"/>
        <v>Error?</v>
      </c>
    </row>
    <row r="1340" spans="1:4" x14ac:dyDescent="0.2">
      <c r="A1340" s="5">
        <v>1279</v>
      </c>
      <c r="B1340" s="138">
        <f>'Expenditures 15-22'!C210</f>
        <v>12193</v>
      </c>
      <c r="C1340" s="2" t="s">
        <v>573</v>
      </c>
      <c r="D1340" s="2" t="str">
        <f t="shared" si="19"/>
        <v>Error?</v>
      </c>
    </row>
    <row r="1341" spans="1:4" x14ac:dyDescent="0.2">
      <c r="A1341" s="5">
        <v>1280</v>
      </c>
      <c r="B1341" s="138">
        <f>'Expenditures 15-22'!D182</f>
        <v>254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254</v>
      </c>
      <c r="C1345" s="2" t="s">
        <v>573</v>
      </c>
      <c r="D1345" s="2" t="str">
        <f t="shared" si="20"/>
        <v>Error?</v>
      </c>
    </row>
    <row r="1346" spans="1:4" x14ac:dyDescent="0.2">
      <c r="A1346" s="5">
        <v>1285</v>
      </c>
      <c r="B1346" s="138">
        <f>'Expenditures 15-22'!D210</f>
        <v>254</v>
      </c>
      <c r="C1346" s="2" t="s">
        <v>573</v>
      </c>
      <c r="D1346" s="2" t="str">
        <f t="shared" si="20"/>
        <v>Error?</v>
      </c>
    </row>
    <row r="1347" spans="1:4" x14ac:dyDescent="0.2">
      <c r="A1347" s="5">
        <v>1286</v>
      </c>
      <c r="B1347" s="138">
        <f>'Expenditures 15-22'!E182</f>
        <v>46119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46119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46119</v>
      </c>
      <c r="C1353" s="2" t="s">
        <v>573</v>
      </c>
      <c r="D1353" s="2" t="str">
        <f t="shared" si="20"/>
        <v>Error?</v>
      </c>
    </row>
    <row r="1354" spans="1:4" x14ac:dyDescent="0.2">
      <c r="A1354" s="5">
        <v>1293</v>
      </c>
      <c r="B1354" s="138">
        <f>'Expenditures 15-22'!F182</f>
        <v>4444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4444</v>
      </c>
      <c r="C1358" s="2" t="s">
        <v>573</v>
      </c>
      <c r="D1358" s="2" t="str">
        <f t="shared" si="20"/>
        <v>Error?</v>
      </c>
    </row>
    <row r="1359" spans="1:4" x14ac:dyDescent="0.2">
      <c r="A1359" s="5">
        <v>1298</v>
      </c>
      <c r="B1359" s="138">
        <f>'Expenditures 15-22'!F210</f>
        <v>4444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13999</v>
      </c>
      <c r="C1375" s="2" t="s">
        <v>573</v>
      </c>
      <c r="D1375" s="2" t="str">
        <f t="shared" si="20"/>
        <v>Error?</v>
      </c>
    </row>
    <row r="1376" spans="1:4" x14ac:dyDescent="0.2">
      <c r="A1376" s="5">
        <v>1315</v>
      </c>
      <c r="B1376" s="138">
        <f>'Expenditures 15-22'!H210</f>
        <v>13999</v>
      </c>
      <c r="C1376" s="2" t="s">
        <v>573</v>
      </c>
      <c r="D1376" s="2" t="str">
        <f t="shared" si="20"/>
        <v>Error?</v>
      </c>
    </row>
    <row r="1377" spans="1:4" x14ac:dyDescent="0.2">
      <c r="A1377" s="5">
        <v>1316</v>
      </c>
      <c r="B1377" s="138">
        <f>'Expenditures 15-22'!K182</f>
        <v>63010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63010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13999</v>
      </c>
      <c r="C1387" s="2" t="s">
        <v>573</v>
      </c>
      <c r="D1387" s="2" t="str">
        <f t="shared" si="20"/>
        <v>Error?</v>
      </c>
    </row>
    <row r="1388" spans="1:4" x14ac:dyDescent="0.2">
      <c r="A1388" s="5">
        <v>1327</v>
      </c>
      <c r="B1388" s="138">
        <f>'Expenditures 15-22'!K210</f>
        <v>77009</v>
      </c>
      <c r="C1388" s="2" t="s">
        <v>573</v>
      </c>
      <c r="D1388" s="2" t="str">
        <f t="shared" si="20"/>
        <v>Error?</v>
      </c>
    </row>
    <row r="1389" spans="1:4" x14ac:dyDescent="0.2">
      <c r="A1389" s="5">
        <v>1328</v>
      </c>
      <c r="B1389" s="138">
        <f>'Expenditures 15-22'!K211</f>
        <v>396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520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5145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605</v>
      </c>
      <c r="D1423" s="2" t="str">
        <f t="shared" si="21"/>
        <v>Error?</v>
      </c>
    </row>
    <row r="1424" spans="1:4" x14ac:dyDescent="0.2">
      <c r="A1424" s="5">
        <v>1363</v>
      </c>
      <c r="B1424" s="138">
        <f>'Expenditures 15-22'!D257</f>
        <v>2011</v>
      </c>
      <c r="C1424" s="2" t="s">
        <v>573</v>
      </c>
      <c r="D1424" s="2" t="str">
        <f t="shared" si="21"/>
        <v>Error?</v>
      </c>
    </row>
    <row r="1425" spans="1:4" x14ac:dyDescent="0.2">
      <c r="A1425" s="5">
        <v>1364</v>
      </c>
      <c r="B1425" s="138">
        <f>'Expenditures 15-22'!D259</f>
        <v>178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3691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1579</v>
      </c>
      <c r="D1431" s="2" t="str">
        <f t="shared" si="21"/>
        <v>Error?</v>
      </c>
    </row>
    <row r="1432" spans="1:4" x14ac:dyDescent="0.2">
      <c r="A1432" s="5">
        <v>1371</v>
      </c>
      <c r="B1432" s="138">
        <f>'Expenditures 15-22'!D267</f>
        <v>811</v>
      </c>
      <c r="D1432" s="2" t="str">
        <f t="shared" si="21"/>
        <v>Error?</v>
      </c>
    </row>
    <row r="1433" spans="1:4" x14ac:dyDescent="0.2">
      <c r="A1433" s="5">
        <v>1372</v>
      </c>
      <c r="B1433" s="138">
        <f>'Expenditures 15-22'!D268</f>
        <v>652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6733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8922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14067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520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5145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605</v>
      </c>
      <c r="C1487" s="2" t="s">
        <v>573</v>
      </c>
      <c r="D1487" s="2" t="str">
        <f t="shared" si="22"/>
        <v>Error?</v>
      </c>
    </row>
    <row r="1488" spans="1:4" x14ac:dyDescent="0.2">
      <c r="A1488" s="5">
        <v>1427</v>
      </c>
      <c r="B1488" s="138">
        <f>'Expenditures 15-22'!K257</f>
        <v>2011</v>
      </c>
      <c r="C1488" s="2" t="s">
        <v>573</v>
      </c>
      <c r="D1488" s="2" t="str">
        <f t="shared" si="22"/>
        <v>Error?</v>
      </c>
    </row>
    <row r="1489" spans="1:4" x14ac:dyDescent="0.2">
      <c r="A1489" s="5">
        <v>1428</v>
      </c>
      <c r="B1489" s="138">
        <f>'Expenditures 15-22'!K259</f>
        <v>178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178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3691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1579</v>
      </c>
      <c r="C1495" s="2" t="s">
        <v>573</v>
      </c>
      <c r="D1495" s="2" t="str">
        <f t="shared" si="22"/>
        <v>Error?</v>
      </c>
    </row>
    <row r="1496" spans="1:4" x14ac:dyDescent="0.2">
      <c r="A1496" s="5">
        <v>1435</v>
      </c>
      <c r="B1496" s="138">
        <f>'Expenditures 15-22'!K267</f>
        <v>811</v>
      </c>
      <c r="C1496" s="2" t="s">
        <v>573</v>
      </c>
      <c r="D1496" s="2" t="str">
        <f t="shared" si="22"/>
        <v>Error?</v>
      </c>
    </row>
    <row r="1497" spans="1:4" x14ac:dyDescent="0.2">
      <c r="A1497" s="5">
        <v>1436</v>
      </c>
      <c r="B1497" s="138">
        <f>'Expenditures 15-22'!K268</f>
        <v>652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6733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8922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14067</v>
      </c>
      <c r="C1517" s="2" t="s">
        <v>573</v>
      </c>
      <c r="D1517" s="2" t="str">
        <f t="shared" si="22"/>
        <v>Error?</v>
      </c>
    </row>
    <row r="1518" spans="1:4" x14ac:dyDescent="0.2">
      <c r="A1518" s="5">
        <v>1457</v>
      </c>
      <c r="B1518" s="138">
        <f>'Expenditures 15-22'!K296</f>
        <v>-5763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51364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51364</v>
      </c>
      <c r="C1547" s="2" t="s">
        <v>573</v>
      </c>
      <c r="D1547" s="2" t="str">
        <f t="shared" si="23"/>
        <v>Error?</v>
      </c>
    </row>
    <row r="1548" spans="1:4" x14ac:dyDescent="0.2">
      <c r="A1548" s="5">
        <v>1487</v>
      </c>
      <c r="B1548" s="138">
        <f>'Expenditures 15-22'!G312</f>
        <v>51364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127005</v>
      </c>
      <c r="C1554" s="2" t="s">
        <v>573</v>
      </c>
      <c r="D1554" s="2" t="str">
        <f t="shared" si="23"/>
        <v>Error?</v>
      </c>
    </row>
    <row r="1555" spans="1:4" x14ac:dyDescent="0.2">
      <c r="A1555" s="5">
        <v>1494</v>
      </c>
      <c r="B1555" s="138">
        <f>'Expenditures 15-22'!K301</f>
        <v>51364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51364</v>
      </c>
      <c r="C1559" s="2" t="s">
        <v>573</v>
      </c>
      <c r="D1559" s="2" t="str">
        <f t="shared" si="23"/>
        <v>Error?</v>
      </c>
    </row>
    <row r="1560" spans="1:4" x14ac:dyDescent="0.2">
      <c r="A1560" s="5">
        <v>1499</v>
      </c>
      <c r="B1560" s="138">
        <f>'Expenditures 15-22'!K312</f>
        <v>178369</v>
      </c>
      <c r="C1560" s="2" t="s">
        <v>573</v>
      </c>
      <c r="D1560" s="2" t="str">
        <f t="shared" si="23"/>
        <v>Error?</v>
      </c>
    </row>
    <row r="1561" spans="1:4" x14ac:dyDescent="0.2">
      <c r="A1561" s="5">
        <v>1500</v>
      </c>
      <c r="B1561" s="138">
        <f>'Expenditures 15-22'!K313</f>
        <v>-178352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204984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312450</v>
      </c>
      <c r="C1630" s="2" t="s">
        <v>573</v>
      </c>
      <c r="D1630" s="2" t="str">
        <f t="shared" si="24"/>
        <v>Error?</v>
      </c>
    </row>
    <row r="1631" spans="1:4" x14ac:dyDescent="0.2">
      <c r="A1631" s="5">
        <v>1570</v>
      </c>
      <c r="B1631" s="138">
        <f>'Acct Summary 7-8'!D79</f>
        <v>65588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60798</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26695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27091</v>
      </c>
      <c r="C1672" s="2" t="s">
        <v>573</v>
      </c>
      <c r="D1672" s="2" t="str">
        <f t="shared" si="25"/>
        <v>Error?</v>
      </c>
    </row>
    <row r="1673" spans="1:4" x14ac:dyDescent="0.2">
      <c r="A1673" s="5">
        <v>1612</v>
      </c>
      <c r="B1673" s="138">
        <f>'Acct Summary 7-8'!G79</f>
        <v>26352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20589</v>
      </c>
      <c r="C1686" s="2" t="s">
        <v>573</v>
      </c>
      <c r="D1686" s="2" t="str">
        <f t="shared" si="25"/>
        <v>Error?</v>
      </c>
    </row>
    <row r="1687" spans="1:4" x14ac:dyDescent="0.2">
      <c r="A1687" s="5">
        <v>1626</v>
      </c>
      <c r="B1687" s="138">
        <f>'Acct Summary 7-8'!H79</f>
        <v>185880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10002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308934</v>
      </c>
      <c r="C1744" s="2" t="s">
        <v>573</v>
      </c>
      <c r="D1744" s="2" t="str">
        <f t="shared" si="26"/>
        <v>Error?</v>
      </c>
    </row>
    <row r="1745" spans="1:5" x14ac:dyDescent="0.2">
      <c r="A1745" s="5">
        <v>1684</v>
      </c>
      <c r="B1745" s="138">
        <f>'Tax Sched 23'!B5</f>
        <v>47737</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15276</v>
      </c>
      <c r="C1747" s="2" t="s">
        <v>573</v>
      </c>
      <c r="D1747" s="2" t="str">
        <f t="shared" si="26"/>
        <v>Error?</v>
      </c>
    </row>
    <row r="1748" spans="1:5" x14ac:dyDescent="0.2">
      <c r="A1748" s="5">
        <v>1687</v>
      </c>
      <c r="B1748" s="138">
        <f>'Tax Sched 23'!B8</f>
        <v>7985</v>
      </c>
      <c r="C1748" s="2" t="s">
        <v>573</v>
      </c>
      <c r="D1748" s="2" t="str">
        <f t="shared" si="26"/>
        <v>Error?</v>
      </c>
    </row>
    <row r="1749" spans="1:5" x14ac:dyDescent="0.2">
      <c r="A1749" s="5">
        <v>1688</v>
      </c>
      <c r="B1749" s="138">
        <f>'Tax Sched 23'!B10</f>
        <v>6351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61520</v>
      </c>
      <c r="C1752" s="2" t="s">
        <v>573</v>
      </c>
      <c r="D1752" s="2" t="str">
        <f t="shared" si="26"/>
        <v>Error?</v>
      </c>
    </row>
    <row r="1753" spans="1:5" x14ac:dyDescent="0.2">
      <c r="A1753" s="5">
        <v>1692</v>
      </c>
      <c r="B1753" s="138">
        <f>'Tax Sched 23'!B12</f>
        <v>6061</v>
      </c>
      <c r="C1753" s="2" t="s">
        <v>573</v>
      </c>
      <c r="D1753" s="2" t="str">
        <f t="shared" si="26"/>
        <v>Error?</v>
      </c>
    </row>
    <row r="1754" spans="1:5" x14ac:dyDescent="0.2">
      <c r="A1754" s="5">
        <v>1693</v>
      </c>
      <c r="B1754" s="138">
        <f>'Tax Sched 23'!B14</f>
        <v>2543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459065</v>
      </c>
      <c r="C1759" s="2" t="s">
        <v>573</v>
      </c>
      <c r="D1759" s="2" t="str">
        <f t="shared" si="26"/>
        <v>Error?</v>
      </c>
    </row>
    <row r="1760" spans="1:5" x14ac:dyDescent="0.2">
      <c r="A1760" s="5">
        <v>1699</v>
      </c>
      <c r="B1760" s="138">
        <f>'Tax Sched 23'!D4</f>
        <v>227533</v>
      </c>
      <c r="C1760" s="2" t="s">
        <v>573</v>
      </c>
      <c r="D1760" s="2" t="str">
        <f t="shared" si="26"/>
        <v>Error?</v>
      </c>
    </row>
    <row r="1761" spans="1:5" x14ac:dyDescent="0.2">
      <c r="A1761" s="5">
        <v>1700</v>
      </c>
      <c r="B1761" s="138">
        <f>'Tax Sched 23'!D5</f>
        <v>35127</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11241</v>
      </c>
      <c r="C1763" s="2" t="s">
        <v>573</v>
      </c>
      <c r="D1763" s="2" t="str">
        <f t="shared" si="26"/>
        <v>Error?</v>
      </c>
    </row>
    <row r="1764" spans="1:5" x14ac:dyDescent="0.2">
      <c r="A1764" s="5">
        <v>1703</v>
      </c>
      <c r="B1764" s="138">
        <f>'Tax Sched 23'!D8</f>
        <v>4394</v>
      </c>
      <c r="C1764" s="2" t="s">
        <v>573</v>
      </c>
      <c r="D1764" s="2" t="str">
        <f t="shared" si="26"/>
        <v>Error?</v>
      </c>
    </row>
    <row r="1765" spans="1:5" x14ac:dyDescent="0.2">
      <c r="A1765" s="5">
        <v>1704</v>
      </c>
      <c r="B1765" s="138">
        <f>'Tax Sched 23'!D10</f>
        <v>4683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45366</v>
      </c>
      <c r="C1768" s="2" t="s">
        <v>573</v>
      </c>
      <c r="D1768" s="2" t="str">
        <f t="shared" si="26"/>
        <v>Error?</v>
      </c>
    </row>
    <row r="1769" spans="1:5" x14ac:dyDescent="0.2">
      <c r="A1769" s="5">
        <v>1708</v>
      </c>
      <c r="B1769" s="138">
        <f>'Tax Sched 23'!D12</f>
        <v>4393</v>
      </c>
      <c r="C1769" s="2" t="s">
        <v>573</v>
      </c>
      <c r="D1769" s="2" t="str">
        <f t="shared" si="26"/>
        <v>Error?</v>
      </c>
    </row>
    <row r="1770" spans="1:5" x14ac:dyDescent="0.2">
      <c r="A1770" s="5">
        <v>1709</v>
      </c>
      <c r="B1770" s="138">
        <f>'Tax Sched 23'!D14</f>
        <v>1874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335857</v>
      </c>
      <c r="C1775" s="2" t="s">
        <v>573</v>
      </c>
      <c r="D1775" s="2" t="str">
        <f t="shared" si="26"/>
        <v>Error?</v>
      </c>
    </row>
    <row r="1776" spans="1:5" x14ac:dyDescent="0.2">
      <c r="A1776" s="5">
        <v>1715</v>
      </c>
      <c r="B1776" s="138">
        <f>'Tax Sched 23'!C4</f>
        <v>81401</v>
      </c>
      <c r="D1776" s="2" t="str">
        <f t="shared" si="26"/>
        <v>Error?</v>
      </c>
    </row>
    <row r="1777" spans="1:4" x14ac:dyDescent="0.2">
      <c r="A1777" s="5">
        <v>1716</v>
      </c>
      <c r="B1777" s="138">
        <f>'Tax Sched 23'!C5</f>
        <v>12610</v>
      </c>
      <c r="D1777" s="2" t="str">
        <f t="shared" si="26"/>
        <v>Error?</v>
      </c>
    </row>
    <row r="1778" spans="1:4" x14ac:dyDescent="0.2">
      <c r="A1778" s="5">
        <v>1717</v>
      </c>
      <c r="B1778" s="138">
        <f>'Tax Sched 23'!C6</f>
        <v>0</v>
      </c>
      <c r="D1778" s="2" t="str">
        <f t="shared" si="26"/>
        <v>Error?</v>
      </c>
    </row>
    <row r="1779" spans="1:4" x14ac:dyDescent="0.2">
      <c r="A1779" s="5">
        <v>1718</v>
      </c>
      <c r="B1779" s="138">
        <f>'Tax Sched 23'!C7</f>
        <v>4035</v>
      </c>
      <c r="D1779" s="2" t="str">
        <f t="shared" si="26"/>
        <v>Error?</v>
      </c>
    </row>
    <row r="1780" spans="1:4" x14ac:dyDescent="0.2">
      <c r="A1780" s="5">
        <v>1719</v>
      </c>
      <c r="B1780" s="138">
        <f>'Tax Sched 23'!C8</f>
        <v>3591</v>
      </c>
      <c r="D1780" s="2" t="str">
        <f t="shared" si="26"/>
        <v>Error?</v>
      </c>
    </row>
    <row r="1781" spans="1:4" x14ac:dyDescent="0.2">
      <c r="A1781" s="5">
        <v>1720</v>
      </c>
      <c r="B1781" s="138">
        <f>'Tax Sched 23'!C10</f>
        <v>1668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16154</v>
      </c>
      <c r="D1784" s="2" t="str">
        <f t="shared" si="26"/>
        <v>Error?</v>
      </c>
    </row>
    <row r="1785" spans="1:4" x14ac:dyDescent="0.2">
      <c r="A1785" s="5">
        <v>1724</v>
      </c>
      <c r="B1785" s="138">
        <f>'Tax Sched 23'!C12</f>
        <v>1668</v>
      </c>
      <c r="D1785" s="2" t="str">
        <f t="shared" si="26"/>
        <v>Error?</v>
      </c>
    </row>
    <row r="1786" spans="1:4" x14ac:dyDescent="0.2">
      <c r="A1786" s="5">
        <v>1725</v>
      </c>
      <c r="B1786" s="138">
        <f>'Tax Sched 23'!C14</f>
        <v>669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123208</v>
      </c>
      <c r="C1791" s="2" t="s">
        <v>573</v>
      </c>
      <c r="D1791" s="2" t="str">
        <f t="shared" ref="D1791:D1854" si="27">IF(ISBLANK(B1791),"OK",IF(A1791-B1791=0,"OK","Error?"))</f>
        <v>Error?</v>
      </c>
    </row>
    <row r="1792" spans="1:4" x14ac:dyDescent="0.2">
      <c r="A1792" s="5">
        <v>1731</v>
      </c>
      <c r="B1792" s="138">
        <f>'Tax Sched 23'!F4</f>
        <v>236101</v>
      </c>
      <c r="C1792" s="2" t="s">
        <v>573</v>
      </c>
      <c r="D1792" s="2" t="str">
        <f t="shared" si="27"/>
        <v>Error?</v>
      </c>
    </row>
    <row r="1793" spans="1:4" x14ac:dyDescent="0.2">
      <c r="A1793" s="5">
        <v>1732</v>
      </c>
      <c r="B1793" s="138">
        <f>'Tax Sched 23'!F5</f>
        <v>36573</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11704</v>
      </c>
      <c r="C1795" s="2" t="s">
        <v>573</v>
      </c>
      <c r="D1795" s="2" t="str">
        <f t="shared" si="27"/>
        <v>Error?</v>
      </c>
    </row>
    <row r="1796" spans="1:4" x14ac:dyDescent="0.2">
      <c r="A1796" s="5">
        <v>1735</v>
      </c>
      <c r="B1796" s="138">
        <f>'Tax Sched 23'!F8</f>
        <v>10416</v>
      </c>
      <c r="C1796" s="2" t="s">
        <v>573</v>
      </c>
      <c r="D1796" s="2" t="str">
        <f t="shared" si="27"/>
        <v>Error?</v>
      </c>
    </row>
    <row r="1797" spans="1:4" x14ac:dyDescent="0.2">
      <c r="A1797" s="5">
        <v>1736</v>
      </c>
      <c r="B1797" s="138">
        <f>'Tax Sched 23'!F10</f>
        <v>4837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46853</v>
      </c>
      <c r="C1800" s="2" t="s">
        <v>573</v>
      </c>
      <c r="D1800" s="2" t="str">
        <f t="shared" si="27"/>
        <v>Error?</v>
      </c>
    </row>
    <row r="1801" spans="1:4" x14ac:dyDescent="0.2">
      <c r="A1801" s="5">
        <v>1740</v>
      </c>
      <c r="B1801" s="138">
        <f>'Tax Sched 23'!F12</f>
        <v>4837</v>
      </c>
      <c r="C1801" s="2" t="s">
        <v>573</v>
      </c>
      <c r="D1801" s="2" t="str">
        <f t="shared" si="27"/>
        <v>Error?</v>
      </c>
    </row>
    <row r="1802" spans="1:4" x14ac:dyDescent="0.2">
      <c r="A1802" s="5">
        <v>1741</v>
      </c>
      <c r="B1802" s="138">
        <f>'Tax Sched 23'!F14</f>
        <v>1941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357359</v>
      </c>
      <c r="C1807" s="2" t="s">
        <v>573</v>
      </c>
      <c r="D1807" s="2" t="str">
        <f t="shared" si="27"/>
        <v>Error?</v>
      </c>
    </row>
    <row r="1808" spans="1:4" x14ac:dyDescent="0.2">
      <c r="A1808" s="5">
        <v>1747</v>
      </c>
      <c r="B1808" s="138">
        <f>'Tax Sched 23'!E4</f>
        <v>317502</v>
      </c>
      <c r="D1808" s="2" t="str">
        <f t="shared" si="27"/>
        <v>Error?</v>
      </c>
    </row>
    <row r="1809" spans="1:4" x14ac:dyDescent="0.2">
      <c r="A1809" s="5">
        <v>1748</v>
      </c>
      <c r="B1809" s="138">
        <f>'Tax Sched 23'!E5</f>
        <v>49183</v>
      </c>
      <c r="D1809" s="2" t="str">
        <f t="shared" si="27"/>
        <v>Error?</v>
      </c>
    </row>
    <row r="1810" spans="1:4" x14ac:dyDescent="0.2">
      <c r="A1810" s="5">
        <v>1749</v>
      </c>
      <c r="B1810" s="138">
        <f>'Tax Sched 23'!E6</f>
        <v>0</v>
      </c>
      <c r="D1810" s="2" t="str">
        <f t="shared" si="27"/>
        <v>Error?</v>
      </c>
    </row>
    <row r="1811" spans="1:4" x14ac:dyDescent="0.2">
      <c r="A1811" s="5">
        <v>1750</v>
      </c>
      <c r="B1811" s="138">
        <f>'Tax Sched 23'!E7</f>
        <v>15739</v>
      </c>
      <c r="D1811" s="2" t="str">
        <f t="shared" si="27"/>
        <v>Error?</v>
      </c>
    </row>
    <row r="1812" spans="1:4" x14ac:dyDescent="0.2">
      <c r="A1812" s="5">
        <v>1751</v>
      </c>
      <c r="B1812" s="138">
        <f>'Tax Sched 23'!E8</f>
        <v>14007</v>
      </c>
      <c r="D1812" s="2" t="str">
        <f t="shared" si="27"/>
        <v>Error?</v>
      </c>
    </row>
    <row r="1813" spans="1:4" x14ac:dyDescent="0.2">
      <c r="A1813" s="5">
        <v>1752</v>
      </c>
      <c r="B1813" s="138">
        <f>'Tax Sched 23'!E10</f>
        <v>6505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63007</v>
      </c>
      <c r="D1816" s="2" t="str">
        <f t="shared" si="27"/>
        <v>Error?</v>
      </c>
    </row>
    <row r="1817" spans="1:4" x14ac:dyDescent="0.2">
      <c r="A1817" s="5">
        <v>1756</v>
      </c>
      <c r="B1817" s="138">
        <f>'Tax Sched 23'!E12</f>
        <v>6505</v>
      </c>
      <c r="D1817" s="2" t="str">
        <f t="shared" si="27"/>
        <v>Error?</v>
      </c>
    </row>
    <row r="1818" spans="1:4" x14ac:dyDescent="0.2">
      <c r="A1818" s="5">
        <v>1757</v>
      </c>
      <c r="B1818" s="138">
        <f>'Tax Sched 23'!E14</f>
        <v>2610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480567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13972</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2543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1</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2544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2544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1793</v>
      </c>
      <c r="D2008" s="2" t="str">
        <f t="shared" si="30"/>
        <v>Error?</v>
      </c>
    </row>
    <row r="2009" spans="1:4" x14ac:dyDescent="0.2">
      <c r="A2009" s="5">
        <v>1948</v>
      </c>
      <c r="B2009" s="138">
        <f>'Cap Outlay Deprec 26'!C8</f>
        <v>1086618</v>
      </c>
      <c r="D2009" s="2" t="str">
        <f t="shared" si="30"/>
        <v>Error?</v>
      </c>
    </row>
    <row r="2010" spans="1:4" x14ac:dyDescent="0.2">
      <c r="A2010" s="5">
        <v>1949</v>
      </c>
      <c r="B2010" s="138">
        <f>'Cap Outlay Deprec 26'!C10</f>
        <v>17540</v>
      </c>
      <c r="D2010" s="2" t="str">
        <f t="shared" si="30"/>
        <v>Error?</v>
      </c>
    </row>
    <row r="2011" spans="1:4" x14ac:dyDescent="0.2">
      <c r="A2011" s="5">
        <v>1950</v>
      </c>
      <c r="B2011" s="138">
        <f>'Cap Outlay Deprec 26'!C12</f>
        <v>225471</v>
      </c>
      <c r="D2011" s="2" t="str">
        <f t="shared" si="30"/>
        <v>Error?</v>
      </c>
    </row>
    <row r="2012" spans="1:4" x14ac:dyDescent="0.2">
      <c r="A2012" s="5">
        <v>1951</v>
      </c>
      <c r="B2012" s="138">
        <f>'Cap Outlay Deprec 26'!C13</f>
        <v>21587</v>
      </c>
      <c r="D2012" s="2" t="str">
        <f t="shared" si="30"/>
        <v>Error?</v>
      </c>
    </row>
    <row r="2013" spans="1:4" x14ac:dyDescent="0.2">
      <c r="A2013" s="5">
        <v>1952</v>
      </c>
      <c r="B2013" s="138">
        <f>'Cap Outlay Deprec 26'!C16</f>
        <v>1356009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54364</v>
      </c>
      <c r="D2015" s="2" t="str">
        <f t="shared" si="30"/>
        <v>Error?</v>
      </c>
    </row>
    <row r="2016" spans="1:4" x14ac:dyDescent="0.2">
      <c r="A2016" s="5">
        <v>1955</v>
      </c>
      <c r="B2016" s="138">
        <f>'Cap Outlay Deprec 26'!D10</f>
        <v>7400</v>
      </c>
      <c r="D2016" s="2" t="str">
        <f t="shared" si="30"/>
        <v>Error?</v>
      </c>
    </row>
    <row r="2017" spans="1:4" x14ac:dyDescent="0.2">
      <c r="A2017" s="5">
        <v>1956</v>
      </c>
      <c r="B2017" s="138">
        <f>'Cap Outlay Deprec 26'!D12</f>
        <v>1025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114153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54364</v>
      </c>
      <c r="C2025" s="2" t="s">
        <v>573</v>
      </c>
      <c r="D2025" s="2" t="str">
        <f t="shared" si="30"/>
        <v>Error?</v>
      </c>
    </row>
    <row r="2026" spans="1:4" x14ac:dyDescent="0.2">
      <c r="A2026" s="5">
        <v>1965</v>
      </c>
      <c r="B2026" s="138">
        <f>'Cap Outlay Deprec 26'!F5</f>
        <v>1793</v>
      </c>
      <c r="C2026" s="2" t="s">
        <v>573</v>
      </c>
      <c r="D2026" s="2" t="str">
        <f t="shared" si="30"/>
        <v>Error?</v>
      </c>
    </row>
    <row r="2027" spans="1:4" x14ac:dyDescent="0.2">
      <c r="A2027" s="5">
        <v>1966</v>
      </c>
      <c r="B2027" s="138">
        <f>'Cap Outlay Deprec 26'!F8</f>
        <v>1140982</v>
      </c>
      <c r="C2027" s="2" t="s">
        <v>573</v>
      </c>
      <c r="D2027" s="2" t="str">
        <f t="shared" si="30"/>
        <v>Error?</v>
      </c>
    </row>
    <row r="2028" spans="1:4" x14ac:dyDescent="0.2">
      <c r="A2028" s="5">
        <v>1967</v>
      </c>
      <c r="B2028" s="138">
        <f>'Cap Outlay Deprec 26'!F10</f>
        <v>24940</v>
      </c>
      <c r="C2028" s="2" t="s">
        <v>573</v>
      </c>
      <c r="D2028" s="2" t="str">
        <f t="shared" si="30"/>
        <v>Error?</v>
      </c>
    </row>
    <row r="2029" spans="1:4" x14ac:dyDescent="0.2">
      <c r="A2029" s="5">
        <v>1968</v>
      </c>
      <c r="B2029" s="138">
        <f>'Cap Outlay Deprec 26'!F12</f>
        <v>226496</v>
      </c>
      <c r="C2029" s="2" t="s">
        <v>573</v>
      </c>
      <c r="D2029" s="2" t="str">
        <f t="shared" si="30"/>
        <v>Error?</v>
      </c>
    </row>
    <row r="2030" spans="1:4" x14ac:dyDescent="0.2">
      <c r="A2030" s="5">
        <v>1969</v>
      </c>
      <c r="B2030" s="138">
        <f>'Cap Outlay Deprec 26'!F13</f>
        <v>21587</v>
      </c>
      <c r="C2030" s="2" t="s">
        <v>573</v>
      </c>
      <c r="D2030" s="2" t="str">
        <f t="shared" si="30"/>
        <v>Error?</v>
      </c>
    </row>
    <row r="2031" spans="1:4" x14ac:dyDescent="0.2">
      <c r="A2031" s="5">
        <v>1970</v>
      </c>
      <c r="B2031" s="138">
        <f>'Cap Outlay Deprec 26'!F16</f>
        <v>1415798</v>
      </c>
      <c r="C2031" s="2" t="s">
        <v>573</v>
      </c>
      <c r="D2031" s="2" t="str">
        <f t="shared" si="30"/>
        <v>Error?</v>
      </c>
    </row>
    <row r="2032" spans="1:4" x14ac:dyDescent="0.2">
      <c r="A2032" s="10">
        <v>1971</v>
      </c>
      <c r="D2032" s="2" t="str">
        <f t="shared" si="30"/>
        <v>OK</v>
      </c>
    </row>
    <row r="2033" spans="1:4" x14ac:dyDescent="0.2">
      <c r="A2033" s="5">
        <v>1972</v>
      </c>
      <c r="B2033" s="138">
        <f>'Cap Outlay Deprec 26'!H8</f>
        <v>708216</v>
      </c>
      <c r="D2033" s="2" t="str">
        <f t="shared" si="30"/>
        <v>Error?</v>
      </c>
    </row>
    <row r="2034" spans="1:4" x14ac:dyDescent="0.2">
      <c r="A2034" s="5">
        <v>1973</v>
      </c>
      <c r="B2034" s="138">
        <f>'Cap Outlay Deprec 26'!H10</f>
        <v>17540</v>
      </c>
      <c r="D2034" s="2" t="str">
        <f t="shared" si="30"/>
        <v>Error?</v>
      </c>
    </row>
    <row r="2035" spans="1:4" x14ac:dyDescent="0.2">
      <c r="A2035" s="5">
        <v>1974</v>
      </c>
      <c r="B2035" s="138">
        <f>'Cap Outlay Deprec 26'!H12</f>
        <v>214184</v>
      </c>
      <c r="D2035" s="2" t="str">
        <f t="shared" si="30"/>
        <v>Error?</v>
      </c>
    </row>
    <row r="2036" spans="1:4" x14ac:dyDescent="0.2">
      <c r="A2036" s="5">
        <v>1975</v>
      </c>
      <c r="B2036" s="138">
        <f>'Cap Outlay Deprec 26'!H13</f>
        <v>4317</v>
      </c>
      <c r="D2036" s="2" t="str">
        <f t="shared" si="30"/>
        <v>Error?</v>
      </c>
    </row>
    <row r="2037" spans="1:4" x14ac:dyDescent="0.2">
      <c r="A2037" s="5">
        <v>1976</v>
      </c>
      <c r="B2037" s="138">
        <f>'Cap Outlay Deprec 26'!H16</f>
        <v>944257</v>
      </c>
      <c r="C2037" s="2" t="s">
        <v>573</v>
      </c>
      <c r="D2037" s="2" t="str">
        <f t="shared" si="30"/>
        <v>Error?</v>
      </c>
    </row>
    <row r="2038" spans="1:4" x14ac:dyDescent="0.2">
      <c r="A2038" s="10">
        <v>1977</v>
      </c>
      <c r="D2038" s="2" t="str">
        <f t="shared" si="30"/>
        <v>OK</v>
      </c>
    </row>
    <row r="2039" spans="1:4" x14ac:dyDescent="0.2">
      <c r="A2039" s="5">
        <v>1978</v>
      </c>
      <c r="B2039" s="138">
        <f>'Cap Outlay Deprec 26'!I8</f>
        <v>33360</v>
      </c>
      <c r="D2039" s="2" t="str">
        <f t="shared" si="30"/>
        <v>Error?</v>
      </c>
    </row>
    <row r="2040" spans="1:4" x14ac:dyDescent="0.2">
      <c r="A2040" s="5">
        <v>1979</v>
      </c>
      <c r="B2040" s="138">
        <f>'Cap Outlay Deprec 26'!I10</f>
        <v>185</v>
      </c>
      <c r="D2040" s="2" t="str">
        <f t="shared" si="30"/>
        <v>Error?</v>
      </c>
    </row>
    <row r="2041" spans="1:4" x14ac:dyDescent="0.2">
      <c r="A2041" s="5">
        <v>1980</v>
      </c>
      <c r="B2041" s="138">
        <f>'Cap Outlay Deprec 26'!I12</f>
        <v>1489</v>
      </c>
      <c r="D2041" s="2" t="str">
        <f t="shared" si="30"/>
        <v>Error?</v>
      </c>
    </row>
    <row r="2042" spans="1:4" x14ac:dyDescent="0.2">
      <c r="A2042" s="5">
        <v>1981</v>
      </c>
      <c r="B2042" s="138">
        <f>'Cap Outlay Deprec 26'!I13</f>
        <v>4318</v>
      </c>
      <c r="D2042" s="2" t="str">
        <f t="shared" si="30"/>
        <v>Error?</v>
      </c>
    </row>
    <row r="2043" spans="1:4" x14ac:dyDescent="0.2">
      <c r="A2043" s="5">
        <v>1982</v>
      </c>
      <c r="B2043" s="138">
        <f>'Cap Outlay Deprec 26'!I16</f>
        <v>39352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741576</v>
      </c>
      <c r="C2051" s="2" t="s">
        <v>573</v>
      </c>
      <c r="D2051" s="2" t="str">
        <f t="shared" si="31"/>
        <v>Error?</v>
      </c>
    </row>
    <row r="2052" spans="1:4" x14ac:dyDescent="0.2">
      <c r="A2052" s="5">
        <v>1991</v>
      </c>
      <c r="B2052" s="138">
        <f>'Cap Outlay Deprec 26'!K10</f>
        <v>17725</v>
      </c>
      <c r="C2052" s="2" t="s">
        <v>573</v>
      </c>
      <c r="D2052" s="2" t="str">
        <f t="shared" si="31"/>
        <v>Error?</v>
      </c>
    </row>
    <row r="2053" spans="1:4" x14ac:dyDescent="0.2">
      <c r="A2053" s="5">
        <v>1992</v>
      </c>
      <c r="B2053" s="138">
        <f>'Cap Outlay Deprec 26'!K12</f>
        <v>215673</v>
      </c>
      <c r="C2053" s="2" t="s">
        <v>573</v>
      </c>
      <c r="D2053" s="2" t="str">
        <f t="shared" si="31"/>
        <v>Error?</v>
      </c>
    </row>
    <row r="2054" spans="1:4" x14ac:dyDescent="0.2">
      <c r="A2054" s="5">
        <v>1993</v>
      </c>
      <c r="B2054" s="138">
        <f>'Cap Outlay Deprec 26'!K13</f>
        <v>8635</v>
      </c>
      <c r="C2054" s="2" t="s">
        <v>573</v>
      </c>
      <c r="D2054" s="2" t="str">
        <f t="shared" si="31"/>
        <v>Error?</v>
      </c>
    </row>
    <row r="2055" spans="1:4" x14ac:dyDescent="0.2">
      <c r="A2055" s="5">
        <v>1994</v>
      </c>
      <c r="B2055" s="138">
        <f>'Cap Outlay Deprec 26'!K16</f>
        <v>983609</v>
      </c>
      <c r="C2055" s="2" t="s">
        <v>573</v>
      </c>
      <c r="D2055" s="2" t="str">
        <f t="shared" si="31"/>
        <v>Error?</v>
      </c>
    </row>
    <row r="2056" spans="1:4" x14ac:dyDescent="0.2">
      <c r="A2056" s="5">
        <v>1995</v>
      </c>
      <c r="B2056" s="138">
        <f>'Cap Outlay Deprec 26'!L5</f>
        <v>1793</v>
      </c>
      <c r="C2056" s="2" t="s">
        <v>573</v>
      </c>
      <c r="D2056" s="2" t="str">
        <f t="shared" si="31"/>
        <v>Error?</v>
      </c>
    </row>
    <row r="2057" spans="1:4" x14ac:dyDescent="0.2">
      <c r="A2057" s="5">
        <v>1996</v>
      </c>
      <c r="B2057" s="138">
        <f>'Cap Outlay Deprec 26'!L8</f>
        <v>399406</v>
      </c>
      <c r="C2057" s="2" t="s">
        <v>573</v>
      </c>
      <c r="D2057" s="2" t="str">
        <f t="shared" si="31"/>
        <v>Error?</v>
      </c>
    </row>
    <row r="2058" spans="1:4" x14ac:dyDescent="0.2">
      <c r="A2058" s="5">
        <v>1997</v>
      </c>
      <c r="B2058" s="138">
        <f>'Cap Outlay Deprec 26'!L10</f>
        <v>7215</v>
      </c>
      <c r="C2058" s="2" t="s">
        <v>573</v>
      </c>
      <c r="D2058" s="2" t="str">
        <f t="shared" si="31"/>
        <v>Error?</v>
      </c>
    </row>
    <row r="2059" spans="1:4" x14ac:dyDescent="0.2">
      <c r="A2059" s="5">
        <v>1998</v>
      </c>
      <c r="B2059" s="138">
        <f>'Cap Outlay Deprec 26'!L12</f>
        <v>10823</v>
      </c>
      <c r="C2059" s="2" t="s">
        <v>573</v>
      </c>
      <c r="D2059" s="2" t="str">
        <f t="shared" si="31"/>
        <v>Error?</v>
      </c>
    </row>
    <row r="2060" spans="1:4" x14ac:dyDescent="0.2">
      <c r="A2060" s="5">
        <v>1999</v>
      </c>
      <c r="B2060" s="138">
        <f>'Cap Outlay Deprec 26'!L13</f>
        <v>12952</v>
      </c>
      <c r="C2060" s="2" t="s">
        <v>573</v>
      </c>
      <c r="D2060" s="2" t="str">
        <f t="shared" si="31"/>
        <v>Error?</v>
      </c>
    </row>
    <row r="2061" spans="1:4" x14ac:dyDescent="0.2">
      <c r="A2061" s="5">
        <v>2000</v>
      </c>
      <c r="B2061" s="138">
        <f>'Cap Outlay Deprec 26'!L16</f>
        <v>432189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2321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2321</v>
      </c>
      <c r="C2088" s="2" t="s">
        <v>573</v>
      </c>
      <c r="D2088" s="2" t="str">
        <f t="shared" si="31"/>
        <v>Error?</v>
      </c>
    </row>
    <row r="2089" spans="1:4" x14ac:dyDescent="0.2">
      <c r="A2089" s="5">
        <v>2028</v>
      </c>
      <c r="B2089" s="138">
        <f>'Expenditures 15-22'!K92</f>
        <v>117267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127005</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13171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8881</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369489</v>
      </c>
      <c r="C2551" s="2" t="s">
        <v>573</v>
      </c>
      <c r="D2551" s="2" t="str">
        <f t="shared" si="38"/>
        <v>Error?</v>
      </c>
    </row>
    <row r="2552" spans="1:4" x14ac:dyDescent="0.2">
      <c r="A2552" s="10">
        <v>2491</v>
      </c>
      <c r="D2552" s="2" t="str">
        <f t="shared" si="38"/>
        <v>OK</v>
      </c>
    </row>
    <row r="2553" spans="1:4" x14ac:dyDescent="0.2">
      <c r="A2553" s="5">
        <v>2492</v>
      </c>
      <c r="B2553" s="138">
        <f>'Acct Summary 7-8'!C6</f>
        <v>266862</v>
      </c>
      <c r="C2553" s="2" t="s">
        <v>573</v>
      </c>
      <c r="D2553" s="2" t="str">
        <f t="shared" si="38"/>
        <v>Error?</v>
      </c>
    </row>
    <row r="2554" spans="1:4" x14ac:dyDescent="0.2">
      <c r="A2554" s="5">
        <v>2493</v>
      </c>
      <c r="B2554" s="138">
        <f>'Acct Summary 7-8'!C7</f>
        <v>72331</v>
      </c>
      <c r="C2554" s="2" t="s">
        <v>573</v>
      </c>
      <c r="D2554" s="2" t="str">
        <f t="shared" si="38"/>
        <v>Error?</v>
      </c>
    </row>
    <row r="2555" spans="1:4" x14ac:dyDescent="0.2">
      <c r="A2555" s="5">
        <v>2494</v>
      </c>
      <c r="B2555" s="138">
        <f>'Acct Summary 7-8'!C8</f>
        <v>708682</v>
      </c>
      <c r="C2555" s="2" t="s">
        <v>573</v>
      </c>
      <c r="D2555" s="2" t="str">
        <f t="shared" si="38"/>
        <v>Error?</v>
      </c>
    </row>
    <row r="2556" spans="1:4" x14ac:dyDescent="0.2">
      <c r="A2556" s="5">
        <v>2495</v>
      </c>
      <c r="B2556" s="138">
        <f>'Acct Summary 7-8'!C12</f>
        <v>342064</v>
      </c>
      <c r="C2556" s="2" t="s">
        <v>573</v>
      </c>
      <c r="D2556" s="2" t="str">
        <f t="shared" si="38"/>
        <v>Error?</v>
      </c>
    </row>
    <row r="2557" spans="1:4" x14ac:dyDescent="0.2">
      <c r="A2557" s="5">
        <v>2496</v>
      </c>
      <c r="B2557" s="138">
        <f>'Acct Summary 7-8'!C13</f>
        <v>139564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119588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601216</v>
      </c>
      <c r="C2561" s="2" t="s">
        <v>573</v>
      </c>
      <c r="D2561" s="2" t="str">
        <f t="shared" si="39"/>
        <v>Error?</v>
      </c>
    </row>
    <row r="2562" spans="1:4" x14ac:dyDescent="0.2">
      <c r="A2562" s="5">
        <v>2501</v>
      </c>
      <c r="B2562" s="138">
        <f>'Acct Summary 7-8'!C20</f>
        <v>107466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47963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47963</v>
      </c>
      <c r="C2568" s="2" t="s">
        <v>573</v>
      </c>
      <c r="D2568" s="2" t="str">
        <f t="shared" si="39"/>
        <v>Error?</v>
      </c>
    </row>
    <row r="2569" spans="1:4" x14ac:dyDescent="0.2">
      <c r="A2569" s="5">
        <v>2508</v>
      </c>
      <c r="B2569" s="138">
        <f>'Acct Summary 7-8'!D13</f>
        <v>50279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50279</v>
      </c>
      <c r="C2573" s="2" t="s">
        <v>573</v>
      </c>
      <c r="D2573" s="2" t="str">
        <f t="shared" si="39"/>
        <v>Error?</v>
      </c>
    </row>
    <row r="2574" spans="1:4" x14ac:dyDescent="0.2">
      <c r="A2574" s="5">
        <v>2513</v>
      </c>
      <c r="B2574" s="138">
        <f>'Acct Summary 7-8'!D20</f>
        <v>-2316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30142</v>
      </c>
      <c r="C2591" s="2" t="s">
        <v>573</v>
      </c>
      <c r="D2591" s="2" t="str">
        <f t="shared" si="39"/>
        <v>Error?</v>
      </c>
    </row>
    <row r="2592" spans="1:4" x14ac:dyDescent="0.2">
      <c r="A2592" s="10">
        <v>2531</v>
      </c>
      <c r="D2592" s="2" t="str">
        <f t="shared" si="39"/>
        <v>OK</v>
      </c>
    </row>
    <row r="2593" spans="1:4" x14ac:dyDescent="0.2">
      <c r="A2593" s="5">
        <v>2532</v>
      </c>
      <c r="B2593" s="138">
        <f>'Acct Summary 7-8'!F6</f>
        <v>47263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77405</v>
      </c>
      <c r="C2595" s="2" t="s">
        <v>573</v>
      </c>
      <c r="D2595" s="2" t="str">
        <f t="shared" si="39"/>
        <v>Error?</v>
      </c>
    </row>
    <row r="2596" spans="1:4" x14ac:dyDescent="0.2">
      <c r="A2596" s="5">
        <v>2535</v>
      </c>
      <c r="B2596" s="138">
        <f>'Acct Summary 7-8'!F13</f>
        <v>63010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13999</v>
      </c>
      <c r="C2599" s="2" t="s">
        <v>573</v>
      </c>
      <c r="D2599" s="2" t="str">
        <f t="shared" si="39"/>
        <v>Error?</v>
      </c>
    </row>
    <row r="2600" spans="1:4" x14ac:dyDescent="0.2">
      <c r="A2600" s="5">
        <v>2539</v>
      </c>
      <c r="B2600" s="138">
        <f>'Acct Summary 7-8'!F17</f>
        <v>77009</v>
      </c>
      <c r="C2600" s="2" t="s">
        <v>573</v>
      </c>
      <c r="D2600" s="2" t="str">
        <f t="shared" si="39"/>
        <v>Error?</v>
      </c>
    </row>
    <row r="2601" spans="1:4" x14ac:dyDescent="0.2">
      <c r="A2601" s="5">
        <v>2540</v>
      </c>
      <c r="B2601" s="138">
        <f>'Acct Summary 7-8'!F20</f>
        <v>396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8304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8304</v>
      </c>
      <c r="C2606" s="2" t="s">
        <v>573</v>
      </c>
      <c r="D2606" s="2" t="str">
        <f t="shared" si="39"/>
        <v>Error?</v>
      </c>
    </row>
    <row r="2607" spans="1:4" x14ac:dyDescent="0.2">
      <c r="A2607" s="5">
        <v>2546</v>
      </c>
      <c r="B2607" s="138">
        <f>'Acct Summary 7-8'!G12</f>
        <v>5145</v>
      </c>
      <c r="C2607" s="2" t="s">
        <v>573</v>
      </c>
      <c r="D2607" s="2" t="str">
        <f t="shared" si="39"/>
        <v>Error?</v>
      </c>
    </row>
    <row r="2608" spans="1:4" x14ac:dyDescent="0.2">
      <c r="A2608" s="5">
        <v>2547</v>
      </c>
      <c r="B2608" s="138">
        <f>'Acct Summary 7-8'!G13</f>
        <v>8922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14067</v>
      </c>
      <c r="C2612" s="2" t="s">
        <v>573</v>
      </c>
      <c r="D2612" s="2" t="str">
        <f t="shared" si="39"/>
        <v>Error?</v>
      </c>
    </row>
    <row r="2613" spans="1:4" x14ac:dyDescent="0.2">
      <c r="A2613" s="5">
        <v>2552</v>
      </c>
      <c r="B2613" s="138">
        <f>'Acct Summary 7-8'!G20</f>
        <v>-5763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17</v>
      </c>
      <c r="C2658" s="2" t="s">
        <v>573</v>
      </c>
      <c r="D2658" s="2" t="str">
        <f t="shared" si="40"/>
        <v>Error?</v>
      </c>
    </row>
    <row r="2659" spans="1:4" x14ac:dyDescent="0.2">
      <c r="A2659" s="5">
        <v>2598</v>
      </c>
      <c r="B2659" s="138">
        <f>'Acct Summary 7-8'!H13</f>
        <v>51364</v>
      </c>
      <c r="C2659" s="2" t="s">
        <v>573</v>
      </c>
      <c r="D2659" s="2" t="str">
        <f t="shared" si="40"/>
        <v>Error?</v>
      </c>
    </row>
    <row r="2660" spans="1:4" x14ac:dyDescent="0.2">
      <c r="A2660" s="5">
        <v>2599</v>
      </c>
      <c r="B2660" s="138">
        <f>'Acct Summary 7-8'!H15</f>
        <v>127005</v>
      </c>
      <c r="C2660" s="2" t="s">
        <v>573</v>
      </c>
      <c r="D2660" s="2" t="str">
        <f t="shared" si="40"/>
        <v>Error?</v>
      </c>
    </row>
    <row r="2661" spans="1:4" x14ac:dyDescent="0.2">
      <c r="A2661" s="5">
        <v>2600</v>
      </c>
      <c r="B2661" s="138">
        <f>'Acct Summary 7-8'!H17</f>
        <v>178369</v>
      </c>
      <c r="C2661" s="2" t="s">
        <v>573</v>
      </c>
      <c r="D2661" s="2" t="str">
        <f t="shared" si="40"/>
        <v>Error?</v>
      </c>
    </row>
    <row r="2662" spans="1:4" x14ac:dyDescent="0.2">
      <c r="A2662" s="5">
        <v>2601</v>
      </c>
      <c r="B2662" s="138">
        <f>'Acct Summary 7-8'!H20</f>
        <v>-178352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14972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25162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14972</v>
      </c>
      <c r="D2912" s="2" t="str">
        <f t="shared" si="44"/>
        <v>Error?</v>
      </c>
    </row>
    <row r="2913" spans="1:4" x14ac:dyDescent="0.2">
      <c r="A2913" s="5">
        <v>2852</v>
      </c>
      <c r="B2913" s="138">
        <f>'Assets-Liab 5-6'!I41</f>
        <v>14972</v>
      </c>
      <c r="C2913" s="2" t="s">
        <v>573</v>
      </c>
      <c r="D2913" s="2" t="str">
        <f t="shared" si="44"/>
        <v>Error?</v>
      </c>
    </row>
    <row r="2914" spans="1:4" x14ac:dyDescent="0.2">
      <c r="A2914" s="5">
        <v>2853</v>
      </c>
      <c r="B2914" s="138">
        <f>'Assets-Liab 5-6'!L33</f>
        <v>25162</v>
      </c>
      <c r="D2914" s="2" t="str">
        <f t="shared" si="44"/>
        <v>Error?</v>
      </c>
    </row>
    <row r="2915" spans="1:4" x14ac:dyDescent="0.2">
      <c r="A2915" s="10">
        <v>2854</v>
      </c>
      <c r="D2915" s="2" t="str">
        <f t="shared" si="44"/>
        <v>OK</v>
      </c>
    </row>
    <row r="2916" spans="1:4" x14ac:dyDescent="0.2">
      <c r="A2916" s="5">
        <v>2855</v>
      </c>
      <c r="B2916" s="138">
        <f>'Assets-Liab 5-6'!L34</f>
        <v>25162</v>
      </c>
      <c r="C2916" s="2" t="s">
        <v>573</v>
      </c>
      <c r="D2916" s="2" t="str">
        <f t="shared" si="44"/>
        <v>Error?</v>
      </c>
    </row>
    <row r="2917" spans="1:4" x14ac:dyDescent="0.2">
      <c r="A2917" s="5">
        <v>2856</v>
      </c>
      <c r="B2917" s="138">
        <f>'Assets-Liab 5-6'!L41</f>
        <v>25162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2321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2321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5221</v>
      </c>
      <c r="D3055" s="2" t="str">
        <f t="shared" si="46"/>
        <v>Error?</v>
      </c>
    </row>
    <row r="3056" spans="1:4" x14ac:dyDescent="0.2">
      <c r="A3056" s="5">
        <v>2995</v>
      </c>
      <c r="B3056" s="138">
        <f>'Expenditures 15-22'!D10</f>
        <v>1456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557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7234</v>
      </c>
      <c r="C3062" s="2" t="s">
        <v>573</v>
      </c>
      <c r="D3062" s="2" t="str">
        <f t="shared" si="46"/>
        <v>Error?</v>
      </c>
    </row>
    <row r="3063" spans="1:4" x14ac:dyDescent="0.2">
      <c r="A3063" s="10">
        <v>3002</v>
      </c>
      <c r="D3063" s="2" t="str">
        <f t="shared" si="46"/>
        <v>OK</v>
      </c>
    </row>
    <row r="3064" spans="1:4" x14ac:dyDescent="0.2">
      <c r="A3064" s="5">
        <v>3003</v>
      </c>
      <c r="B3064" s="138">
        <f>'Expenditures 15-22'!D219</f>
        <v>272</v>
      </c>
      <c r="D3064" s="2" t="str">
        <f t="shared" si="46"/>
        <v>Error?</v>
      </c>
    </row>
    <row r="3065" spans="1:4" x14ac:dyDescent="0.2">
      <c r="A3065" s="5">
        <v>3004</v>
      </c>
      <c r="B3065" s="138">
        <f>'Expenditures 15-22'!K219</f>
        <v>272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6362</v>
      </c>
      <c r="C3225" s="2" t="s">
        <v>573</v>
      </c>
      <c r="D3225" s="2" t="str">
        <f t="shared" si="49"/>
        <v>Error?</v>
      </c>
    </row>
    <row r="3226" spans="1:4" x14ac:dyDescent="0.2">
      <c r="A3226" s="5">
        <v>3165</v>
      </c>
      <c r="B3226" s="138">
        <f>'Acct Summary 7-8'!I8</f>
        <v>6362</v>
      </c>
      <c r="C3226" s="2" t="s">
        <v>573</v>
      </c>
      <c r="D3226" s="2" t="str">
        <f t="shared" si="49"/>
        <v>Error?</v>
      </c>
    </row>
    <row r="3227" spans="1:4" x14ac:dyDescent="0.2">
      <c r="A3227" s="5">
        <v>3166</v>
      </c>
      <c r="B3227" s="138">
        <f>'Acct Summary 7-8'!I20</f>
        <v>6362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107466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2474</v>
      </c>
      <c r="C3237" s="2" t="s">
        <v>573</v>
      </c>
      <c r="D3237" s="2" t="str">
        <f t="shared" si="49"/>
        <v>Error?</v>
      </c>
    </row>
    <row r="3238" spans="1:4" x14ac:dyDescent="0.2">
      <c r="A3238" s="5">
        <v>3177</v>
      </c>
      <c r="B3238" s="138">
        <f>'Acct Summary 7-8'!D77</f>
        <v>-2474</v>
      </c>
      <c r="C3238" s="2" t="s">
        <v>573</v>
      </c>
      <c r="D3238" s="2" t="str">
        <f t="shared" si="49"/>
        <v>Error?</v>
      </c>
    </row>
    <row r="3239" spans="1:4" x14ac:dyDescent="0.2">
      <c r="A3239" s="5">
        <v>3178</v>
      </c>
      <c r="B3239" s="138">
        <f>'Acct Summary 7-8'!D78</f>
        <v>-4790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396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-5763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2474</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2474</v>
      </c>
      <c r="C3299" s="2" t="s">
        <v>573</v>
      </c>
      <c r="D3299" s="2" t="str">
        <f t="shared" si="50"/>
        <v>Error?</v>
      </c>
    </row>
    <row r="3300" spans="1:4" x14ac:dyDescent="0.2">
      <c r="A3300" s="5">
        <v>3239</v>
      </c>
      <c r="B3300" s="138">
        <f>'Acct Summary 7-8'!H78</f>
        <v>-175878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6362</v>
      </c>
      <c r="C3320" s="2" t="s">
        <v>573</v>
      </c>
      <c r="D3320" s="2" t="str">
        <f t="shared" si="50"/>
        <v>Error?</v>
      </c>
    </row>
    <row r="3321" spans="1:4" x14ac:dyDescent="0.2">
      <c r="A3321" s="5">
        <v>3260</v>
      </c>
      <c r="B3321" s="138">
        <f>'Acct Summary 7-8'!I79</f>
        <v>8610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14972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32714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8605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660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41979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3821</v>
      </c>
      <c r="D3387" s="2" t="str">
        <f t="shared" si="51"/>
        <v>Error?</v>
      </c>
    </row>
    <row r="3388" spans="1:4" x14ac:dyDescent="0.2">
      <c r="A3388" s="5">
        <v>3327</v>
      </c>
      <c r="B3388" s="138">
        <f>'Expenditures 15-22'!D217</f>
        <v>532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3821</v>
      </c>
      <c r="C3390" s="2" t="s">
        <v>573</v>
      </c>
      <c r="D3390" s="2" t="str">
        <f t="shared" si="51"/>
        <v>Error?</v>
      </c>
    </row>
    <row r="3391" spans="1:4" x14ac:dyDescent="0.2">
      <c r="A3391" s="5">
        <v>3330</v>
      </c>
      <c r="B3391" s="138">
        <f>'Expenditures 15-22'!K217</f>
        <v>532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312450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60798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27091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20589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10002</v>
      </c>
      <c r="D3425" s="2" t="str">
        <f t="shared" si="52"/>
        <v>Error?</v>
      </c>
    </row>
    <row r="3426" spans="1:4" x14ac:dyDescent="0.2">
      <c r="A3426" s="10">
        <v>3365</v>
      </c>
      <c r="D3426" s="2" t="str">
        <f t="shared" si="52"/>
        <v>OK</v>
      </c>
    </row>
    <row r="3427" spans="1:4" x14ac:dyDescent="0.2">
      <c r="A3427" s="5">
        <v>3366</v>
      </c>
      <c r="B3427" s="138">
        <f>'Assets-Liab 5-6'!I4</f>
        <v>14972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25162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3000</v>
      </c>
      <c r="D3451" s="2" t="str">
        <f t="shared" si="52"/>
        <v>Error?</v>
      </c>
    </row>
    <row r="3452" spans="1:4" x14ac:dyDescent="0.2">
      <c r="A3452" s="5">
        <v>3391</v>
      </c>
      <c r="B3452" s="138">
        <f>'Cap Outlay Deprec 26'!D15</f>
        <v>51364</v>
      </c>
      <c r="D3452" s="2" t="str">
        <f t="shared" si="52"/>
        <v>Error?</v>
      </c>
    </row>
    <row r="3453" spans="1:4" x14ac:dyDescent="0.2">
      <c r="A3453" s="5">
        <v>3392</v>
      </c>
      <c r="B3453" s="138">
        <f>'Cap Outlay Deprec 26'!E15</f>
        <v>54364</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31931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31931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31931</v>
      </c>
      <c r="D3567" s="2" t="str">
        <f t="shared" si="54"/>
        <v>Error?</v>
      </c>
    </row>
    <row r="3568" spans="1:4" x14ac:dyDescent="0.2">
      <c r="A3568" s="5">
        <v>3507</v>
      </c>
      <c r="B3568" s="138">
        <f>'Assets-Liab 5-6'!K41</f>
        <v>31931</v>
      </c>
      <c r="C3568" s="2" t="s">
        <v>573</v>
      </c>
      <c r="D3568" s="2" t="str">
        <f t="shared" si="54"/>
        <v>Error?</v>
      </c>
    </row>
    <row r="3569" spans="1:4" x14ac:dyDescent="0.2">
      <c r="A3569" s="5">
        <v>3508</v>
      </c>
      <c r="B3569" s="138">
        <f>'Acct Summary 7-8'!K4</f>
        <v>6081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6081</v>
      </c>
      <c r="C3571" s="2" t="s">
        <v>573</v>
      </c>
      <c r="D3571" s="2" t="str">
        <f t="shared" si="54"/>
        <v>Error?</v>
      </c>
    </row>
    <row r="3572" spans="1:4" x14ac:dyDescent="0.2">
      <c r="A3572" s="5">
        <v>3511</v>
      </c>
      <c r="B3572" s="138">
        <f>'Acct Summary 7-8'!K13</f>
        <v>982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982</v>
      </c>
      <c r="C3575" s="2" t="s">
        <v>573</v>
      </c>
      <c r="D3575" s="2" t="str">
        <f t="shared" si="54"/>
        <v>Error?</v>
      </c>
    </row>
    <row r="3576" spans="1:4" x14ac:dyDescent="0.2">
      <c r="A3576" s="5">
        <v>3515</v>
      </c>
      <c r="B3576" s="138">
        <f>'Acct Summary 7-8'!K20</f>
        <v>5099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5099</v>
      </c>
      <c r="C3588" s="2" t="s">
        <v>573</v>
      </c>
      <c r="D3588" s="2" t="str">
        <f t="shared" si="55"/>
        <v>Error?</v>
      </c>
    </row>
    <row r="3589" spans="1:4" x14ac:dyDescent="0.2">
      <c r="A3589" s="5">
        <v>3528</v>
      </c>
      <c r="B3589" s="138">
        <f>'Acct Summary 7-8'!K79</f>
        <v>26832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31931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982</v>
      </c>
      <c r="D3632" s="2" t="str">
        <f t="shared" si="55"/>
        <v>Error?</v>
      </c>
    </row>
    <row r="3633" spans="1:4" x14ac:dyDescent="0.2">
      <c r="A3633" s="5">
        <v>3572</v>
      </c>
      <c r="B3633" s="138">
        <f>'Expenditures 15-22'!E350</f>
        <v>982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982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982</v>
      </c>
      <c r="C3669" s="2" t="s">
        <v>573</v>
      </c>
      <c r="D3669" s="2" t="str">
        <f t="shared" si="56"/>
        <v>Error?</v>
      </c>
    </row>
    <row r="3670" spans="1:4" x14ac:dyDescent="0.2">
      <c r="A3670" s="5">
        <v>3609</v>
      </c>
      <c r="B3670" s="138">
        <f>'Expenditures 15-22'!K350</f>
        <v>982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982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982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5099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127005</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2658</v>
      </c>
      <c r="C3725" s="2" t="s">
        <v>573</v>
      </c>
      <c r="D3725" s="2" t="str">
        <f t="shared" si="57"/>
        <v>Error?</v>
      </c>
    </row>
    <row r="3726" spans="1:4" x14ac:dyDescent="0.2">
      <c r="A3726" s="5">
        <v>3665</v>
      </c>
      <c r="B3726" s="138">
        <f>'Tax Sched 23'!D13</f>
        <v>1246</v>
      </c>
      <c r="C3726" s="2" t="s">
        <v>573</v>
      </c>
      <c r="D3726" s="2" t="str">
        <f t="shared" si="57"/>
        <v>Error?</v>
      </c>
    </row>
    <row r="3727" spans="1:4" x14ac:dyDescent="0.2">
      <c r="A3727" s="5">
        <v>3666</v>
      </c>
      <c r="B3727" s="138">
        <f>'Tax Sched 23'!C13</f>
        <v>1412</v>
      </c>
      <c r="D3727" s="2" t="str">
        <f t="shared" si="57"/>
        <v>Error?</v>
      </c>
    </row>
    <row r="3728" spans="1:4" x14ac:dyDescent="0.2">
      <c r="A3728" s="5">
        <v>3667</v>
      </c>
      <c r="B3728" s="138">
        <f>'Tax Sched 23'!F13</f>
        <v>4097</v>
      </c>
      <c r="C3728" s="2" t="s">
        <v>573</v>
      </c>
      <c r="D3728" s="2" t="str">
        <f t="shared" si="57"/>
        <v>Error?</v>
      </c>
    </row>
    <row r="3729" spans="1:4" x14ac:dyDescent="0.2">
      <c r="A3729" s="5">
        <v>3668</v>
      </c>
      <c r="B3729" s="138">
        <f>'Tax Sched 23'!E13</f>
        <v>5509</v>
      </c>
      <c r="D3729" s="2" t="str">
        <f t="shared" si="57"/>
        <v>Error?</v>
      </c>
    </row>
    <row r="3730" spans="1:4" x14ac:dyDescent="0.2">
      <c r="A3730" s="5">
        <v>3669</v>
      </c>
      <c r="B3730" s="138">
        <f>'ICR Computation 30'!E10</f>
        <v>6776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269946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978628</v>
      </c>
      <c r="C4122" s="2" t="s">
        <v>573</v>
      </c>
      <c r="D4122" s="2" t="str">
        <f t="shared" si="63"/>
        <v>Error?</v>
      </c>
    </row>
    <row r="4123" spans="1:4" x14ac:dyDescent="0.2">
      <c r="A4123" s="5">
        <v>4062</v>
      </c>
      <c r="B4123" s="138">
        <f>'Acct Summary 7-8'!D10</f>
        <v>47963</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77405</v>
      </c>
      <c r="C4125" s="2" t="s">
        <v>573</v>
      </c>
      <c r="D4125" s="2" t="str">
        <f t="shared" si="63"/>
        <v>Error?</v>
      </c>
    </row>
    <row r="4126" spans="1:4" x14ac:dyDescent="0.2">
      <c r="A4126" s="5">
        <v>4065</v>
      </c>
      <c r="B4126" s="138">
        <f>'Acct Summary 7-8'!G10</f>
        <v>8304</v>
      </c>
      <c r="C4126" s="2" t="s">
        <v>573</v>
      </c>
      <c r="D4126" s="2" t="str">
        <f t="shared" si="63"/>
        <v>Error?</v>
      </c>
    </row>
    <row r="4127" spans="1:4" x14ac:dyDescent="0.2">
      <c r="A4127" s="5">
        <v>4066</v>
      </c>
      <c r="B4127" s="138">
        <f>'Acct Summary 7-8'!H10</f>
        <v>17</v>
      </c>
      <c r="C4127" s="2" t="s">
        <v>573</v>
      </c>
      <c r="D4127" s="2" t="str">
        <f t="shared" si="63"/>
        <v>Error?</v>
      </c>
    </row>
    <row r="4128" spans="1:4" x14ac:dyDescent="0.2">
      <c r="A4128" s="5">
        <v>4067</v>
      </c>
      <c r="B4128" s="138">
        <f>'Acct Summary 7-8'!I10</f>
        <v>6362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6081</v>
      </c>
      <c r="C4130" s="2" t="s">
        <v>573</v>
      </c>
      <c r="D4130" s="2" t="str">
        <f t="shared" si="63"/>
        <v>Error?</v>
      </c>
    </row>
    <row r="4131" spans="1:4" x14ac:dyDescent="0.2">
      <c r="A4131" s="5">
        <v>4070</v>
      </c>
      <c r="B4131" s="138">
        <f>'Acct Summary 7-8'!C18</f>
        <v>269946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871162</v>
      </c>
      <c r="C4136" s="2" t="s">
        <v>573</v>
      </c>
      <c r="D4136" s="2" t="str">
        <f t="shared" si="63"/>
        <v>Error?</v>
      </c>
    </row>
    <row r="4137" spans="1:4" x14ac:dyDescent="0.2">
      <c r="A4137" s="5">
        <v>4076</v>
      </c>
      <c r="B4137" s="138">
        <f>'Acct Summary 7-8'!D19</f>
        <v>50279</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77009</v>
      </c>
      <c r="C4139" s="2" t="s">
        <v>573</v>
      </c>
      <c r="D4139" s="2" t="str">
        <f t="shared" si="63"/>
        <v>Error?</v>
      </c>
    </row>
    <row r="4140" spans="1:4" x14ac:dyDescent="0.2">
      <c r="A4140" s="5">
        <v>4079</v>
      </c>
      <c r="B4140" s="138">
        <f>'Acct Summary 7-8'!G19</f>
        <v>14067</v>
      </c>
      <c r="C4140" s="2" t="s">
        <v>573</v>
      </c>
      <c r="D4140" s="2" t="str">
        <f t="shared" si="63"/>
        <v>Error?</v>
      </c>
    </row>
    <row r="4141" spans="1:4" x14ac:dyDescent="0.2">
      <c r="A4141" s="5">
        <v>4080</v>
      </c>
      <c r="B4141" s="138">
        <f>'Acct Summary 7-8'!H19</f>
        <v>178369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982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-13972</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13972</v>
      </c>
      <c r="D4210" s="2" t="str">
        <f t="shared" si="64"/>
        <v>Error?</v>
      </c>
    </row>
    <row r="4211" spans="1:4" x14ac:dyDescent="0.2">
      <c r="A4211" s="5">
        <v>4150</v>
      </c>
      <c r="B4211" s="138">
        <f>'Expenditures 15-22'!K206</f>
        <v>13972</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2420.8000000000002</v>
      </c>
      <c r="C4265" s="2" t="s">
        <v>573</v>
      </c>
      <c r="D4265" s="2" t="str">
        <f t="shared" si="65"/>
        <v>Error?</v>
      </c>
      <c r="E4265" s="128"/>
    </row>
    <row r="4266" spans="1:5" x14ac:dyDescent="0.2">
      <c r="A4266" s="12">
        <v>4205</v>
      </c>
      <c r="B4266" s="138">
        <f>('FP Info 3'!F10)*100000</f>
        <v>375</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2916</v>
      </c>
      <c r="C4268" s="2" t="s">
        <v>573</v>
      </c>
      <c r="D4268" s="2" t="str">
        <f t="shared" si="65"/>
        <v>Error?</v>
      </c>
    </row>
    <row r="4269" spans="1:5" x14ac:dyDescent="0.2">
      <c r="A4269" s="12">
        <v>4208</v>
      </c>
      <c r="B4269" s="138">
        <f>'FP Info 3'!J16</f>
        <v>415311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301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9858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2830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18276</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13115564</v>
      </c>
      <c r="D4995" s="2" t="str">
        <f t="shared" si="77"/>
        <v>Error?</v>
      </c>
    </row>
    <row r="4996" spans="1:4" x14ac:dyDescent="0.2">
      <c r="A4996" s="12">
        <v>4935</v>
      </c>
      <c r="B4996" s="138">
        <f>'FP Info 3'!H31</f>
        <v>904973.91600000008</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2658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308934</v>
      </c>
      <c r="D5061" s="2" t="str">
        <f t="shared" si="78"/>
        <v>Error?</v>
      </c>
    </row>
    <row r="5062" spans="1:4" x14ac:dyDescent="0.2">
      <c r="A5062" s="10">
        <v>5001</v>
      </c>
      <c r="D5062" s="2" t="str">
        <f t="shared" si="78"/>
        <v>OK</v>
      </c>
    </row>
    <row r="5063" spans="1:4" x14ac:dyDescent="0.2">
      <c r="A5063" s="5">
        <v>5002</v>
      </c>
      <c r="B5063" s="138">
        <f>'Revenues 9-14'!C7</f>
        <v>2543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314135</v>
      </c>
      <c r="C5066" s="2" t="s">
        <v>573</v>
      </c>
      <c r="D5066" s="2" t="str">
        <f t="shared" si="78"/>
        <v>Error?</v>
      </c>
    </row>
    <row r="5067" spans="1:4" x14ac:dyDescent="0.2">
      <c r="A5067" s="5">
        <v>5006</v>
      </c>
      <c r="B5067" s="138">
        <f>'Revenues 9-14'!C14</f>
        <v>89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7052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7141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168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982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14152</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1770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5030</v>
      </c>
      <c r="D5101" s="2" t="str">
        <f t="shared" si="78"/>
        <v>Error?</v>
      </c>
    </row>
    <row r="5102" spans="1:4" x14ac:dyDescent="0.2">
      <c r="A5102" s="5">
        <v>5041</v>
      </c>
      <c r="B5102" s="138">
        <f>'Revenues 9-14'!C82</f>
        <v>6800</v>
      </c>
      <c r="C5102" s="2" t="s">
        <v>573</v>
      </c>
      <c r="D5102" s="2" t="str">
        <f t="shared" si="78"/>
        <v>Error?</v>
      </c>
    </row>
    <row r="5103" spans="1:4" x14ac:dyDescent="0.2">
      <c r="A5103" s="5">
        <v>5042</v>
      </c>
      <c r="B5103" s="138">
        <f>'Revenues 9-14'!C84</f>
        <v>5310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5310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4407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376</v>
      </c>
      <c r="D5119" s="2" t="str">
        <f t="shared" ref="D5119:D5182" si="79">IF(ISBLANK(B5119),"OK",IF(A5119-B5119=0,"OK","Error?"))</f>
        <v>Error?</v>
      </c>
    </row>
    <row r="5120" spans="1:4" x14ac:dyDescent="0.2">
      <c r="A5120" s="5">
        <v>5059</v>
      </c>
      <c r="B5120" s="138">
        <f>'Revenues 9-14'!C108</f>
        <v>21783</v>
      </c>
      <c r="C5120" s="2" t="s">
        <v>573</v>
      </c>
      <c r="D5120" s="2" t="str">
        <f t="shared" si="79"/>
        <v>Error?</v>
      </c>
    </row>
    <row r="5121" spans="1:4" x14ac:dyDescent="0.2">
      <c r="A5121" s="5">
        <v>5060</v>
      </c>
      <c r="B5121" s="138">
        <f>'Revenues 9-14'!C109</f>
        <v>369489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266784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266784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266862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18276</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6776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6776</v>
      </c>
      <c r="C5246" s="2" t="s">
        <v>573</v>
      </c>
      <c r="D5246" s="2" t="str">
        <f t="shared" si="80"/>
        <v>Error?</v>
      </c>
    </row>
    <row r="5247" spans="1:4" x14ac:dyDescent="0.2">
      <c r="A5247" s="5">
        <v>5186</v>
      </c>
      <c r="B5247" s="138">
        <f>'Revenues 9-14'!C200</f>
        <v>7808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9858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7808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20373</v>
      </c>
      <c r="D5278" s="2" t="str">
        <f t="shared" si="81"/>
        <v>Error?</v>
      </c>
    </row>
    <row r="5279" spans="1:4" x14ac:dyDescent="0.2">
      <c r="A5279" s="5">
        <v>5218</v>
      </c>
      <c r="B5279" s="138">
        <f>'Revenues 9-14'!C214</f>
        <v>6109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26482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54055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72331</v>
      </c>
      <c r="C5326" s="2" t="s">
        <v>573</v>
      </c>
      <c r="D5326" s="2" t="str">
        <f t="shared" si="82"/>
        <v>Error?</v>
      </c>
    </row>
    <row r="5327" spans="1:5" x14ac:dyDescent="0.2">
      <c r="A5327" s="5">
        <v>5266</v>
      </c>
      <c r="B5327" s="138">
        <f>'Revenues 9-14'!C268</f>
        <v>708682</v>
      </c>
      <c r="C5327" s="2" t="s">
        <v>573</v>
      </c>
      <c r="D5327" s="2" t="str">
        <f t="shared" si="82"/>
        <v>Error?</v>
      </c>
    </row>
    <row r="5328" spans="1:5" x14ac:dyDescent="0.2">
      <c r="A5328" s="5">
        <v>5267</v>
      </c>
      <c r="B5328" s="138">
        <f>'Revenues 9-14'!D5</f>
        <v>47737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47737</v>
      </c>
      <c r="C5334" s="2" t="s">
        <v>573</v>
      </c>
      <c r="D5334" s="2" t="str">
        <f t="shared" si="82"/>
        <v>Error?</v>
      </c>
    </row>
    <row r="5335" spans="1:4" x14ac:dyDescent="0.2">
      <c r="A5335" s="5">
        <v>5274</v>
      </c>
      <c r="B5335" s="138">
        <f>'Revenues 9-14'!D14</f>
        <v>13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v>
      </c>
      <c r="C5339" s="2" t="s">
        <v>573</v>
      </c>
      <c r="D5339" s="2" t="str">
        <f t="shared" si="82"/>
        <v>Error?</v>
      </c>
    </row>
    <row r="5340" spans="1:4" x14ac:dyDescent="0.2">
      <c r="A5340" s="5">
        <v>5279</v>
      </c>
      <c r="B5340" s="138">
        <f>'Revenues 9-14'!D65</f>
        <v>39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155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v>
      </c>
      <c r="D5354" s="2" t="str">
        <f t="shared" si="82"/>
        <v>Error?</v>
      </c>
    </row>
    <row r="5355" spans="1:4" x14ac:dyDescent="0.2">
      <c r="A5355" s="5">
        <v>5294</v>
      </c>
      <c r="B5355" s="138">
        <f>'Revenues 9-14'!D108</f>
        <v>174</v>
      </c>
      <c r="C5355" s="2" t="s">
        <v>573</v>
      </c>
      <c r="D5355" s="2" t="str">
        <f t="shared" si="82"/>
        <v>Error?</v>
      </c>
    </row>
    <row r="5356" spans="1:4" x14ac:dyDescent="0.2">
      <c r="A5356" s="5">
        <v>5295</v>
      </c>
      <c r="B5356" s="138">
        <f>'Revenues 9-14'!D109</f>
        <v>47963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47963</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15276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15276</v>
      </c>
      <c r="C5557" s="2" t="s">
        <v>573</v>
      </c>
      <c r="D5557" s="2" t="str">
        <f t="shared" si="85"/>
        <v>Error?</v>
      </c>
    </row>
    <row r="5558" spans="1:4" x14ac:dyDescent="0.2">
      <c r="A5558" s="5">
        <v>5497</v>
      </c>
      <c r="B5558" s="138">
        <f>'Revenues 9-14'!F14</f>
        <v>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v>
      </c>
      <c r="C5582" s="2" t="s">
        <v>573</v>
      </c>
      <c r="D5582" s="2" t="str">
        <f t="shared" si="86"/>
        <v>Error?</v>
      </c>
    </row>
    <row r="5583" spans="1:4" x14ac:dyDescent="0.2">
      <c r="A5583" s="5">
        <v>5522</v>
      </c>
      <c r="B5583" s="138">
        <f>'Revenues 9-14'!F96</f>
        <v>314</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v>
      </c>
      <c r="D5586" s="2" t="str">
        <f t="shared" si="86"/>
        <v>Error?</v>
      </c>
    </row>
    <row r="5587" spans="1:4" x14ac:dyDescent="0.2">
      <c r="A5587" s="5">
        <v>5526</v>
      </c>
      <c r="B5587" s="138">
        <f>'Revenues 9-14'!F108</f>
        <v>14861</v>
      </c>
      <c r="C5587" s="2" t="s">
        <v>573</v>
      </c>
      <c r="D5587" s="2" t="str">
        <f t="shared" si="86"/>
        <v>Error?</v>
      </c>
    </row>
    <row r="5588" spans="1:4" x14ac:dyDescent="0.2">
      <c r="A5588" s="5">
        <v>5527</v>
      </c>
      <c r="B5588" s="138">
        <f>'Revenues 9-14'!F109</f>
        <v>30142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27321</v>
      </c>
      <c r="D5615" s="2" t="str">
        <f t="shared" si="86"/>
        <v>Error?</v>
      </c>
    </row>
    <row r="5616" spans="1:4" x14ac:dyDescent="0.2">
      <c r="A5616" s="10">
        <v>5555</v>
      </c>
      <c r="D5616" s="2" t="str">
        <f t="shared" si="86"/>
        <v>OK</v>
      </c>
    </row>
    <row r="5617" spans="1:5" x14ac:dyDescent="0.2">
      <c r="A5617" s="5">
        <v>5556</v>
      </c>
      <c r="B5617" s="138">
        <f>'Revenues 9-14'!F153</f>
        <v>19942</v>
      </c>
      <c r="D5617" s="2" t="str">
        <f t="shared" si="86"/>
        <v>Error?</v>
      </c>
    </row>
    <row r="5618" spans="1:5" x14ac:dyDescent="0.2">
      <c r="A5618" s="5">
        <v>5557</v>
      </c>
      <c r="B5618" s="138">
        <f>'Revenues 9-14'!F155</f>
        <v>47263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47263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47263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77405</v>
      </c>
      <c r="C5720" s="2" t="s">
        <v>573</v>
      </c>
      <c r="D5720" s="2" t="str">
        <f t="shared" si="88"/>
        <v>Error?</v>
      </c>
    </row>
    <row r="5721" spans="1:4" x14ac:dyDescent="0.2">
      <c r="A5721" s="5">
        <v>5660</v>
      </c>
      <c r="B5721" s="138">
        <f>'Revenues 9-14'!G5</f>
        <v>7985</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7985</v>
      </c>
      <c r="C5725" s="2" t="s">
        <v>573</v>
      </c>
      <c r="D5725" s="2" t="str">
        <f t="shared" si="88"/>
        <v>Error?</v>
      </c>
    </row>
    <row r="5726" spans="1:4" x14ac:dyDescent="0.2">
      <c r="A5726" s="5">
        <v>5665</v>
      </c>
      <c r="B5726" s="138">
        <f>'Revenues 9-14'!G14</f>
        <v>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304</v>
      </c>
      <c r="C5730" s="2" t="s">
        <v>573</v>
      </c>
      <c r="D5730" s="2" t="str">
        <f t="shared" si="88"/>
        <v>Error?</v>
      </c>
    </row>
    <row r="5731" spans="1:4" x14ac:dyDescent="0.2">
      <c r="A5731" s="5">
        <v>5670</v>
      </c>
      <c r="B5731" s="138">
        <f>'Revenues 9-14'!G65</f>
        <v>13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2</v>
      </c>
      <c r="D5736" s="2" t="str">
        <f t="shared" si="88"/>
        <v>Error?</v>
      </c>
    </row>
    <row r="5737" spans="1:4" x14ac:dyDescent="0.2">
      <c r="A5737" s="5">
        <v>5676</v>
      </c>
      <c r="B5737" s="138">
        <f>'Revenues 9-14'!G108</f>
        <v>2</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8304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17</v>
      </c>
      <c r="C5915" s="2" t="s">
        <v>573</v>
      </c>
      <c r="D5915" s="2" t="str">
        <f t="shared" si="91"/>
        <v>Error?</v>
      </c>
    </row>
    <row r="5916" spans="1:4" x14ac:dyDescent="0.2">
      <c r="A5916" s="5">
        <v>5855</v>
      </c>
      <c r="B5916" s="138">
        <f>'Revenues 9-14'!I5</f>
        <v>6351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6351</v>
      </c>
      <c r="C5918" s="2" t="s">
        <v>573</v>
      </c>
      <c r="D5918" s="2" t="str">
        <f t="shared" si="91"/>
        <v>Error?</v>
      </c>
    </row>
    <row r="5919" spans="1:4" x14ac:dyDescent="0.2">
      <c r="A5919" s="5">
        <v>5858</v>
      </c>
      <c r="B5919" s="138">
        <f>'Revenues 9-14'!I14</f>
        <v>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v>
      </c>
      <c r="C5923" s="2" t="s">
        <v>573</v>
      </c>
      <c r="D5923" s="2" t="str">
        <f t="shared" si="91"/>
        <v>Error?</v>
      </c>
    </row>
    <row r="5924" spans="1:4" x14ac:dyDescent="0.2">
      <c r="A5924" s="5">
        <v>5863</v>
      </c>
      <c r="B5924" s="138">
        <f>'Revenues 9-14'!I65</f>
        <v>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3</v>
      </c>
      <c r="D5929" s="2" t="str">
        <f t="shared" si="91"/>
        <v>Error?</v>
      </c>
    </row>
    <row r="5930" spans="1:4" x14ac:dyDescent="0.2">
      <c r="A5930" s="5">
        <v>5869</v>
      </c>
      <c r="B5930" s="138">
        <f>'Revenues 9-14'!I108</f>
        <v>3</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6362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6061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6061</v>
      </c>
      <c r="C5987" s="2" t="s">
        <v>573</v>
      </c>
      <c r="D5987" s="2" t="str">
        <f t="shared" si="92"/>
        <v>Error?</v>
      </c>
    </row>
    <row r="5988" spans="1:4" x14ac:dyDescent="0.2">
      <c r="A5988" s="5">
        <v>5927</v>
      </c>
      <c r="B5988" s="138">
        <f>'Revenues 9-14'!K14</f>
        <v>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v>
      </c>
      <c r="C5992" s="2" t="s">
        <v>573</v>
      </c>
      <c r="D5992" s="2" t="str">
        <f t="shared" si="92"/>
        <v>Error?</v>
      </c>
    </row>
    <row r="5993" spans="1:4" x14ac:dyDescent="0.2">
      <c r="A5993" s="5">
        <v>5932</v>
      </c>
      <c r="B5993" s="138">
        <f>'Revenues 9-14'!K65</f>
        <v>16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2</v>
      </c>
      <c r="D5998" s="2" t="str">
        <f t="shared" si="92"/>
        <v>Error?</v>
      </c>
    </row>
    <row r="5999" spans="1:4" x14ac:dyDescent="0.2">
      <c r="A5999" s="5">
        <v>5938</v>
      </c>
      <c r="B5999" s="138">
        <f>'Revenues 9-14'!K108</f>
        <v>2</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6081</v>
      </c>
      <c r="C6023" s="2" t="s">
        <v>573</v>
      </c>
      <c r="D6023" s="2" t="str">
        <f t="shared" si="93"/>
        <v>Error?</v>
      </c>
    </row>
    <row r="6024" spans="1:5" x14ac:dyDescent="0.2">
      <c r="A6024" s="5">
        <v>5963</v>
      </c>
      <c r="B6024" s="138">
        <f>'Revenues 9-14'!G109</f>
        <v>8304</v>
      </c>
      <c r="C6024" s="2" t="s">
        <v>573</v>
      </c>
      <c r="D6024" s="2" t="str">
        <f t="shared" si="93"/>
        <v>Error?</v>
      </c>
    </row>
    <row r="6025" spans="1:5" x14ac:dyDescent="0.2">
      <c r="A6025" s="5">
        <v>5964</v>
      </c>
      <c r="B6025" s="138">
        <f>'Revenues 9-14'!H109</f>
        <v>17</v>
      </c>
      <c r="C6025" s="2" t="s">
        <v>573</v>
      </c>
      <c r="D6025" s="2" t="str">
        <f t="shared" si="93"/>
        <v>Error?</v>
      </c>
    </row>
    <row r="6026" spans="1:5" x14ac:dyDescent="0.2">
      <c r="A6026" s="5">
        <v>5965</v>
      </c>
      <c r="B6026" s="138">
        <f>'Revenues 9-14'!I109</f>
        <v>6362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6081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13170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2799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61.4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46316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46316</v>
      </c>
      <c r="D6215" s="2" t="str">
        <f t="shared" si="96"/>
        <v>Error?</v>
      </c>
      <c r="E6215" s="2" t="s">
        <v>190</v>
      </c>
    </row>
    <row r="6216" spans="1:5" x14ac:dyDescent="0.2">
      <c r="A6216">
        <v>6155</v>
      </c>
      <c r="B6216" s="138">
        <f>'Assets-Liab 5-6'!J41</f>
        <v>46316</v>
      </c>
      <c r="D6216" s="2" t="str">
        <f t="shared" si="96"/>
        <v>Error?</v>
      </c>
      <c r="E6216" s="2" t="s">
        <v>190</v>
      </c>
    </row>
    <row r="6217" spans="1:5" x14ac:dyDescent="0.2">
      <c r="A6217">
        <v>6156</v>
      </c>
      <c r="B6217" s="138">
        <f>'Assets-Liab 5-6'!J4</f>
        <v>46316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61588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61588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61588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47622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47622</v>
      </c>
      <c r="D6229" s="2" t="str">
        <f t="shared" si="96"/>
        <v>Error?</v>
      </c>
      <c r="E6229" s="2" t="s">
        <v>190</v>
      </c>
    </row>
    <row r="6230" spans="1:5" x14ac:dyDescent="0.2">
      <c r="A6230">
        <v>6169</v>
      </c>
      <c r="B6230" s="138">
        <f>'Acct Summary 7-8'!J20</f>
        <v>13966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13966</v>
      </c>
      <c r="D6263" s="2" t="str">
        <f t="shared" si="96"/>
        <v>Error?</v>
      </c>
      <c r="E6263" s="2" t="s">
        <v>190</v>
      </c>
    </row>
    <row r="6264" spans="1:5" x14ac:dyDescent="0.2">
      <c r="A6264">
        <v>6203</v>
      </c>
      <c r="B6264" s="138">
        <f>'Acct Summary 7-8'!J79</f>
        <v>32350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46316</v>
      </c>
      <c r="D6266" s="2" t="str">
        <f t="shared" si="96"/>
        <v>Error?</v>
      </c>
      <c r="E6266" s="2" t="s">
        <v>190</v>
      </c>
    </row>
    <row r="6267" spans="1:5" x14ac:dyDescent="0.2">
      <c r="A6267">
        <v>6206</v>
      </c>
      <c r="B6267" s="138">
        <f>'Acct Summary 7-8'!C82</f>
        <v>107466</v>
      </c>
      <c r="D6267" s="2" t="str">
        <f t="shared" si="96"/>
        <v>Error?</v>
      </c>
      <c r="E6267" s="2" t="s">
        <v>190</v>
      </c>
    </row>
    <row r="6268" spans="1:5" x14ac:dyDescent="0.2">
      <c r="A6268">
        <v>6207</v>
      </c>
      <c r="B6268" s="138">
        <f>'Acct Summary 7-8'!D82</f>
        <v>-4790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396</v>
      </c>
      <c r="D6270" s="2" t="str">
        <f t="shared" si="96"/>
        <v>Error?</v>
      </c>
      <c r="E6270" s="2" t="s">
        <v>190</v>
      </c>
    </row>
    <row r="6271" spans="1:5" x14ac:dyDescent="0.2">
      <c r="A6271">
        <v>6210</v>
      </c>
      <c r="B6271" s="138">
        <f>'Acct Summary 7-8'!G82</f>
        <v>-5763</v>
      </c>
      <c r="D6271" s="2" t="str">
        <f t="shared" ref="D6271:D6334" si="97">IF(ISBLANK(B6271),"OK",IF(A6271-B6271=0,"OK","Error?"))</f>
        <v>Error?</v>
      </c>
      <c r="E6271" s="2" t="s">
        <v>190</v>
      </c>
    </row>
    <row r="6272" spans="1:5" x14ac:dyDescent="0.2">
      <c r="A6272">
        <v>6211</v>
      </c>
      <c r="B6272" s="138">
        <f>'Acct Summary 7-8'!H82</f>
        <v>-175878</v>
      </c>
      <c r="D6272" s="2" t="str">
        <f t="shared" si="97"/>
        <v>Error?</v>
      </c>
      <c r="E6272" s="2" t="s">
        <v>190</v>
      </c>
    </row>
    <row r="6273" spans="1:5" x14ac:dyDescent="0.2">
      <c r="A6273">
        <v>6212</v>
      </c>
      <c r="B6273" s="138">
        <f>'Acct Summary 7-8'!I82</f>
        <v>6362</v>
      </c>
      <c r="D6273" s="2" t="str">
        <f t="shared" si="97"/>
        <v>Error?</v>
      </c>
      <c r="E6273" s="2" t="s">
        <v>190</v>
      </c>
    </row>
    <row r="6274" spans="1:5" x14ac:dyDescent="0.2">
      <c r="A6274">
        <v>6213</v>
      </c>
      <c r="B6274" s="138">
        <f>'Acct Summary 7-8'!J82</f>
        <v>13966</v>
      </c>
      <c r="D6274" s="2" t="str">
        <f t="shared" si="97"/>
        <v>Error?</v>
      </c>
      <c r="E6274" s="2" t="s">
        <v>190</v>
      </c>
    </row>
    <row r="6275" spans="1:5" x14ac:dyDescent="0.2">
      <c r="A6275">
        <v>6214</v>
      </c>
      <c r="B6275" s="138">
        <f>'Acct Summary 7-8'!K82</f>
        <v>5099</v>
      </c>
      <c r="D6275" s="2" t="str">
        <f t="shared" si="97"/>
        <v>Error?</v>
      </c>
      <c r="E6275" s="2" t="s">
        <v>190</v>
      </c>
    </row>
    <row r="6276" spans="1:5" x14ac:dyDescent="0.2">
      <c r="A6276">
        <v>6215</v>
      </c>
      <c r="B6276" s="138">
        <f>'Acct Summary 7-8'!C83</f>
        <v>0.34394623139702352</v>
      </c>
      <c r="D6276" s="2" t="str">
        <f t="shared" si="97"/>
        <v>Error?</v>
      </c>
      <c r="E6276" s="2" t="s">
        <v>190</v>
      </c>
    </row>
    <row r="6277" spans="1:5" x14ac:dyDescent="0.2">
      <c r="A6277">
        <v>6216</v>
      </c>
      <c r="B6277" s="138">
        <f>'Acct Summary 7-8'!D83</f>
        <v>-7.8785486364683049E-2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1.4617400612749621E-2</v>
      </c>
      <c r="D6279" s="2" t="str">
        <f t="shared" si="97"/>
        <v>Error?</v>
      </c>
      <c r="E6279" s="2" t="s">
        <v>190</v>
      </c>
    </row>
    <row r="6280" spans="1:5" x14ac:dyDescent="0.2">
      <c r="A6280">
        <v>6219</v>
      </c>
      <c r="B6280" s="138">
        <f>'Acct Summary 7-8'!G83</f>
        <v>-0.27990674632085094</v>
      </c>
      <c r="D6280" s="2" t="str">
        <f t="shared" si="97"/>
        <v>Error?</v>
      </c>
      <c r="E6280" s="2" t="s">
        <v>190</v>
      </c>
    </row>
    <row r="6281" spans="1:5" x14ac:dyDescent="0.2">
      <c r="A6281">
        <v>6220</v>
      </c>
      <c r="B6281" s="138">
        <f>'Acct Summary 7-8'!H83</f>
        <v>-17.584283143371326</v>
      </c>
      <c r="D6281" s="2" t="str">
        <f t="shared" si="97"/>
        <v>Error?</v>
      </c>
      <c r="E6281" s="2" t="s">
        <v>190</v>
      </c>
    </row>
    <row r="6282" spans="1:5" x14ac:dyDescent="0.2">
      <c r="A6282">
        <v>6221</v>
      </c>
      <c r="B6282" s="138">
        <f>'Acct Summary 7-8'!I83</f>
        <v>0.42492652952177395</v>
      </c>
      <c r="D6282" s="2" t="str">
        <f t="shared" si="97"/>
        <v>Error?</v>
      </c>
      <c r="E6282" s="2" t="s">
        <v>190</v>
      </c>
    </row>
    <row r="6283" spans="1:5" x14ac:dyDescent="0.2">
      <c r="A6283">
        <v>6222</v>
      </c>
      <c r="B6283" s="138">
        <f>'Acct Summary 7-8'!J83</f>
        <v>0.30153726573970119</v>
      </c>
      <c r="D6283" s="2" t="str">
        <f t="shared" si="97"/>
        <v>Error?</v>
      </c>
      <c r="E6283" s="2" t="s">
        <v>190</v>
      </c>
    </row>
    <row r="6284" spans="1:5" x14ac:dyDescent="0.2">
      <c r="A6284">
        <v>6223</v>
      </c>
      <c r="B6284" s="138">
        <f>'Acct Summary 7-8'!K83</f>
        <v>0.15968807741693025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2474</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61520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61520</v>
      </c>
      <c r="D6301" s="2" t="str">
        <f t="shared" si="97"/>
        <v>Error?</v>
      </c>
      <c r="E6301" s="2" t="s">
        <v>190</v>
      </c>
    </row>
    <row r="6302" spans="1:5" x14ac:dyDescent="0.2">
      <c r="A6302">
        <v>6241</v>
      </c>
      <c r="B6302" s="138">
        <f>'Revenues 9-14'!J14</f>
        <v>17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17000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14541</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25</v>
      </c>
      <c r="D6350" s="2" t="str">
        <f t="shared" si="98"/>
        <v>Error?</v>
      </c>
      <c r="E6350" s="2" t="s">
        <v>190</v>
      </c>
    </row>
    <row r="6351" spans="1:5" x14ac:dyDescent="0.2">
      <c r="A6351">
        <v>6290</v>
      </c>
      <c r="B6351" s="138">
        <f>'Revenues 9-14'!J108</f>
        <v>25</v>
      </c>
      <c r="D6351" s="2" t="str">
        <f t="shared" si="98"/>
        <v>Error?</v>
      </c>
      <c r="E6351" s="2" t="s">
        <v>190</v>
      </c>
    </row>
    <row r="6352" spans="1:5" x14ac:dyDescent="0.2">
      <c r="A6352">
        <v>6291</v>
      </c>
      <c r="B6352" s="138">
        <f>'Revenues 9-14'!J109</f>
        <v>61588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117267</v>
      </c>
      <c r="D6983" s="2" t="str">
        <f t="shared" si="108"/>
        <v>Error?</v>
      </c>
    </row>
    <row r="6984" spans="1:4" x14ac:dyDescent="0.2">
      <c r="A6984">
        <v>6923</v>
      </c>
      <c r="B6984" s="138">
        <f>'Expenditures 15-22'!K86</f>
        <v>117267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117267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47622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61588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27</v>
      </c>
      <c r="D7067" s="2" t="str">
        <f t="shared" si="109"/>
        <v>Error?</v>
      </c>
    </row>
    <row r="7068" spans="1:4" x14ac:dyDescent="0.2">
      <c r="A7068">
        <v>7007</v>
      </c>
      <c r="B7068" s="138">
        <f>'Expenditures 15-22'!K205</f>
        <v>27</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1406</v>
      </c>
      <c r="D7093" s="2" t="str">
        <f t="shared" si="109"/>
        <v>Error?</v>
      </c>
    </row>
    <row r="7094" spans="1:4" x14ac:dyDescent="0.2">
      <c r="A7094">
        <v>7033</v>
      </c>
      <c r="B7094" s="138">
        <f>'Expenditures 15-22'!K254</f>
        <v>1406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127005</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127005</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1106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1106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15211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15211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26883</v>
      </c>
      <c r="D7172" s="2" t="str">
        <f t="shared" si="111"/>
        <v>Error?</v>
      </c>
    </row>
    <row r="7173" spans="1:4" x14ac:dyDescent="0.2">
      <c r="A7173">
        <v>7112</v>
      </c>
      <c r="B7173" s="138">
        <f>'Expenditures 15-22'!D325</f>
        <v>1856</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28739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2566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2566</v>
      </c>
      <c r="D7198" s="2" t="str">
        <f t="shared" si="111"/>
        <v>Error?</v>
      </c>
    </row>
    <row r="7199" spans="1:4" x14ac:dyDescent="0.2">
      <c r="A7199">
        <v>7138</v>
      </c>
      <c r="B7199" s="138">
        <f>'Expenditures 15-22'!C330</f>
        <v>26883</v>
      </c>
      <c r="D7199" s="2" t="str">
        <f t="shared" si="111"/>
        <v>Error?</v>
      </c>
    </row>
    <row r="7200" spans="1:4" x14ac:dyDescent="0.2">
      <c r="A7200">
        <v>7139</v>
      </c>
      <c r="B7200" s="138">
        <f>'Expenditures 15-22'!D330</f>
        <v>1856</v>
      </c>
      <c r="D7200" s="2" t="str">
        <f t="shared" si="111"/>
        <v>Error?</v>
      </c>
    </row>
    <row r="7201" spans="1:4" x14ac:dyDescent="0.2">
      <c r="A7201">
        <v>7140</v>
      </c>
      <c r="B7201" s="138">
        <f>'Expenditures 15-22'!E330</f>
        <v>18883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47622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26883</v>
      </c>
      <c r="D7216" s="2" t="str">
        <f t="shared" si="111"/>
        <v>Error?</v>
      </c>
    </row>
    <row r="7217" spans="1:4" x14ac:dyDescent="0.2">
      <c r="A7217">
        <v>7156</v>
      </c>
      <c r="B7217" s="138">
        <f>'Expenditures 15-22'!D342</f>
        <v>1856</v>
      </c>
      <c r="D7217" s="2" t="str">
        <f t="shared" si="111"/>
        <v>Error?</v>
      </c>
    </row>
    <row r="7218" spans="1:4" x14ac:dyDescent="0.2">
      <c r="A7218">
        <v>7157</v>
      </c>
      <c r="B7218" s="138">
        <f>'Expenditures 15-22'!E342</f>
        <v>18883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47622</v>
      </c>
      <c r="D7224" s="2" t="str">
        <f t="shared" si="111"/>
        <v>Error?</v>
      </c>
    </row>
    <row r="7225" spans="1:4" x14ac:dyDescent="0.2">
      <c r="A7225">
        <v>7164</v>
      </c>
      <c r="B7225" s="138">
        <f>'Expenditures 15-22'!K343</f>
        <v>13966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39352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2474</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2544</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53857</v>
      </c>
      <c r="D7797" s="2" t="str">
        <f t="shared" si="127"/>
        <v>Error?</v>
      </c>
      <c r="E7797" s="4" t="s">
        <v>1904</v>
      </c>
    </row>
    <row r="7798" spans="1:5" x14ac:dyDescent="0.2">
      <c r="A7798">
        <v>7737</v>
      </c>
      <c r="B7798" s="138">
        <f>'Contracts Paid in CY 29'!F141</f>
        <v>36776</v>
      </c>
      <c r="D7798" s="2" t="str">
        <f t="shared" si="127"/>
        <v>Error?</v>
      </c>
      <c r="E7798" s="4" t="s">
        <v>1904</v>
      </c>
    </row>
    <row r="7799" spans="1:5" x14ac:dyDescent="0.2">
      <c r="A7799">
        <v>7738</v>
      </c>
      <c r="B7799" s="138">
        <f>'Contracts Paid in CY 29'!G141</f>
        <v>17081</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85" t="s">
        <v>1191</v>
      </c>
      <c r="B2" s="2385"/>
      <c r="C2" s="2385"/>
      <c r="D2" s="2385"/>
      <c r="E2" s="2385"/>
      <c r="F2" s="2385"/>
      <c r="G2" s="2385"/>
      <c r="H2" s="2385"/>
      <c r="I2" s="2385"/>
      <c r="J2" s="2385"/>
      <c r="K2" s="2385"/>
      <c r="L2" s="2385"/>
    </row>
    <row r="3" spans="1:29" ht="13.5" customHeight="1" x14ac:dyDescent="0.2">
      <c r="A3" s="2416" t="s">
        <v>1190</v>
      </c>
      <c r="B3" s="2416"/>
      <c r="C3" s="2416"/>
      <c r="D3" s="2416"/>
      <c r="E3" s="2416"/>
      <c r="F3" s="2416"/>
      <c r="G3" s="2416"/>
      <c r="H3" s="2416"/>
      <c r="I3" s="2416"/>
      <c r="J3" s="2416"/>
      <c r="K3" s="2416"/>
      <c r="L3" s="2416"/>
    </row>
    <row r="4" spans="1:29" ht="13.5" customHeight="1" x14ac:dyDescent="0.2">
      <c r="A4" s="2385" t="s">
        <v>1989</v>
      </c>
      <c r="B4" s="2406"/>
      <c r="C4" s="2406"/>
      <c r="D4" s="2406"/>
      <c r="E4" s="2406"/>
      <c r="F4" s="2406"/>
      <c r="G4" s="2406"/>
      <c r="H4" s="2406"/>
      <c r="I4" s="2406"/>
      <c r="J4" s="2406"/>
      <c r="K4" s="2406"/>
      <c r="L4" s="240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07" t="str">
        <f>COVER!A17</f>
        <v>St Libory Cons SD 30</v>
      </c>
      <c r="B7" s="2408"/>
      <c r="C7" s="2408"/>
      <c r="D7" s="2409"/>
      <c r="E7" s="2410">
        <f>COVER!A13</f>
        <v>50082030003</v>
      </c>
      <c r="F7" s="2411"/>
      <c r="G7" s="2417" t="str">
        <f>COVER!T23</f>
        <v>065-023476</v>
      </c>
      <c r="H7" s="2418"/>
      <c r="I7" s="2418"/>
      <c r="J7" s="2418"/>
      <c r="K7" s="2418"/>
      <c r="L7" s="2419"/>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20"/>
      <c r="B9" s="2421"/>
      <c r="C9" s="2421"/>
      <c r="D9" s="2421"/>
      <c r="E9" s="2421"/>
      <c r="F9" s="2422"/>
      <c r="G9" s="2391" t="str">
        <f>COVER!T13</f>
        <v>SCHEFFEL BOYLE</v>
      </c>
      <c r="H9" s="2423"/>
      <c r="I9" s="2423"/>
      <c r="J9" s="2423"/>
      <c r="K9" s="2423"/>
      <c r="L9" s="2424"/>
    </row>
    <row r="10" spans="1:29" ht="13.5" customHeight="1" x14ac:dyDescent="0.2">
      <c r="A10" s="2397" t="str">
        <f>COVER!A38</f>
        <v>THOMAS RUDE</v>
      </c>
      <c r="B10" s="2398"/>
      <c r="C10" s="2398"/>
      <c r="D10" s="2398"/>
      <c r="E10" s="2398"/>
      <c r="F10" s="2399"/>
      <c r="G10" s="2391" t="str">
        <f>COVER!T17</f>
        <v>222 EAST MAIN STREET</v>
      </c>
      <c r="H10" s="2392"/>
      <c r="I10" s="2392"/>
      <c r="J10" s="2392"/>
      <c r="K10" s="2392"/>
      <c r="L10" s="2393"/>
    </row>
    <row r="11" spans="1:29" ht="13.5" customHeight="1" x14ac:dyDescent="0.2">
      <c r="A11" s="1183" t="s">
        <v>1519</v>
      </c>
      <c r="B11" s="1184"/>
      <c r="C11" s="1185"/>
      <c r="D11" s="1190"/>
      <c r="E11" s="1185"/>
      <c r="F11" s="1189"/>
      <c r="G11" s="2391" t="str">
        <f>COVER!T19</f>
        <v>BELLEVILLE</v>
      </c>
      <c r="H11" s="2392"/>
      <c r="I11" s="2392"/>
      <c r="J11" s="2392"/>
      <c r="K11" s="2392"/>
      <c r="L11" s="2393"/>
    </row>
    <row r="12" spans="1:29" ht="13.5" customHeight="1" x14ac:dyDescent="0.2">
      <c r="A12" s="2400" t="s">
        <v>1518</v>
      </c>
      <c r="B12" s="2401"/>
      <c r="C12" s="2401"/>
      <c r="D12" s="2401"/>
      <c r="E12" s="2401"/>
      <c r="F12" s="2402"/>
      <c r="G12" s="2394"/>
      <c r="H12" s="2395"/>
      <c r="I12" s="2395"/>
      <c r="J12" s="2395"/>
      <c r="K12" s="2395"/>
      <c r="L12" s="2396"/>
    </row>
    <row r="13" spans="1:29" ht="13.5" customHeight="1" x14ac:dyDescent="0.2">
      <c r="A13" s="2391"/>
      <c r="B13" s="2392"/>
      <c r="C13" s="2392"/>
      <c r="D13" s="2392"/>
      <c r="E13" s="2392"/>
      <c r="F13" s="2393"/>
      <c r="G13" s="2386" t="s">
        <v>1520</v>
      </c>
      <c r="H13" s="2387"/>
      <c r="I13" s="2403" t="str">
        <f>COVER!T25</f>
        <v>brian.otten@scheffelboyle.com</v>
      </c>
      <c r="J13" s="2404"/>
      <c r="K13" s="2404"/>
      <c r="L13" s="2405"/>
    </row>
    <row r="14" spans="1:29" ht="13.5" customHeight="1" x14ac:dyDescent="0.2">
      <c r="A14" s="2391" t="str">
        <f>COVER!A19</f>
        <v>811 DARMSTADT STREET</v>
      </c>
      <c r="B14" s="2392"/>
      <c r="C14" s="2392"/>
      <c r="D14" s="2392"/>
      <c r="E14" s="2392"/>
      <c r="F14" s="2393"/>
      <c r="G14" s="1194" t="s">
        <v>1185</v>
      </c>
      <c r="H14" s="1192"/>
      <c r="I14" s="1192"/>
      <c r="J14" s="1192"/>
      <c r="K14" s="1192"/>
      <c r="L14" s="1193"/>
    </row>
    <row r="15" spans="1:29" ht="13.5" customHeight="1" x14ac:dyDescent="0.2">
      <c r="A15" s="2391" t="str">
        <f>COVER!A21</f>
        <v>ST. LIBORY</v>
      </c>
      <c r="B15" s="2392"/>
      <c r="C15" s="2392"/>
      <c r="D15" s="2392"/>
      <c r="E15" s="2392"/>
      <c r="F15" s="2393"/>
      <c r="G15" s="2388" t="str">
        <f>COVER!T15</f>
        <v>BRIAN A. OTTEN, CPA</v>
      </c>
      <c r="H15" s="2389"/>
      <c r="I15" s="2389"/>
      <c r="J15" s="2389"/>
      <c r="K15" s="2389"/>
      <c r="L15" s="2390"/>
    </row>
    <row r="16" spans="1:29" ht="12.2" customHeight="1" x14ac:dyDescent="0.2">
      <c r="A16" s="2413">
        <f>COVER!A25</f>
        <v>62282</v>
      </c>
      <c r="B16" s="2414"/>
      <c r="C16" s="2414"/>
      <c r="D16" s="2414"/>
      <c r="E16" s="2414"/>
      <c r="F16" s="2415"/>
      <c r="G16" s="2425"/>
      <c r="H16" s="2426"/>
      <c r="I16" s="2426"/>
      <c r="J16" s="2426"/>
      <c r="K16" s="2426"/>
      <c r="L16" s="2427"/>
    </row>
    <row r="17" spans="1:13" ht="12.2" customHeight="1" x14ac:dyDescent="0.2">
      <c r="A17" s="2428"/>
      <c r="B17" s="2414"/>
      <c r="C17" s="2414"/>
      <c r="D17" s="2414"/>
      <c r="E17" s="2414"/>
      <c r="F17" s="2415"/>
      <c r="G17" s="1194" t="s">
        <v>1184</v>
      </c>
      <c r="H17" s="1192"/>
      <c r="I17" s="1192"/>
      <c r="J17" s="1192"/>
      <c r="K17" s="1196" t="s">
        <v>1183</v>
      </c>
      <c r="L17" s="1189"/>
      <c r="M17" s="1182"/>
    </row>
    <row r="18" spans="1:13" ht="12.2" customHeight="1" x14ac:dyDescent="0.2">
      <c r="A18" s="2397"/>
      <c r="B18" s="2398"/>
      <c r="C18" s="2398"/>
      <c r="D18" s="2398"/>
      <c r="E18" s="2398"/>
      <c r="F18" s="2399"/>
      <c r="G18" s="2407" t="str">
        <f>COVER!T21</f>
        <v>618.277.8100</v>
      </c>
      <c r="H18" s="2408"/>
      <c r="I18" s="2408"/>
      <c r="J18" s="2408"/>
      <c r="K18" s="2407" t="str">
        <f>COVER!X21</f>
        <v>681.277.9307</v>
      </c>
      <c r="L18" s="241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9" t="str">
        <f>'Single Audit Cover'!A7</f>
        <v>St Libory Cons SD 30</v>
      </c>
      <c r="B1" s="2406"/>
      <c r="C1" s="2406"/>
      <c r="D1" s="2406"/>
    </row>
    <row r="2" spans="1:11" s="1211" customFormat="1" ht="12.75" x14ac:dyDescent="0.2">
      <c r="A2" s="2430">
        <f>'Single Audit Cover'!E7</f>
        <v>50082030003</v>
      </c>
      <c r="B2" s="2431"/>
      <c r="C2" s="2431"/>
      <c r="D2" s="2431"/>
    </row>
    <row r="3" spans="1:11" s="1211" customFormat="1" ht="12.75" x14ac:dyDescent="0.2">
      <c r="A3" s="2429" t="s">
        <v>1513</v>
      </c>
      <c r="B3" s="2406"/>
      <c r="C3" s="2406"/>
      <c r="D3" s="2406"/>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3" t="str">
        <f>'Single Audit Cover'!A7</f>
        <v>St Libory Cons SD 30</v>
      </c>
      <c r="B1" s="2433"/>
      <c r="C1" s="2433"/>
      <c r="D1" s="2433"/>
      <c r="E1" s="2433"/>
    </row>
    <row r="2" spans="1:5" x14ac:dyDescent="0.2">
      <c r="A2" s="2434">
        <f>'Single Audit Cover'!E7</f>
        <v>50082030003</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6" t="s">
        <v>1243</v>
      </c>
    </row>
    <row r="10" spans="1:5" x14ac:dyDescent="0.2">
      <c r="A10" s="1257" t="s">
        <v>1242</v>
      </c>
      <c r="B10" s="1258" t="s">
        <v>1241</v>
      </c>
      <c r="C10" s="1258"/>
      <c r="D10" s="1259">
        <f>SUM('Acct Summary 7-8'!C7:K7)</f>
        <v>72331</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2799</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-301</v>
      </c>
    </row>
    <row r="19" spans="1:4" ht="13.5" thickBot="1" x14ac:dyDescent="0.25">
      <c r="A19" s="1261" t="s">
        <v>1235</v>
      </c>
      <c r="D19" s="1262">
        <f>SUM(D10:D17)</f>
        <v>74829</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5"/>
      <c r="B24" s="2435"/>
      <c r="D24" s="1264"/>
    </row>
    <row r="25" spans="1:4" x14ac:dyDescent="0.2">
      <c r="A25" s="2432"/>
      <c r="B25" s="2432"/>
      <c r="D25" s="1264"/>
    </row>
    <row r="26" spans="1:4" x14ac:dyDescent="0.2">
      <c r="A26" s="2432"/>
      <c r="B26" s="2432"/>
      <c r="D26" s="1264"/>
    </row>
    <row r="27" spans="1:4" x14ac:dyDescent="0.2">
      <c r="A27" s="2432"/>
      <c r="B27" s="2432"/>
      <c r="D27" s="1264"/>
    </row>
    <row r="28" spans="1:4" x14ac:dyDescent="0.2">
      <c r="A28" s="2432"/>
      <c r="B28" s="2432"/>
      <c r="D28" s="1264"/>
    </row>
    <row r="29" spans="1:4" x14ac:dyDescent="0.2">
      <c r="A29" s="2432"/>
      <c r="B29" s="2432"/>
      <c r="D29" s="1264"/>
    </row>
    <row r="30" spans="1:4" x14ac:dyDescent="0.2">
      <c r="A30" s="2432"/>
      <c r="B30" s="2432"/>
      <c r="D30" s="1264"/>
    </row>
    <row r="32" spans="1:4" x14ac:dyDescent="0.2">
      <c r="A32" s="1256" t="s">
        <v>1233</v>
      </c>
      <c r="D32" s="1259">
        <f>SUM(D19:D30)</f>
        <v>74829</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32"/>
      <c r="B40" s="2432"/>
      <c r="D40" s="1264"/>
    </row>
    <row r="41" spans="1:4" x14ac:dyDescent="0.2">
      <c r="A41" s="2432"/>
      <c r="B41" s="2432"/>
      <c r="D41" s="1267"/>
    </row>
    <row r="42" spans="1:4" x14ac:dyDescent="0.2">
      <c r="A42" s="2432"/>
      <c r="B42" s="2432"/>
      <c r="D42" s="1267"/>
    </row>
    <row r="43" spans="1:4" x14ac:dyDescent="0.2">
      <c r="A43" s="2432"/>
      <c r="B43" s="2432"/>
      <c r="D43" s="1267"/>
    </row>
    <row r="44" spans="1:4" x14ac:dyDescent="0.2">
      <c r="A44" s="2432"/>
      <c r="B44" s="2432"/>
      <c r="D44" s="1267"/>
    </row>
    <row r="45" spans="1:4" x14ac:dyDescent="0.2">
      <c r="A45" s="2432"/>
      <c r="B45" s="2432"/>
      <c r="D45" s="1267"/>
    </row>
    <row r="47" spans="1:4" x14ac:dyDescent="0.2">
      <c r="B47" s="1268" t="s">
        <v>1227</v>
      </c>
      <c r="C47" s="1268"/>
      <c r="D47" s="1269">
        <f>SUM(D35:D45)</f>
        <v>0</v>
      </c>
    </row>
    <row r="49" spans="2:4" x14ac:dyDescent="0.2">
      <c r="B49" s="1268" t="s">
        <v>1226</v>
      </c>
      <c r="C49" s="1268"/>
      <c r="D49" s="1269">
        <f>D32-D47</f>
        <v>74829</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6" t="str">
        <f>'Single Audit Cover'!A7</f>
        <v>St Libory Cons SD 30</v>
      </c>
      <c r="C1" s="2437"/>
      <c r="D1" s="2437"/>
      <c r="E1" s="2437"/>
      <c r="F1" s="2437"/>
      <c r="G1" s="2437"/>
      <c r="H1" s="2437"/>
      <c r="I1" s="2437"/>
      <c r="J1" s="2437"/>
      <c r="K1" s="2437"/>
      <c r="L1" s="2437"/>
      <c r="M1" s="2437"/>
    </row>
    <row r="2" spans="2:14" ht="15" x14ac:dyDescent="0.2">
      <c r="B2" s="2438">
        <f>'Single Audit Cover'!E7</f>
        <v>50082030003</v>
      </c>
      <c r="C2" s="2438"/>
      <c r="D2" s="2438"/>
      <c r="E2" s="2438"/>
      <c r="F2" s="2438"/>
      <c r="G2" s="2438"/>
      <c r="H2" s="2438"/>
      <c r="I2" s="2438"/>
      <c r="J2" s="2438"/>
      <c r="K2" s="2438"/>
      <c r="L2" s="2438"/>
      <c r="M2" s="2438"/>
      <c r="N2" s="1298"/>
    </row>
    <row r="3" spans="2:14" ht="15" x14ac:dyDescent="0.2">
      <c r="B3" s="2439" t="s">
        <v>1219</v>
      </c>
      <c r="C3" s="2439"/>
      <c r="D3" s="2439"/>
      <c r="E3" s="2439"/>
      <c r="F3" s="2439"/>
      <c r="G3" s="2439"/>
      <c r="H3" s="2439"/>
      <c r="I3" s="2439"/>
      <c r="J3" s="2439"/>
      <c r="K3" s="2439"/>
      <c r="L3" s="2439"/>
      <c r="M3" s="2439"/>
      <c r="N3" s="1298"/>
    </row>
    <row r="4" spans="2:14" ht="15" x14ac:dyDescent="0.2">
      <c r="B4" s="2440" t="str">
        <f>'Single Audit Cover'!A4</f>
        <v>Year Ending June 30, 2019</v>
      </c>
      <c r="C4" s="2440"/>
      <c r="D4" s="2440"/>
      <c r="E4" s="2440"/>
      <c r="F4" s="2440"/>
      <c r="G4" s="2440"/>
      <c r="H4" s="2440"/>
      <c r="I4" s="2440"/>
      <c r="J4" s="2440"/>
      <c r="K4" s="2440"/>
      <c r="L4" s="2440"/>
      <c r="M4" s="2440"/>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4" sqref="A4:F4"/>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St Libory Cons SD 30</v>
      </c>
      <c r="B1" s="2450"/>
      <c r="C1" s="2450"/>
      <c r="D1" s="2450"/>
      <c r="E1" s="2450"/>
      <c r="F1" s="2450"/>
    </row>
    <row r="2" spans="1:7" ht="13.5" customHeight="1" x14ac:dyDescent="0.2">
      <c r="A2" s="2438">
        <f>'Single Audit Cover'!E7</f>
        <v>50082030003</v>
      </c>
      <c r="B2" s="2438"/>
      <c r="C2" s="2438"/>
      <c r="D2" s="2438"/>
      <c r="E2" s="2438"/>
      <c r="F2" s="2438"/>
      <c r="G2" s="1271"/>
    </row>
    <row r="3" spans="1:7" ht="15.75" customHeight="1" x14ac:dyDescent="0.2">
      <c r="A3" s="2451" t="s">
        <v>1271</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7"/>
      <c r="D5" s="317"/>
    </row>
    <row r="6" spans="1:7" ht="13.5" customHeight="1" x14ac:dyDescent="0.2">
      <c r="A6" s="1272" t="s">
        <v>1728</v>
      </c>
      <c r="C6" s="317"/>
      <c r="D6" s="317"/>
    </row>
    <row r="7" spans="1:7" ht="60.95" customHeight="1" x14ac:dyDescent="0.2">
      <c r="A7" s="2449" t="s">
        <v>1729</v>
      </c>
      <c r="B7" s="2449"/>
      <c r="C7" s="2449"/>
      <c r="D7" s="2449"/>
      <c r="E7" s="2449"/>
      <c r="F7" s="2449"/>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49" t="s">
        <v>1731</v>
      </c>
      <c r="B13" s="2449"/>
      <c r="C13" s="2449"/>
      <c r="D13" s="2449"/>
      <c r="E13" s="2449"/>
      <c r="F13" s="2449"/>
    </row>
    <row r="14" spans="1:7" ht="9.75" customHeight="1" x14ac:dyDescent="0.2">
      <c r="C14" s="1256"/>
      <c r="D14" s="1256"/>
    </row>
    <row r="15" spans="1:7" ht="13.5" customHeight="1" x14ac:dyDescent="0.2">
      <c r="C15" s="1845" t="s">
        <v>1270</v>
      </c>
      <c r="D15" s="2447" t="s">
        <v>1269</v>
      </c>
      <c r="E15" s="2447"/>
      <c r="F15" s="2447"/>
    </row>
    <row r="16" spans="1:7" ht="13.5" customHeight="1" x14ac:dyDescent="0.2">
      <c r="A16" s="1278"/>
      <c r="B16" s="1272" t="s">
        <v>1268</v>
      </c>
      <c r="C16" s="1845" t="s">
        <v>1267</v>
      </c>
      <c r="D16" s="2448" t="s">
        <v>1588</v>
      </c>
      <c r="E16" s="2448"/>
      <c r="F16" s="2448"/>
    </row>
    <row r="17" spans="1:6" ht="20.45" customHeight="1" x14ac:dyDescent="0.2">
      <c r="A17" s="1279"/>
      <c r="B17" s="1280"/>
      <c r="C17" s="1281"/>
      <c r="D17" s="2442"/>
      <c r="E17" s="2442"/>
      <c r="F17" s="2442"/>
    </row>
    <row r="18" spans="1:6" ht="20.65" customHeight="1" x14ac:dyDescent="0.2">
      <c r="A18" s="1279"/>
      <c r="B18" s="1280"/>
      <c r="C18" s="1281"/>
      <c r="D18" s="2442"/>
      <c r="E18" s="2442"/>
      <c r="F18" s="2442"/>
    </row>
    <row r="19" spans="1:6" ht="20.65" customHeight="1" x14ac:dyDescent="0.2">
      <c r="A19" s="1279"/>
      <c r="B19" s="1280"/>
      <c r="C19" s="1281"/>
      <c r="D19" s="2442"/>
      <c r="E19" s="2442"/>
      <c r="F19" s="2442"/>
    </row>
    <row r="20" spans="1:6" ht="20.65" customHeight="1" x14ac:dyDescent="0.2">
      <c r="A20" s="1279"/>
      <c r="B20" s="1280"/>
      <c r="C20" s="1281"/>
      <c r="D20" s="2442"/>
      <c r="E20" s="2442"/>
      <c r="F20" s="2442"/>
    </row>
    <row r="21" spans="1:6" ht="20.65" customHeight="1" x14ac:dyDescent="0.2">
      <c r="A21" s="1279"/>
      <c r="B21" s="1280"/>
      <c r="C21" s="1281"/>
      <c r="D21" s="2442"/>
      <c r="E21" s="2442"/>
      <c r="F21" s="2442"/>
    </row>
    <row r="22" spans="1:6" ht="20.65" customHeight="1" x14ac:dyDescent="0.2">
      <c r="A22" s="1279"/>
      <c r="B22" s="1280"/>
      <c r="C22" s="1281"/>
      <c r="D22" s="2442"/>
      <c r="E22" s="2442"/>
      <c r="F22" s="2442"/>
    </row>
    <row r="23" spans="1:6" ht="20.65" customHeight="1" x14ac:dyDescent="0.2">
      <c r="A23" s="1279"/>
      <c r="B23" s="1280"/>
      <c r="C23" s="1281"/>
      <c r="D23" s="2442"/>
      <c r="E23" s="2442"/>
      <c r="F23" s="2442"/>
    </row>
    <row r="24" spans="1:6" ht="20.65" customHeight="1" x14ac:dyDescent="0.2">
      <c r="A24" s="1279"/>
      <c r="B24" s="1280"/>
      <c r="C24" s="1281"/>
      <c r="D24" s="2442"/>
      <c r="E24" s="2442"/>
      <c r="F24" s="2442"/>
    </row>
    <row r="25" spans="1:6" ht="20.65" customHeight="1" x14ac:dyDescent="0.2">
      <c r="A25" s="1279"/>
      <c r="B25" s="1280"/>
      <c r="C25" s="1281"/>
      <c r="D25" s="2442"/>
      <c r="E25" s="2442"/>
      <c r="F25" s="2442"/>
    </row>
    <row r="26" spans="1:6" ht="20.65" customHeight="1" x14ac:dyDescent="0.2">
      <c r="A26" s="1279"/>
      <c r="B26" s="1280"/>
      <c r="C26" s="1281"/>
      <c r="D26" s="2442"/>
      <c r="E26" s="2442"/>
      <c r="F26" s="2442"/>
    </row>
    <row r="27" spans="1:6" ht="20.65" customHeight="1" x14ac:dyDescent="0.2">
      <c r="A27" s="1279"/>
      <c r="B27" s="1280"/>
      <c r="C27" s="1281"/>
      <c r="D27" s="2442"/>
      <c r="E27" s="2442"/>
      <c r="F27" s="2442"/>
    </row>
    <row r="28" spans="1:6" ht="20.65" customHeight="1" x14ac:dyDescent="0.2">
      <c r="A28" s="1279"/>
      <c r="B28" s="1280"/>
      <c r="C28" s="1281"/>
      <c r="D28" s="2442"/>
      <c r="E28" s="2442"/>
      <c r="F28" s="2442"/>
    </row>
    <row r="29" spans="1:6" ht="20.65" customHeight="1" x14ac:dyDescent="0.2">
      <c r="A29" s="1279"/>
      <c r="B29" s="1280"/>
      <c r="C29" s="1281"/>
      <c r="D29" s="2442"/>
      <c r="E29" s="2442"/>
      <c r="F29" s="2442"/>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43" t="s">
        <v>1732</v>
      </c>
      <c r="B32" s="2443"/>
      <c r="C32" s="2443"/>
      <c r="D32" s="2443"/>
      <c r="E32" s="2443"/>
      <c r="F32" s="2443"/>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44">
        <f>+C33+C34</f>
        <v>0</v>
      </c>
      <c r="F34" s="2445"/>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6" t="s">
        <v>1590</v>
      </c>
      <c r="C49" s="2446"/>
      <c r="D49" s="2446"/>
      <c r="E49" s="1395"/>
    </row>
    <row r="50" spans="1:5" s="1296" customFormat="1" ht="3.75" customHeight="1" x14ac:dyDescent="0.2">
      <c r="A50" s="1295"/>
      <c r="B50" s="1844"/>
      <c r="C50" s="1844"/>
      <c r="D50" s="1844"/>
      <c r="E50" s="1395"/>
    </row>
    <row r="51" spans="1:5" s="1296" customFormat="1" ht="20.25" customHeight="1" x14ac:dyDescent="0.2">
      <c r="A51" s="1297">
        <v>6</v>
      </c>
      <c r="B51" s="2441" t="s">
        <v>1551</v>
      </c>
      <c r="C51" s="2441"/>
      <c r="D51" s="2441"/>
    </row>
    <row r="52" spans="1:5" ht="14.25" customHeight="1" x14ac:dyDescent="0.2">
      <c r="A52" s="1297"/>
      <c r="B52" s="2441"/>
      <c r="C52" s="2441"/>
      <c r="D52" s="2441"/>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I96" sqref="I9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2066</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25"/>
  <pageSetup scale="85" firstPageNumber="6" orientation="portrait" r:id="rId1"/>
  <headerFooter differentFirst="1" scaleWithDoc="0">
    <oddHeader xml:space="preserve">&amp;C </oddHeader>
    <oddFooter>&amp;LSee notes to financial statements.&amp;C7</oddFooter>
    <firstFooter>&amp;LSee notes to financial statements.&amp;C6</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4" sqref="A4:I4"/>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4" t="str">
        <f>'Single Audit Cover'!A7</f>
        <v>St Libory Cons SD 30</v>
      </c>
      <c r="C1" s="2465"/>
      <c r="D1" s="2465"/>
      <c r="E1" s="2465"/>
      <c r="F1" s="2465"/>
      <c r="G1" s="2465"/>
      <c r="H1" s="2465"/>
      <c r="I1" s="2465"/>
      <c r="J1" s="1405"/>
    </row>
    <row r="2" spans="2:10" s="317" customFormat="1" ht="12.75" customHeight="1" x14ac:dyDescent="0.2">
      <c r="B2" s="2466">
        <f>'Single Audit Cover'!E7</f>
        <v>50082030003</v>
      </c>
      <c r="C2" s="2467"/>
      <c r="D2" s="2467"/>
      <c r="E2" s="2467"/>
      <c r="F2" s="2467"/>
      <c r="G2" s="2467"/>
      <c r="H2" s="2467"/>
      <c r="I2" s="2467"/>
      <c r="J2" s="1405"/>
    </row>
    <row r="3" spans="2:10" s="317" customFormat="1" ht="12.75" customHeight="1" x14ac:dyDescent="0.2">
      <c r="B3" s="2468" t="s">
        <v>1285</v>
      </c>
      <c r="C3" s="2469"/>
      <c r="D3" s="2469"/>
      <c r="E3" s="2469"/>
      <c r="F3" s="2469"/>
      <c r="G3" s="2469"/>
      <c r="H3" s="2469"/>
      <c r="I3" s="2469"/>
      <c r="J3" s="1406"/>
    </row>
    <row r="4" spans="2:10" s="317" customFormat="1" ht="12.75" customHeight="1" x14ac:dyDescent="0.2">
      <c r="B4" s="2468" t="str">
        <f>'Single Audit Cover'!A4</f>
        <v>Year Ending June 30, 2019</v>
      </c>
      <c r="C4" s="2469"/>
      <c r="D4" s="2469"/>
      <c r="E4" s="2469"/>
      <c r="F4" s="2469"/>
      <c r="G4" s="2469"/>
      <c r="H4" s="2469"/>
      <c r="I4" s="2469"/>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8" t="s">
        <v>1284</v>
      </c>
      <c r="C7" s="2469"/>
      <c r="D7" s="2469"/>
      <c r="E7" s="2469"/>
      <c r="F7" s="2469"/>
      <c r="G7" s="2469"/>
      <c r="H7" s="2469"/>
      <c r="I7" s="2469"/>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70"/>
      <c r="D11" s="2470"/>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71"/>
      <c r="E29" s="2471"/>
      <c r="F29" s="2471"/>
      <c r="G29" s="2471"/>
      <c r="H29" s="2471"/>
      <c r="I29" s="2471"/>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72" t="s">
        <v>1751</v>
      </c>
      <c r="D37" s="2473"/>
      <c r="E37" s="2473"/>
      <c r="F37" s="2474"/>
      <c r="G37" s="2472" t="s">
        <v>1592</v>
      </c>
      <c r="H37" s="2473"/>
      <c r="I37" s="2474"/>
    </row>
    <row r="38" spans="2:9" ht="16.5" customHeight="1" x14ac:dyDescent="0.2">
      <c r="B38" s="1427"/>
      <c r="C38" s="2460"/>
      <c r="D38" s="2461"/>
      <c r="E38" s="2461"/>
      <c r="F38" s="2462"/>
      <c r="G38" s="2475"/>
      <c r="H38" s="2476"/>
      <c r="I38" s="2477"/>
    </row>
    <row r="39" spans="2:9" ht="16.5" customHeight="1" x14ac:dyDescent="0.2">
      <c r="B39" s="1427"/>
      <c r="C39" s="2460"/>
      <c r="D39" s="2461"/>
      <c r="E39" s="2461"/>
      <c r="F39" s="2462"/>
      <c r="G39" s="2463"/>
      <c r="H39" s="2463"/>
      <c r="I39" s="2463"/>
    </row>
    <row r="40" spans="2:9" ht="16.5" customHeight="1" x14ac:dyDescent="0.2">
      <c r="B40" s="1427"/>
      <c r="C40" s="2460"/>
      <c r="D40" s="2461"/>
      <c r="E40" s="2461"/>
      <c r="F40" s="2462"/>
      <c r="G40" s="2463"/>
      <c r="H40" s="2463"/>
      <c r="I40" s="2463"/>
    </row>
    <row r="41" spans="2:9" ht="16.5" customHeight="1" x14ac:dyDescent="0.2">
      <c r="B41" s="1427"/>
      <c r="C41" s="2460"/>
      <c r="D41" s="2461"/>
      <c r="E41" s="2461"/>
      <c r="F41" s="2462"/>
      <c r="G41" s="2463"/>
      <c r="H41" s="2463"/>
      <c r="I41" s="2463"/>
    </row>
    <row r="42" spans="2:9" ht="16.5" customHeight="1" x14ac:dyDescent="0.2">
      <c r="B42" s="1427"/>
      <c r="C42" s="2460"/>
      <c r="D42" s="2461"/>
      <c r="E42" s="2461"/>
      <c r="F42" s="2462"/>
      <c r="G42" s="2463"/>
      <c r="H42" s="2463"/>
      <c r="I42" s="2463"/>
    </row>
    <row r="43" spans="2:9" ht="16.5" customHeight="1" x14ac:dyDescent="0.2">
      <c r="B43" s="1427"/>
      <c r="C43" s="2453" t="s">
        <v>1593</v>
      </c>
      <c r="D43" s="2454"/>
      <c r="E43" s="2454"/>
      <c r="F43" s="2455"/>
      <c r="G43" s="2456">
        <f>SUM(G38:I42)</f>
        <v>0</v>
      </c>
      <c r="H43" s="2456"/>
      <c r="I43" s="2456"/>
    </row>
    <row r="44" spans="2:9" ht="12.75" customHeight="1" x14ac:dyDescent="0.2"/>
    <row r="45" spans="2:9" ht="12.75" customHeight="1" x14ac:dyDescent="0.2">
      <c r="B45" s="1418" t="s">
        <v>1841</v>
      </c>
      <c r="D45" s="2457">
        <v>0</v>
      </c>
      <c r="E45" s="2458"/>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59"/>
      <c r="F49" s="2459"/>
      <c r="G49" s="2459"/>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4" sqref="A4:K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St Libory Cons SD 30</v>
      </c>
      <c r="C1" s="2464"/>
      <c r="D1" s="2464"/>
      <c r="E1" s="2464"/>
      <c r="F1" s="2464"/>
      <c r="G1" s="2464"/>
      <c r="H1" s="2464"/>
      <c r="I1" s="2464"/>
      <c r="J1" s="2464"/>
      <c r="K1" s="2464"/>
      <c r="L1" s="1370"/>
      <c r="M1" s="1370"/>
    </row>
    <row r="2" spans="1:13" ht="12" customHeight="1" x14ac:dyDescent="0.2">
      <c r="B2" s="2466">
        <f>'Single Audit Cover'!E7</f>
        <v>50082030003</v>
      </c>
      <c r="C2" s="2466"/>
      <c r="D2" s="2466"/>
      <c r="E2" s="2466"/>
      <c r="F2" s="2466"/>
      <c r="G2" s="2466"/>
      <c r="H2" s="2466"/>
      <c r="I2" s="2466"/>
      <c r="J2" s="2466"/>
      <c r="K2" s="2466"/>
      <c r="L2" s="1371"/>
      <c r="M2" s="1372"/>
    </row>
    <row r="3" spans="1:13" ht="10.35" customHeight="1" x14ac:dyDescent="0.2">
      <c r="B3" s="2480" t="s">
        <v>1285</v>
      </c>
      <c r="C3" s="2480"/>
      <c r="D3" s="2480"/>
      <c r="E3" s="2480"/>
      <c r="F3" s="2480"/>
      <c r="G3" s="2480"/>
      <c r="H3" s="2480"/>
      <c r="I3" s="2480"/>
      <c r="J3" s="2480"/>
      <c r="K3" s="2480"/>
      <c r="L3" s="1373"/>
      <c r="M3" s="1373"/>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1" t="s">
        <v>1296</v>
      </c>
      <c r="C7" s="2481"/>
      <c r="D7" s="2482"/>
      <c r="E7" s="2482"/>
      <c r="F7" s="2482"/>
      <c r="G7" s="2482"/>
      <c r="H7" s="2482"/>
      <c r="I7" s="2482"/>
      <c r="J7" s="2482"/>
      <c r="K7" s="2482"/>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9"/>
      <c r="C14" s="2479"/>
      <c r="D14" s="2479"/>
      <c r="E14" s="2479"/>
      <c r="F14" s="2479"/>
      <c r="G14" s="2479"/>
      <c r="H14" s="2479"/>
      <c r="I14" s="2479"/>
      <c r="J14" s="2479"/>
      <c r="K14" s="2479"/>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9"/>
      <c r="C17" s="2479"/>
      <c r="D17" s="2479"/>
      <c r="E17" s="2479"/>
      <c r="F17" s="2479"/>
      <c r="G17" s="2479"/>
      <c r="H17" s="2479"/>
      <c r="I17" s="2479"/>
      <c r="J17" s="2479"/>
      <c r="K17" s="2479"/>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3"/>
      <c r="C20" s="2483"/>
      <c r="D20" s="2479"/>
      <c r="E20" s="2479"/>
      <c r="F20" s="2479"/>
      <c r="G20" s="2479"/>
      <c r="H20" s="2479"/>
      <c r="I20" s="2479"/>
      <c r="J20" s="2479"/>
      <c r="K20" s="2479"/>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9"/>
      <c r="C23" s="2479"/>
      <c r="D23" s="2479"/>
      <c r="E23" s="2479"/>
      <c r="F23" s="2479"/>
      <c r="G23" s="2479"/>
      <c r="H23" s="2479"/>
      <c r="I23" s="2479"/>
      <c r="J23" s="2479"/>
      <c r="K23" s="2479"/>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9"/>
      <c r="C26" s="2479"/>
      <c r="D26" s="2479"/>
      <c r="E26" s="2479"/>
      <c r="F26" s="2479"/>
      <c r="G26" s="2479"/>
      <c r="H26" s="2479"/>
      <c r="I26" s="2479"/>
      <c r="J26" s="2479"/>
      <c r="K26" s="2479"/>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8"/>
      <c r="C29" s="2478"/>
      <c r="D29" s="2479"/>
      <c r="E29" s="2479"/>
      <c r="F29" s="2479"/>
      <c r="G29" s="2479"/>
      <c r="H29" s="2479"/>
      <c r="I29" s="2479"/>
      <c r="J29" s="2479"/>
      <c r="K29" s="2479"/>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78"/>
      <c r="C32" s="2478"/>
      <c r="D32" s="2479"/>
      <c r="E32" s="2479"/>
      <c r="F32" s="2479"/>
      <c r="G32" s="2479"/>
      <c r="H32" s="2479"/>
      <c r="I32" s="2479"/>
      <c r="J32" s="2479"/>
      <c r="K32" s="2479"/>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A4" sqref="A4:K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St Libory Cons SD 30</v>
      </c>
      <c r="C1" s="2487"/>
      <c r="D1" s="2487"/>
      <c r="E1" s="2487"/>
      <c r="F1" s="2487"/>
      <c r="G1" s="2487"/>
      <c r="H1" s="2487"/>
      <c r="I1" s="2487"/>
      <c r="J1" s="2487"/>
      <c r="K1" s="2487"/>
      <c r="L1" s="1448"/>
    </row>
    <row r="2" spans="1:12" ht="12.75" customHeight="1" x14ac:dyDescent="0.2">
      <c r="B2" s="2488">
        <f>'Single Audit Cover'!E7</f>
        <v>50082030003</v>
      </c>
      <c r="C2" s="2488"/>
      <c r="D2" s="2488"/>
      <c r="E2" s="2488"/>
      <c r="F2" s="2488"/>
      <c r="G2" s="2488"/>
      <c r="H2" s="2488"/>
      <c r="I2" s="2488"/>
      <c r="J2" s="2488"/>
      <c r="K2" s="2488"/>
      <c r="L2" s="1449"/>
    </row>
    <row r="3" spans="1:12" ht="12.75" customHeight="1" x14ac:dyDescent="0.2">
      <c r="B3" s="2480" t="s">
        <v>1285</v>
      </c>
      <c r="C3" s="2480"/>
      <c r="D3" s="2480"/>
      <c r="E3" s="2480"/>
      <c r="F3" s="2480"/>
      <c r="G3" s="2480"/>
      <c r="H3" s="2480"/>
      <c r="I3" s="2480"/>
      <c r="J3" s="2480"/>
      <c r="K3" s="2480"/>
      <c r="L3" s="1373"/>
    </row>
    <row r="4" spans="1:12" ht="12.75" customHeight="1" x14ac:dyDescent="0.2">
      <c r="B4" s="2480" t="str">
        <f>'Single Audit Cover'!A4</f>
        <v>Year Ending June 30, 2019</v>
      </c>
      <c r="C4" s="2480"/>
      <c r="D4" s="2480"/>
      <c r="E4" s="2480"/>
      <c r="F4" s="2480"/>
      <c r="G4" s="2480"/>
      <c r="H4" s="2480"/>
      <c r="I4" s="2480"/>
      <c r="J4" s="2480"/>
      <c r="K4" s="2480"/>
      <c r="L4" s="1373"/>
    </row>
    <row r="5" spans="1:12" ht="5.25" customHeight="1" x14ac:dyDescent="0.2">
      <c r="B5" s="1256" t="s">
        <v>1169</v>
      </c>
      <c r="C5" s="1256"/>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71"/>
      <c r="G12" s="2471"/>
      <c r="H12" s="2471"/>
      <c r="I12" s="2471"/>
      <c r="J12" s="2471"/>
      <c r="K12" s="2471"/>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4"/>
      <c r="E14" s="2484"/>
      <c r="F14" s="2484"/>
      <c r="H14" s="1458" t="s">
        <v>1303</v>
      </c>
      <c r="I14" s="2485"/>
      <c r="J14" s="2485"/>
      <c r="K14" s="2485"/>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85"/>
      <c r="E16" s="2485"/>
      <c r="F16" s="2485"/>
      <c r="G16" s="2485"/>
      <c r="H16" s="2485"/>
      <c r="I16" s="2485"/>
      <c r="J16" s="2485"/>
      <c r="K16" s="2485"/>
      <c r="L16" s="322"/>
    </row>
    <row r="17" spans="2:12" ht="13.5" customHeight="1" x14ac:dyDescent="0.2">
      <c r="B17" s="1383" t="s">
        <v>1301</v>
      </c>
      <c r="C17" s="1383"/>
      <c r="D17" s="2486"/>
      <c r="E17" s="2486"/>
      <c r="F17" s="2486"/>
      <c r="G17" s="2486"/>
      <c r="H17" s="2486"/>
      <c r="I17" s="2486"/>
      <c r="J17" s="2486"/>
      <c r="K17" s="2486"/>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79"/>
      <c r="C20" s="2479"/>
      <c r="D20" s="2479"/>
      <c r="E20" s="2479"/>
      <c r="F20" s="2479"/>
      <c r="G20" s="2479"/>
      <c r="H20" s="2479"/>
      <c r="I20" s="2479"/>
      <c r="J20" s="2479"/>
      <c r="K20" s="2479"/>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4" sqref="A4:F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64" t="str">
        <f>'Single Audit Cover'!A7</f>
        <v>St Libory Cons SD 30</v>
      </c>
      <c r="C1" s="2464"/>
      <c r="D1" s="2464"/>
      <c r="E1" s="1468"/>
    </row>
    <row r="2" spans="2:5" s="1278" customFormat="1" ht="12.75" customHeight="1" x14ac:dyDescent="0.2">
      <c r="B2" s="2466">
        <f>'Single Audit Cover'!E7</f>
        <v>50082030003</v>
      </c>
      <c r="C2" s="2466"/>
      <c r="D2" s="2466"/>
      <c r="E2" s="1469"/>
    </row>
    <row r="3" spans="2:5" ht="12.75" customHeight="1" x14ac:dyDescent="0.2">
      <c r="B3" s="2480" t="s">
        <v>1766</v>
      </c>
      <c r="C3" s="2480"/>
      <c r="D3" s="2480"/>
      <c r="E3" s="1270"/>
    </row>
    <row r="4" spans="2:5" s="1278" customFormat="1" ht="12.75" customHeight="1" x14ac:dyDescent="0.2">
      <c r="B4" s="2490" t="str">
        <f>'Single Audit Cover'!A4</f>
        <v>Year Ending June 30, 2019</v>
      </c>
      <c r="C4" s="2490"/>
      <c r="D4" s="2490"/>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13115564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2.4208E-2</v>
      </c>
      <c r="E10" s="356" t="s">
        <v>1005</v>
      </c>
      <c r="F10" s="355">
        <v>3.7499999999999999E-3</v>
      </c>
      <c r="G10" s="356" t="s">
        <v>1005</v>
      </c>
      <c r="H10" s="355">
        <v>1.1999999999999999E-3</v>
      </c>
      <c r="I10" s="356" t="s">
        <v>1006</v>
      </c>
      <c r="J10" s="1731">
        <f>ROUND(D10+F10+H10,5)</f>
        <v>2.9159999999999998E-2</v>
      </c>
      <c r="K10" s="222"/>
      <c r="L10" s="355">
        <v>4.9600000000000002E-4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840412</v>
      </c>
      <c r="E16" s="356"/>
      <c r="F16" s="1732">
        <f>SUM('Acct Summary 7-8'!C17,'Acct Summary 7-8'!D17,'Acct Summary 7-8'!F17)</f>
        <v>728504</v>
      </c>
      <c r="G16" s="356"/>
      <c r="H16" s="1732">
        <f>SUM(D16-F16)</f>
        <v>111908</v>
      </c>
      <c r="I16" s="222"/>
      <c r="J16" s="1732">
        <f>SUM('Acct Summary 7-8'!C81,'Acct Summary 7-8'!D81,'Acct Summary 7-8'!F81,'Acct Summary 7-8'!I81)</f>
        <v>415311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34">
        <f>IF(B31="X",(J7*0.069),IF(B32="X",(J7*0.138),"Enter x in a.or b."))</f>
        <v>904973.91600000008</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25"/>
  <pageSetup scale="90" firstPageNumber="3" orientation="portrait" useFirstPageNumber="1" r:id="rId1"/>
  <headerFooter scaleWithDoc="0">
    <oddFooter>&amp;LSee notes to financial statements.&amp;C8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8" zoomScale="110" zoomScaleNormal="110" workbookViewId="0">
      <selection activeCell="H13" sqref="H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St Libory Cons SD 30</v>
      </c>
      <c r="E7" s="391"/>
      <c r="G7" s="252"/>
      <c r="H7" s="387"/>
      <c r="I7" s="387"/>
      <c r="J7" s="387"/>
      <c r="K7" s="387"/>
      <c r="L7" s="329"/>
      <c r="M7" s="329"/>
      <c r="N7" s="329"/>
      <c r="O7" s="329"/>
      <c r="P7" s="329"/>
    </row>
    <row r="8" spans="1:18" ht="12.75" x14ac:dyDescent="0.2">
      <c r="A8" s="329"/>
      <c r="B8" s="329"/>
      <c r="C8" s="389" t="s">
        <v>1125</v>
      </c>
      <c r="D8" s="392">
        <f>COVER!A13</f>
        <v>50082030003</v>
      </c>
      <c r="E8" s="393"/>
      <c r="G8" s="329"/>
      <c r="H8" s="329"/>
      <c r="I8" s="329"/>
      <c r="J8" s="329"/>
      <c r="K8" s="329"/>
      <c r="L8" s="329"/>
      <c r="M8" s="329"/>
      <c r="N8" s="329"/>
      <c r="O8" s="329"/>
      <c r="P8" s="329"/>
    </row>
    <row r="9" spans="1:18" ht="12.75" x14ac:dyDescent="0.2">
      <c r="A9" s="329"/>
      <c r="B9" s="329"/>
      <c r="C9" s="389" t="s">
        <v>713</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415311</v>
      </c>
      <c r="I12" s="404"/>
      <c r="J12" s="404"/>
      <c r="K12" s="405">
        <f>TRUNC((H12/H13*100000),5)/100000</f>
        <v>0.49417547579999999</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840412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728504</v>
      </c>
      <c r="I17" s="404"/>
      <c r="J17" s="416"/>
      <c r="K17" s="405">
        <f>TRUNC((H17/H18*100000),5)/100000</f>
        <v>0.86684150150000006</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840412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415311</v>
      </c>
      <c r="I24" s="422"/>
      <c r="J24" s="422"/>
      <c r="K24" s="423">
        <f>TRUNC(((H24/H25*100000)/100000),2)</f>
        <v>205.23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2023.62222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325082.36930000002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904973.91600000008</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25"/>
  <pageSetup scale="85" firstPageNumber="4" orientation="landscape" useFirstPageNumber="1" r:id="rId3"/>
  <headerFooter scaleWithDoc="0">
    <oddHeader xml:space="preserve">&amp;C </oddHeader>
    <oddFooter>&amp;LSee notes to financial statements&amp;8.&amp;C9</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4" sqref="A4:F4"/>
      <selection pane="bottomLeft" activeCell="D30" sqref="D3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8"/>
      <c r="D3" s="1559"/>
      <c r="E3" s="1559"/>
      <c r="F3" s="1559"/>
      <c r="G3" s="1559"/>
      <c r="H3" s="1559"/>
      <c r="I3" s="1559"/>
      <c r="J3" s="1559"/>
      <c r="K3" s="1559"/>
      <c r="L3" s="1559"/>
      <c r="M3" s="1560"/>
      <c r="N3" s="1561"/>
    </row>
    <row r="4" spans="1:14" ht="13.5" customHeight="1" x14ac:dyDescent="0.2">
      <c r="A4" s="463" t="s">
        <v>1651</v>
      </c>
      <c r="B4" s="464"/>
      <c r="C4" s="465">
        <v>312450</v>
      </c>
      <c r="D4" s="466">
        <v>60798</v>
      </c>
      <c r="E4" s="466">
        <v>0</v>
      </c>
      <c r="F4" s="466">
        <v>27091</v>
      </c>
      <c r="G4" s="466">
        <v>20589</v>
      </c>
      <c r="H4" s="466">
        <v>10002</v>
      </c>
      <c r="I4" s="466">
        <v>14972</v>
      </c>
      <c r="J4" s="467">
        <v>46316</v>
      </c>
      <c r="K4" s="466">
        <v>31931</v>
      </c>
      <c r="L4" s="466">
        <v>25162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312450</v>
      </c>
      <c r="D13" s="1736">
        <f t="shared" ref="D13:L13" si="0">SUM(D4:D12)</f>
        <v>60798</v>
      </c>
      <c r="E13" s="1736">
        <f t="shared" si="0"/>
        <v>0</v>
      </c>
      <c r="F13" s="1736">
        <f t="shared" si="0"/>
        <v>27091</v>
      </c>
      <c r="G13" s="1736">
        <f t="shared" si="0"/>
        <v>20589</v>
      </c>
      <c r="H13" s="1736">
        <f t="shared" si="0"/>
        <v>10002</v>
      </c>
      <c r="I13" s="1736">
        <f t="shared" si="0"/>
        <v>14972</v>
      </c>
      <c r="J13" s="1736">
        <f t="shared" si="0"/>
        <v>46316</v>
      </c>
      <c r="K13" s="1736">
        <f t="shared" si="0"/>
        <v>31931</v>
      </c>
      <c r="L13" s="1736">
        <f t="shared" si="0"/>
        <v>25162</v>
      </c>
      <c r="M13" s="468"/>
      <c r="N13" s="469"/>
    </row>
    <row r="14" spans="1:14" ht="18" customHeight="1" thickTop="1" x14ac:dyDescent="0.2">
      <c r="A14" s="2114" t="s">
        <v>147</v>
      </c>
      <c r="B14" s="2115"/>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1793</v>
      </c>
      <c r="N16" s="484"/>
    </row>
    <row r="17" spans="1:14" s="485" customFormat="1" ht="12.75" customHeight="1" x14ac:dyDescent="0.2">
      <c r="A17" s="482" t="s">
        <v>1403</v>
      </c>
      <c r="B17" s="483">
        <v>230</v>
      </c>
      <c r="C17" s="477"/>
      <c r="D17" s="477"/>
      <c r="E17" s="477"/>
      <c r="F17" s="477"/>
      <c r="G17" s="477"/>
      <c r="H17" s="477"/>
      <c r="I17" s="477"/>
      <c r="J17" s="477"/>
      <c r="K17" s="477"/>
      <c r="L17" s="477"/>
      <c r="M17" s="467">
        <v>1140982</v>
      </c>
      <c r="N17" s="484"/>
    </row>
    <row r="18" spans="1:14" s="485" customFormat="1" ht="12.75" customHeight="1" x14ac:dyDescent="0.2">
      <c r="A18" s="482" t="s">
        <v>1404</v>
      </c>
      <c r="B18" s="483">
        <v>240</v>
      </c>
      <c r="C18" s="477"/>
      <c r="D18" s="477"/>
      <c r="E18" s="477"/>
      <c r="F18" s="477"/>
      <c r="G18" s="477"/>
      <c r="H18" s="477"/>
      <c r="I18" s="477"/>
      <c r="J18" s="477"/>
      <c r="K18" s="477"/>
      <c r="L18" s="477"/>
      <c r="M18" s="467">
        <v>24940</v>
      </c>
      <c r="N18" s="484"/>
    </row>
    <row r="19" spans="1:14" s="485" customFormat="1" ht="12.75" customHeight="1" x14ac:dyDescent="0.2">
      <c r="A19" s="482" t="s">
        <v>1405</v>
      </c>
      <c r="B19" s="483">
        <v>250</v>
      </c>
      <c r="C19" s="477"/>
      <c r="D19" s="477"/>
      <c r="E19" s="477"/>
      <c r="F19" s="477"/>
      <c r="G19" s="477"/>
      <c r="H19" s="477"/>
      <c r="I19" s="477"/>
      <c r="J19" s="477"/>
      <c r="K19" s="477"/>
      <c r="L19" s="477"/>
      <c r="M19" s="467">
        <v>248083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5" t="s">
        <v>643</v>
      </c>
      <c r="B23" s="1740"/>
      <c r="C23" s="468"/>
      <c r="D23" s="468"/>
      <c r="E23" s="468"/>
      <c r="F23" s="468"/>
      <c r="G23" s="468"/>
      <c r="H23" s="468"/>
      <c r="I23" s="468"/>
      <c r="J23" s="468"/>
      <c r="K23" s="468"/>
      <c r="L23" s="468"/>
      <c r="M23" s="1687">
        <f>SUM(M15:M22)</f>
        <v>1415798</v>
      </c>
      <c r="N23" s="1687">
        <f>SUM(N21:N22)</f>
        <v>0</v>
      </c>
    </row>
    <row r="24" spans="1:14" ht="18" customHeight="1" thickTop="1" x14ac:dyDescent="0.2">
      <c r="A24" s="2116" t="s">
        <v>598</v>
      </c>
      <c r="B24" s="2117"/>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25162</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25162</v>
      </c>
      <c r="M34" s="468"/>
      <c r="N34" s="480"/>
    </row>
    <row r="35" spans="1:14" ht="18" customHeight="1" thickTop="1" x14ac:dyDescent="0.2">
      <c r="A35" s="2118" t="s">
        <v>529</v>
      </c>
      <c r="B35" s="2119"/>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5" t="s">
        <v>653</v>
      </c>
      <c r="B37" s="1740"/>
      <c r="C37" s="477"/>
      <c r="D37" s="477"/>
      <c r="E37" s="477"/>
      <c r="F37" s="477"/>
      <c r="G37" s="477"/>
      <c r="H37" s="477"/>
      <c r="I37" s="477"/>
      <c r="J37" s="477"/>
      <c r="K37" s="477"/>
      <c r="L37" s="480"/>
      <c r="M37" s="468"/>
      <c r="N37" s="1687">
        <f>SUM(N36:N36)</f>
        <v>0</v>
      </c>
    </row>
    <row r="38" spans="1:14" s="329" customFormat="1" ht="13.5" customHeight="1" thickTop="1" x14ac:dyDescent="0.2">
      <c r="A38" s="496" t="s">
        <v>420</v>
      </c>
      <c r="B38" s="483">
        <v>714</v>
      </c>
      <c r="C38" s="466">
        <v>13171</v>
      </c>
      <c r="D38" s="466"/>
      <c r="E38" s="466"/>
      <c r="F38" s="466">
        <v>8881</v>
      </c>
      <c r="G38" s="466"/>
      <c r="H38" s="466"/>
      <c r="I38" s="466"/>
      <c r="J38" s="467"/>
      <c r="K38" s="466"/>
      <c r="L38" s="481"/>
      <c r="M38" s="497"/>
      <c r="N38" s="497"/>
    </row>
    <row r="39" spans="1:14" s="329" customFormat="1" ht="13.5" customHeight="1" x14ac:dyDescent="0.2">
      <c r="A39" s="496" t="s">
        <v>342</v>
      </c>
      <c r="B39" s="483">
        <v>730</v>
      </c>
      <c r="C39" s="466">
        <f>312450-C38</f>
        <v>299279</v>
      </c>
      <c r="D39" s="466">
        <f>-4790+65588</f>
        <v>60798</v>
      </c>
      <c r="E39" s="466">
        <v>0</v>
      </c>
      <c r="F39" s="466">
        <f>27091-F38</f>
        <v>18210</v>
      </c>
      <c r="G39" s="466">
        <f>+-5763+26352</f>
        <v>20589</v>
      </c>
      <c r="H39" s="466">
        <f>+-175878+185880</f>
        <v>10002</v>
      </c>
      <c r="I39" s="466">
        <f>6362+8610</f>
        <v>14972</v>
      </c>
      <c r="J39" s="467">
        <f>13966+32350</f>
        <v>46316</v>
      </c>
      <c r="K39" s="466">
        <f>5099+26832</f>
        <v>31931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1415798</v>
      </c>
      <c r="N40" s="497"/>
    </row>
    <row r="41" spans="1:14" ht="13.5" customHeight="1" thickBot="1" x14ac:dyDescent="0.25">
      <c r="A41" s="1735" t="s">
        <v>655</v>
      </c>
      <c r="B41" s="1705"/>
      <c r="C41" s="1687">
        <f>(SUM(C34,C37,C38,C39))</f>
        <v>312450</v>
      </c>
      <c r="D41" s="1687">
        <f t="shared" ref="D41:L41" si="2">SUM(D34,D37,D38:D39)</f>
        <v>60798</v>
      </c>
      <c r="E41" s="1687">
        <f t="shared" si="2"/>
        <v>0</v>
      </c>
      <c r="F41" s="1687">
        <f t="shared" si="2"/>
        <v>27091</v>
      </c>
      <c r="G41" s="1687">
        <f t="shared" si="2"/>
        <v>20589</v>
      </c>
      <c r="H41" s="1687">
        <f t="shared" si="2"/>
        <v>10002</v>
      </c>
      <c r="I41" s="1687">
        <f t="shared" si="2"/>
        <v>14972</v>
      </c>
      <c r="J41" s="1687">
        <f t="shared" si="2"/>
        <v>46316</v>
      </c>
      <c r="K41" s="1687">
        <f t="shared" si="2"/>
        <v>31931</v>
      </c>
      <c r="L41" s="1687">
        <f t="shared" si="2"/>
        <v>25162</v>
      </c>
      <c r="M41" s="1687">
        <f>SUM(M40)</f>
        <v>1415798</v>
      </c>
      <c r="N41" s="1687">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10" orientation="landscape" useFirstPageNumber="1" r:id="rId1"/>
  <headerFooter differentFirst="1" scaleWithDoc="0">
    <oddHeader xml:space="preserve">&amp;C&amp;"Arial,Bold"&amp;9BASIC FINANCIAL STATEMENTS
STATEMENT OF ASSETS AND LIABILITIES ARISING FROM CASH TRANSACTIONS
STATEMENT OF POSITION AS OF JUNE 30, 2019
</oddHeader>
    <oddFooter>&amp;LSee notes to financial statements.&amp;C11</oddFooter>
    <firstHeader xml:space="preserve">&amp;C&amp;"Arial,Bold"BASIC FINANCIAL STATEMENTS
STATEMENT OF ASSETS AND LIABILITIES ARISING FROM CASH TRANSACTIONS
STATEMENT OF POSITION AS OF JUNE 30, 2019
</firstHeader>
    <firstFooter>&amp;LSee notes to financial statements.&amp;C10</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 sqref="A4:F4"/>
      <selection pane="bottomLeft" activeCell="K79" sqref="K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2"/>
      <c r="D3" s="1573"/>
      <c r="E3" s="1573"/>
      <c r="F3" s="1573"/>
      <c r="G3" s="1573"/>
      <c r="H3" s="1573"/>
      <c r="I3" s="1573"/>
      <c r="J3" s="1573"/>
      <c r="K3" s="1574"/>
      <c r="L3" s="506"/>
    </row>
    <row r="4" spans="1:13" ht="15.75" customHeight="1" x14ac:dyDescent="0.2">
      <c r="A4" s="1927" t="s">
        <v>1499</v>
      </c>
      <c r="B4" s="1928">
        <v>1000</v>
      </c>
      <c r="C4" s="1741">
        <f>'Revenues 9-14'!C109</f>
        <v>369489</v>
      </c>
      <c r="D4" s="1741">
        <f>'Revenues 9-14'!D109</f>
        <v>47963</v>
      </c>
      <c r="E4" s="1741">
        <f>'Revenues 9-14'!E109</f>
        <v>0</v>
      </c>
      <c r="F4" s="1741">
        <f>'Revenues 9-14'!F109</f>
        <v>30142</v>
      </c>
      <c r="G4" s="1741">
        <f>'Revenues 9-14'!G109</f>
        <v>8304</v>
      </c>
      <c r="H4" s="1741">
        <f>'Revenues 9-14'!H109</f>
        <v>17</v>
      </c>
      <c r="I4" s="1741">
        <f>'Revenues 9-14'!I109</f>
        <v>6362</v>
      </c>
      <c r="J4" s="1741">
        <f>'Revenues 9-14'!J109</f>
        <v>61588</v>
      </c>
      <c r="K4" s="1741">
        <f>'Revenues 9-14'!K109</f>
        <v>6081</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266862</v>
      </c>
      <c r="D6" s="1742">
        <f>'Revenues 9-14'!D170</f>
        <v>0</v>
      </c>
      <c r="E6" s="1742">
        <f>'Revenues 9-14'!E170</f>
        <v>0</v>
      </c>
      <c r="F6" s="1742">
        <f>'Revenues 9-14'!F170</f>
        <v>47263</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72331</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708682</v>
      </c>
      <c r="D8" s="1687">
        <f t="shared" ref="D8:K8" si="0">SUM(D4:D7)</f>
        <v>47963</v>
      </c>
      <c r="E8" s="1687">
        <f t="shared" si="0"/>
        <v>0</v>
      </c>
      <c r="F8" s="1687">
        <f t="shared" si="0"/>
        <v>77405</v>
      </c>
      <c r="G8" s="1687">
        <f t="shared" si="0"/>
        <v>8304</v>
      </c>
      <c r="H8" s="1687">
        <f t="shared" si="0"/>
        <v>17</v>
      </c>
      <c r="I8" s="1687">
        <f t="shared" si="0"/>
        <v>6362</v>
      </c>
      <c r="J8" s="1687">
        <f t="shared" si="0"/>
        <v>61588</v>
      </c>
      <c r="K8" s="1687">
        <f t="shared" si="0"/>
        <v>6081</v>
      </c>
      <c r="L8" s="347"/>
    </row>
    <row r="9" spans="1:13" ht="15.75" thickTop="1" x14ac:dyDescent="0.2">
      <c r="A9" s="514" t="s">
        <v>1653</v>
      </c>
      <c r="B9" s="515">
        <v>3998</v>
      </c>
      <c r="C9" s="481">
        <v>269946</v>
      </c>
      <c r="D9" s="516"/>
      <c r="E9" s="481"/>
      <c r="F9" s="481"/>
      <c r="G9" s="517"/>
      <c r="H9" s="481"/>
      <c r="I9" s="509" t="s">
        <v>1169</v>
      </c>
      <c r="J9" s="478"/>
      <c r="K9" s="481"/>
      <c r="L9" s="347"/>
    </row>
    <row r="10" spans="1:13" s="519" customFormat="1" ht="13.5" thickBot="1" x14ac:dyDescent="0.25">
      <c r="A10" s="1735" t="s">
        <v>1173</v>
      </c>
      <c r="B10" s="1708"/>
      <c r="C10" s="1687">
        <f>SUM(C8:C9)</f>
        <v>978628</v>
      </c>
      <c r="D10" s="1687">
        <f t="shared" ref="D10:K10" si="1">SUM(D8:D9)</f>
        <v>47963</v>
      </c>
      <c r="E10" s="1687">
        <f t="shared" si="1"/>
        <v>0</v>
      </c>
      <c r="F10" s="1687">
        <f t="shared" si="1"/>
        <v>77405</v>
      </c>
      <c r="G10" s="1687">
        <f t="shared" si="1"/>
        <v>8304</v>
      </c>
      <c r="H10" s="1687">
        <f t="shared" si="1"/>
        <v>17</v>
      </c>
      <c r="I10" s="1687">
        <f t="shared" si="1"/>
        <v>6362</v>
      </c>
      <c r="J10" s="1687">
        <f t="shared" si="1"/>
        <v>61588</v>
      </c>
      <c r="K10" s="1687">
        <f t="shared" si="1"/>
        <v>6081</v>
      </c>
      <c r="L10" s="518"/>
    </row>
    <row r="11" spans="1:13" s="519" customFormat="1" ht="16.7" customHeight="1" thickTop="1" x14ac:dyDescent="0.2">
      <c r="A11" s="2114" t="s">
        <v>1176</v>
      </c>
      <c r="B11" s="2115"/>
      <c r="C11" s="1569"/>
      <c r="D11" s="1570"/>
      <c r="E11" s="1570"/>
      <c r="F11" s="1570"/>
      <c r="G11" s="1570"/>
      <c r="H11" s="1570"/>
      <c r="I11" s="1570"/>
      <c r="J11" s="1570"/>
      <c r="K11" s="1571"/>
      <c r="L11" s="518"/>
    </row>
    <row r="12" spans="1:13" ht="15.75" customHeight="1" x14ac:dyDescent="0.2">
      <c r="A12" s="1575" t="s">
        <v>456</v>
      </c>
      <c r="B12" s="1577">
        <v>1000</v>
      </c>
      <c r="C12" s="1741">
        <f>'Expenditures 15-22'!K33</f>
        <v>342064</v>
      </c>
      <c r="D12" s="520" t="s">
        <v>1169</v>
      </c>
      <c r="E12" s="468" t="s">
        <v>1169</v>
      </c>
      <c r="F12" s="468" t="s">
        <v>1169</v>
      </c>
      <c r="G12" s="1741">
        <f>'Expenditures 15-22'!K229</f>
        <v>5145</v>
      </c>
      <c r="H12" s="521"/>
      <c r="I12" s="468" t="s">
        <v>1169</v>
      </c>
      <c r="J12" s="468" t="s">
        <v>1169</v>
      </c>
      <c r="K12" s="521" t="s">
        <v>1169</v>
      </c>
      <c r="L12" s="347"/>
    </row>
    <row r="13" spans="1:13" ht="15.75" customHeight="1" x14ac:dyDescent="0.2">
      <c r="A13" s="1575" t="s">
        <v>457</v>
      </c>
      <c r="B13" s="1577">
        <v>2000</v>
      </c>
      <c r="C13" s="1742">
        <f>'Expenditures 15-22'!K74</f>
        <v>139564</v>
      </c>
      <c r="D13" s="1742">
        <f>'Expenditures 15-22'!K129</f>
        <v>50279</v>
      </c>
      <c r="E13" s="469" t="s">
        <v>1169</v>
      </c>
      <c r="F13" s="1742">
        <f>'Expenditures 15-22'!K184</f>
        <v>63010</v>
      </c>
      <c r="G13" s="1742">
        <f>'Expenditures 15-22'!K279</f>
        <v>8922</v>
      </c>
      <c r="H13" s="1742">
        <f>'Expenditures 15-22'!K303</f>
        <v>51364</v>
      </c>
      <c r="I13" s="468" t="s">
        <v>1169</v>
      </c>
      <c r="J13" s="1742">
        <f>'Expenditures 15-22'!K330</f>
        <v>47622</v>
      </c>
      <c r="K13" s="1746">
        <f>'Expenditures 15-22'!K352</f>
        <v>982</v>
      </c>
      <c r="L13" s="347"/>
    </row>
    <row r="14" spans="1:13" ht="15.75" customHeight="1" x14ac:dyDescent="0.2">
      <c r="A14" s="1575" t="s">
        <v>449</v>
      </c>
      <c r="B14" s="1577">
        <v>3000</v>
      </c>
      <c r="C14" s="1742">
        <f>'Expenditures 15-22'!K75</f>
        <v>0</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5" t="s">
        <v>107</v>
      </c>
      <c r="B15" s="1577">
        <v>4000</v>
      </c>
      <c r="C15" s="1742">
        <f>'Expenditures 15-22'!K102</f>
        <v>119588</v>
      </c>
      <c r="D15" s="1742">
        <f>'Expenditures 15-22'!K139</f>
        <v>0</v>
      </c>
      <c r="E15" s="1742">
        <f>'Expenditures 15-22'!K160</f>
        <v>0</v>
      </c>
      <c r="F15" s="1742">
        <f>'Expenditures 15-22'!K196</f>
        <v>0</v>
      </c>
      <c r="G15" s="1742">
        <f>'Expenditures 15-22'!K285</f>
        <v>0</v>
      </c>
      <c r="H15" s="1742">
        <f>'Expenditures 15-22'!K310</f>
        <v>127005</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0</v>
      </c>
      <c r="F16" s="1742">
        <f>'Expenditures 15-22'!K208</f>
        <v>13999</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601216</v>
      </c>
      <c r="D17" s="1687">
        <f t="shared" si="2"/>
        <v>50279</v>
      </c>
      <c r="E17" s="1687">
        <f t="shared" si="2"/>
        <v>0</v>
      </c>
      <c r="F17" s="1687">
        <f t="shared" si="2"/>
        <v>77009</v>
      </c>
      <c r="G17" s="1687">
        <f t="shared" si="2"/>
        <v>14067</v>
      </c>
      <c r="H17" s="1687">
        <f t="shared" si="2"/>
        <v>178369</v>
      </c>
      <c r="I17" s="468"/>
      <c r="J17" s="1687">
        <f>SUM(J12:J16)</f>
        <v>47622</v>
      </c>
      <c r="K17" s="1687">
        <f>SUM(K12:K16)</f>
        <v>982</v>
      </c>
      <c r="L17" s="347"/>
    </row>
    <row r="18" spans="1:12" ht="15" customHeight="1" thickTop="1" x14ac:dyDescent="0.2">
      <c r="A18" s="1743" t="s">
        <v>1654</v>
      </c>
      <c r="B18" s="1744">
        <v>4180</v>
      </c>
      <c r="C18" s="1741">
        <f t="shared" ref="C18:H18" si="3">C9</f>
        <v>269946</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871162</v>
      </c>
      <c r="D19" s="1687">
        <f t="shared" si="4"/>
        <v>50279</v>
      </c>
      <c r="E19" s="1687">
        <f t="shared" si="4"/>
        <v>0</v>
      </c>
      <c r="F19" s="1687">
        <f t="shared" si="4"/>
        <v>77009</v>
      </c>
      <c r="G19" s="1687">
        <f t="shared" si="4"/>
        <v>14067</v>
      </c>
      <c r="H19" s="1687">
        <f t="shared" si="4"/>
        <v>178369</v>
      </c>
      <c r="I19" s="468"/>
      <c r="J19" s="1687">
        <f>SUM(J17:J18)</f>
        <v>47622</v>
      </c>
      <c r="K19" s="1687">
        <f>SUM(K17:K18)</f>
        <v>982</v>
      </c>
      <c r="L19" s="347"/>
    </row>
    <row r="20" spans="1:12" ht="16.5" thickTop="1" thickBot="1" x14ac:dyDescent="0.25">
      <c r="A20" s="2130" t="s">
        <v>1655</v>
      </c>
      <c r="B20" s="2131"/>
      <c r="C20" s="1745">
        <f>C8-C17</f>
        <v>107466</v>
      </c>
      <c r="D20" s="1745">
        <f t="shared" ref="D20:K20" si="5">D8-D17</f>
        <v>-2316</v>
      </c>
      <c r="E20" s="1745">
        <f t="shared" si="5"/>
        <v>0</v>
      </c>
      <c r="F20" s="1745">
        <f t="shared" si="5"/>
        <v>396</v>
      </c>
      <c r="G20" s="1745">
        <f t="shared" si="5"/>
        <v>-5763</v>
      </c>
      <c r="H20" s="1745">
        <f t="shared" si="5"/>
        <v>-178352</v>
      </c>
      <c r="I20" s="1745">
        <f t="shared" si="5"/>
        <v>6362</v>
      </c>
      <c r="J20" s="1745">
        <f t="shared" si="5"/>
        <v>13966</v>
      </c>
      <c r="K20" s="1745">
        <f t="shared" si="5"/>
        <v>5099</v>
      </c>
      <c r="L20" s="347"/>
    </row>
    <row r="21" spans="1:12" ht="16.7" customHeight="1" thickTop="1" x14ac:dyDescent="0.2">
      <c r="A21" s="2142" t="s">
        <v>595</v>
      </c>
      <c r="B21" s="2143"/>
      <c r="C21" s="1569"/>
      <c r="D21" s="1570"/>
      <c r="E21" s="1570"/>
      <c r="F21" s="1570"/>
      <c r="G21" s="1570"/>
      <c r="H21" s="1570"/>
      <c r="I21" s="1570"/>
      <c r="J21" s="1570"/>
      <c r="K21" s="1571"/>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2474</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44" t="s">
        <v>374</v>
      </c>
      <c r="B44" s="2145"/>
      <c r="C44" s="1702">
        <f>SUM(C24:C43)</f>
        <v>0</v>
      </c>
      <c r="D44" s="1702">
        <f t="shared" ref="D44:K44" si="6">SUM(D24:D43)</f>
        <v>0</v>
      </c>
      <c r="E44" s="1702">
        <f t="shared" si="6"/>
        <v>0</v>
      </c>
      <c r="F44" s="1702">
        <f t="shared" si="6"/>
        <v>0</v>
      </c>
      <c r="G44" s="1702">
        <f t="shared" si="6"/>
        <v>0</v>
      </c>
      <c r="H44" s="1702">
        <f t="shared" si="6"/>
        <v>2474</v>
      </c>
      <c r="I44" s="1702">
        <f t="shared" si="6"/>
        <v>0</v>
      </c>
      <c r="J44" s="1702">
        <f t="shared" si="6"/>
        <v>0</v>
      </c>
      <c r="K44" s="1702">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v>2474</v>
      </c>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20" t="s">
        <v>440</v>
      </c>
      <c r="B76" s="2121"/>
      <c r="C76" s="1702">
        <f t="shared" ref="C76:K76" si="7">SUM(C47:C75)</f>
        <v>0</v>
      </c>
      <c r="D76" s="1702">
        <f t="shared" si="7"/>
        <v>2474</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22" t="s">
        <v>1177</v>
      </c>
      <c r="B77" s="2123"/>
      <c r="C77" s="1702">
        <f t="shared" ref="C77:K77" si="8">C44-C76</f>
        <v>0</v>
      </c>
      <c r="D77" s="1702">
        <f t="shared" si="8"/>
        <v>-2474</v>
      </c>
      <c r="E77" s="1702">
        <f t="shared" si="8"/>
        <v>0</v>
      </c>
      <c r="F77" s="1702">
        <f t="shared" si="8"/>
        <v>0</v>
      </c>
      <c r="G77" s="1702">
        <f t="shared" si="8"/>
        <v>0</v>
      </c>
      <c r="H77" s="1702">
        <f t="shared" si="8"/>
        <v>2474</v>
      </c>
      <c r="I77" s="1702">
        <f t="shared" si="8"/>
        <v>0</v>
      </c>
      <c r="J77" s="1702">
        <f t="shared" si="8"/>
        <v>0</v>
      </c>
      <c r="K77" s="1702">
        <f t="shared" si="8"/>
        <v>0</v>
      </c>
      <c r="L77" s="347"/>
    </row>
    <row r="78" spans="1:12" ht="21.75" customHeight="1" thickTop="1" thickBot="1" x14ac:dyDescent="0.25">
      <c r="A78" s="2126" t="s">
        <v>597</v>
      </c>
      <c r="B78" s="2127"/>
      <c r="C78" s="1701">
        <f t="shared" ref="C78:K78" si="9">C20+C77</f>
        <v>107466</v>
      </c>
      <c r="D78" s="1701">
        <f t="shared" si="9"/>
        <v>-4790</v>
      </c>
      <c r="E78" s="1701">
        <f t="shared" si="9"/>
        <v>0</v>
      </c>
      <c r="F78" s="1701">
        <f t="shared" si="9"/>
        <v>396</v>
      </c>
      <c r="G78" s="1701">
        <f t="shared" si="9"/>
        <v>-5763</v>
      </c>
      <c r="H78" s="1701">
        <f t="shared" si="9"/>
        <v>-175878</v>
      </c>
      <c r="I78" s="1701">
        <f t="shared" si="9"/>
        <v>6362</v>
      </c>
      <c r="J78" s="1701">
        <f t="shared" si="9"/>
        <v>13966</v>
      </c>
      <c r="K78" s="1701">
        <f t="shared" si="9"/>
        <v>5099</v>
      </c>
      <c r="L78" s="533"/>
    </row>
    <row r="79" spans="1:12" ht="13.5" thickTop="1" x14ac:dyDescent="0.2">
      <c r="A79" s="1493" t="s">
        <v>1949</v>
      </c>
      <c r="B79" s="534"/>
      <c r="C79" s="478">
        <v>204984</v>
      </c>
      <c r="D79" s="535">
        <v>65588</v>
      </c>
      <c r="E79" s="535">
        <v>0</v>
      </c>
      <c r="F79" s="535">
        <v>26695</v>
      </c>
      <c r="G79" s="535">
        <v>26352</v>
      </c>
      <c r="H79" s="535">
        <v>185880</v>
      </c>
      <c r="I79" s="535">
        <v>8610</v>
      </c>
      <c r="J79" s="535">
        <v>32350</v>
      </c>
      <c r="K79" s="535">
        <v>26832</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1950</v>
      </c>
      <c r="B81" s="2125"/>
      <c r="C81" s="1687">
        <f>(SUM(C78:C80))</f>
        <v>312450</v>
      </c>
      <c r="D81" s="1687">
        <f>SUM(D78:D80)</f>
        <v>60798</v>
      </c>
      <c r="E81" s="1687">
        <f t="shared" ref="E81:K81" si="10">SUM(E78:E80)</f>
        <v>0</v>
      </c>
      <c r="F81" s="1687">
        <f t="shared" si="10"/>
        <v>27091</v>
      </c>
      <c r="G81" s="1687">
        <f t="shared" si="10"/>
        <v>20589</v>
      </c>
      <c r="H81" s="1687">
        <f t="shared" si="10"/>
        <v>10002</v>
      </c>
      <c r="I81" s="1687">
        <f t="shared" si="10"/>
        <v>14972</v>
      </c>
      <c r="J81" s="1687">
        <f t="shared" si="10"/>
        <v>46316</v>
      </c>
      <c r="K81" s="1687">
        <f t="shared" si="10"/>
        <v>31931</v>
      </c>
      <c r="L81" s="347"/>
    </row>
    <row r="82" spans="1:12" ht="0.75" customHeight="1" thickTop="1" thickBot="1" x14ac:dyDescent="0.25">
      <c r="A82" s="536" t="s">
        <v>343</v>
      </c>
      <c r="B82" s="537"/>
      <c r="C82" s="538">
        <f>(C81-C79)</f>
        <v>107466</v>
      </c>
      <c r="D82" s="538">
        <f t="shared" ref="D82:K82" si="11">(D81-D79)</f>
        <v>-4790</v>
      </c>
      <c r="E82" s="538">
        <f t="shared" si="11"/>
        <v>0</v>
      </c>
      <c r="F82" s="538">
        <f t="shared" si="11"/>
        <v>396</v>
      </c>
      <c r="G82" s="538">
        <f t="shared" si="11"/>
        <v>-5763</v>
      </c>
      <c r="H82" s="538">
        <f t="shared" si="11"/>
        <v>-175878</v>
      </c>
      <c r="I82" s="538">
        <f t="shared" si="11"/>
        <v>6362</v>
      </c>
      <c r="J82" s="538">
        <f t="shared" si="11"/>
        <v>13966</v>
      </c>
      <c r="K82" s="538">
        <f t="shared" si="11"/>
        <v>5099</v>
      </c>
    </row>
    <row r="83" spans="1:12" ht="14.25" hidden="1" thickTop="1" thickBot="1" x14ac:dyDescent="0.25">
      <c r="A83" s="539" t="s">
        <v>344</v>
      </c>
      <c r="B83" s="464"/>
      <c r="C83" s="540">
        <f>C82/C81</f>
        <v>0.34394623139702352</v>
      </c>
      <c r="D83" s="540">
        <f t="shared" ref="D83:K83" si="12">D82/D81</f>
        <v>-7.8785486364683049E-2</v>
      </c>
      <c r="E83" s="540" t="e">
        <f t="shared" si="12"/>
        <v>#DIV/0!</v>
      </c>
      <c r="F83" s="540">
        <f t="shared" si="12"/>
        <v>1.4617400612749621E-2</v>
      </c>
      <c r="G83" s="540">
        <f t="shared" si="12"/>
        <v>-0.27990674632085094</v>
      </c>
      <c r="H83" s="540">
        <f t="shared" si="12"/>
        <v>-17.584283143371326</v>
      </c>
      <c r="I83" s="540">
        <f t="shared" si="12"/>
        <v>0.42492652952177395</v>
      </c>
      <c r="J83" s="540">
        <f t="shared" si="12"/>
        <v>0.30153726573970119</v>
      </c>
      <c r="K83" s="540">
        <f t="shared" si="12"/>
        <v>0.15968807741693025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 bottom="0.48" header="0.19" footer="0.25"/>
  <pageSetup scale="73" firstPageNumber="7" orientation="landscape" useFirstPageNumber="1" r:id="rId1"/>
  <headerFooter differentFirst="1" scaleWithDoc="0">
    <oddHeader xml:space="preserve">&amp;CBASIC FINANCIAL STATEMENT
STATEMENT OF REVENUES RECEIVED/REVENUES, EXPENDITURES/DISBURSED/EXPENDITURES, OTHER 
SOURCES (USES) AND CHANGES IN FUND BALANCE
ALL FUNDS - FOR THE YEAR ENDING JUNE 30, 2019 </oddHeader>
    <oddFooter>&amp;LSee notes to financial statements.&amp;C13</oddFooter>
    <firstHeader xml:space="preserve">&amp;CBASIC FINANCIAL STATEMENT
STATEMENT OF REVENUES RECEIVED/REVENUES, EXPENDITURES/DISBURSED/EXPENDITURES, OTHER 
SOURCES (USES) AND CHANGES IN FUND BALANCE
ALL FUNDS - FOR THE YEAR ENDING JUNE 30, 2019 </firstHeader>
    <firstFooter>&amp;LSee notes to financial statements.&amp;C12</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0" workbookViewId="0">
      <pane ySplit="2" topLeftCell="A81" activePane="bottomLeft" state="frozen"/>
      <selection activeCell="A4" sqref="A4:F4"/>
      <selection pane="bottomLeft" activeCell="C96" sqref="C9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308934</v>
      </c>
      <c r="D5" s="481">
        <v>47737</v>
      </c>
      <c r="E5" s="466"/>
      <c r="F5" s="548">
        <v>15276</v>
      </c>
      <c r="G5" s="466">
        <v>7985</v>
      </c>
      <c r="H5" s="466"/>
      <c r="I5" s="466">
        <v>6351</v>
      </c>
      <c r="J5" s="467">
        <v>61520</v>
      </c>
      <c r="K5" s="466">
        <v>6061</v>
      </c>
    </row>
    <row r="6" spans="1:12" ht="15" x14ac:dyDescent="0.2">
      <c r="A6" s="463" t="s">
        <v>1662</v>
      </c>
      <c r="B6" s="470">
        <v>1130</v>
      </c>
      <c r="C6" s="466">
        <v>2658</v>
      </c>
      <c r="D6" s="466"/>
      <c r="E6" s="475"/>
      <c r="F6" s="475"/>
      <c r="G6" s="468"/>
      <c r="H6" s="468"/>
      <c r="I6" s="468"/>
      <c r="J6" s="468"/>
      <c r="K6" s="468"/>
    </row>
    <row r="7" spans="1:12" x14ac:dyDescent="0.2">
      <c r="A7" s="463" t="s">
        <v>110</v>
      </c>
      <c r="B7" s="549">
        <v>1140</v>
      </c>
      <c r="C7" s="466">
        <v>2543</v>
      </c>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314135</v>
      </c>
      <c r="D12" s="1706">
        <f t="shared" si="0"/>
        <v>47737</v>
      </c>
      <c r="E12" s="1706">
        <f t="shared" si="0"/>
        <v>0</v>
      </c>
      <c r="F12" s="1706">
        <f t="shared" si="0"/>
        <v>15276</v>
      </c>
      <c r="G12" s="1706">
        <f t="shared" si="0"/>
        <v>7985</v>
      </c>
      <c r="H12" s="1706">
        <f t="shared" si="0"/>
        <v>0</v>
      </c>
      <c r="I12" s="1706">
        <f t="shared" si="0"/>
        <v>6351</v>
      </c>
      <c r="J12" s="1706">
        <f t="shared" si="0"/>
        <v>61520</v>
      </c>
      <c r="K12" s="1687">
        <f t="shared" si="0"/>
        <v>6061</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v>89</v>
      </c>
      <c r="D14" s="466">
        <v>13</v>
      </c>
      <c r="E14" s="466"/>
      <c r="F14" s="466">
        <v>4</v>
      </c>
      <c r="G14" s="466">
        <v>2</v>
      </c>
      <c r="H14" s="466"/>
      <c r="I14" s="466">
        <v>2</v>
      </c>
      <c r="J14" s="467">
        <v>17</v>
      </c>
      <c r="K14" s="466">
        <v>2</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7052</v>
      </c>
      <c r="D16" s="466"/>
      <c r="E16" s="466"/>
      <c r="F16" s="466"/>
      <c r="G16" s="466">
        <v>302</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7141</v>
      </c>
      <c r="D18" s="1709">
        <f t="shared" ref="D18:K18" si="1">SUM(D14:D17)</f>
        <v>13</v>
      </c>
      <c r="E18" s="1709">
        <f t="shared" si="1"/>
        <v>0</v>
      </c>
      <c r="F18" s="1709">
        <f t="shared" si="1"/>
        <v>4</v>
      </c>
      <c r="G18" s="1709">
        <f t="shared" si="1"/>
        <v>304</v>
      </c>
      <c r="H18" s="1709">
        <f t="shared" si="1"/>
        <v>0</v>
      </c>
      <c r="I18" s="1709">
        <f t="shared" si="1"/>
        <v>2</v>
      </c>
      <c r="J18" s="1709">
        <f t="shared" si="1"/>
        <v>17</v>
      </c>
      <c r="K18" s="1710">
        <f t="shared" si="1"/>
        <v>2</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168</v>
      </c>
      <c r="D65" s="466">
        <v>39</v>
      </c>
      <c r="E65" s="466"/>
      <c r="F65" s="467">
        <v>1</v>
      </c>
      <c r="G65" s="466">
        <v>13</v>
      </c>
      <c r="H65" s="466">
        <v>17</v>
      </c>
      <c r="I65" s="466">
        <v>6</v>
      </c>
      <c r="J65" s="467">
        <v>26</v>
      </c>
      <c r="K65" s="466">
        <v>16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168</v>
      </c>
      <c r="D67" s="1687">
        <f t="shared" ref="D67:K67" si="2">SUM(D65:D66)</f>
        <v>39</v>
      </c>
      <c r="E67" s="1687">
        <f t="shared" si="2"/>
        <v>0</v>
      </c>
      <c r="F67" s="1687">
        <f t="shared" si="2"/>
        <v>1</v>
      </c>
      <c r="G67" s="1687">
        <f t="shared" si="2"/>
        <v>13</v>
      </c>
      <c r="H67" s="1687">
        <f t="shared" si="2"/>
        <v>17</v>
      </c>
      <c r="I67" s="1687">
        <f t="shared" si="2"/>
        <v>6</v>
      </c>
      <c r="J67" s="1687">
        <f t="shared" si="2"/>
        <v>26</v>
      </c>
      <c r="K67" s="1687">
        <f t="shared" si="2"/>
        <v>16</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13170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982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14152</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1770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5030</v>
      </c>
      <c r="D81" s="466"/>
      <c r="E81" s="468"/>
      <c r="F81" s="468"/>
      <c r="G81" s="468"/>
      <c r="H81" s="468"/>
      <c r="I81" s="468"/>
      <c r="J81" s="468"/>
      <c r="K81" s="468"/>
    </row>
    <row r="82" spans="1:11" ht="12.75" customHeight="1" thickBot="1" x14ac:dyDescent="0.25">
      <c r="A82" s="1707" t="s">
        <v>241</v>
      </c>
      <c r="B82" s="1708"/>
      <c r="C82" s="1706">
        <f>SUM(C77:C81)</f>
        <v>6800</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5310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5310</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155</v>
      </c>
      <c r="E95" s="521"/>
      <c r="F95" s="521"/>
      <c r="G95" s="521"/>
      <c r="H95" s="521"/>
      <c r="I95" s="521"/>
      <c r="J95" s="521"/>
      <c r="K95" s="521"/>
    </row>
    <row r="96" spans="1:11" ht="12.75" customHeight="1" x14ac:dyDescent="0.2">
      <c r="A96" s="463" t="s">
        <v>391</v>
      </c>
      <c r="B96" s="470">
        <v>1920</v>
      </c>
      <c r="C96" s="551">
        <v>4407</v>
      </c>
      <c r="D96" s="551"/>
      <c r="E96" s="479"/>
      <c r="F96" s="478">
        <v>314</v>
      </c>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v>17000</v>
      </c>
      <c r="D100" s="489"/>
      <c r="E100" s="489"/>
      <c r="F100" s="489">
        <v>14541</v>
      </c>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376</v>
      </c>
      <c r="D107" s="466">
        <v>19</v>
      </c>
      <c r="E107" s="466"/>
      <c r="F107" s="466">
        <v>6</v>
      </c>
      <c r="G107" s="466">
        <v>2</v>
      </c>
      <c r="H107" s="466"/>
      <c r="I107" s="466">
        <v>3</v>
      </c>
      <c r="J107" s="467">
        <v>25</v>
      </c>
      <c r="K107" s="466">
        <v>2</v>
      </c>
    </row>
    <row r="108" spans="1:12" ht="12.75" customHeight="1" thickBot="1" x14ac:dyDescent="0.25">
      <c r="A108" s="1707" t="s">
        <v>487</v>
      </c>
      <c r="B108" s="1711"/>
      <c r="C108" s="1706">
        <f>SUM(C95:C107)</f>
        <v>21783</v>
      </c>
      <c r="D108" s="1706">
        <f t="shared" ref="D108:K108" si="3">SUM(D95:D107)</f>
        <v>174</v>
      </c>
      <c r="E108" s="1706">
        <f t="shared" si="3"/>
        <v>0</v>
      </c>
      <c r="F108" s="1706">
        <f t="shared" si="3"/>
        <v>14861</v>
      </c>
      <c r="G108" s="1706">
        <f t="shared" si="3"/>
        <v>2</v>
      </c>
      <c r="H108" s="1706">
        <f t="shared" si="3"/>
        <v>0</v>
      </c>
      <c r="I108" s="1706">
        <f t="shared" si="3"/>
        <v>3</v>
      </c>
      <c r="J108" s="1706">
        <f t="shared" si="3"/>
        <v>25</v>
      </c>
      <c r="K108" s="1687">
        <f t="shared" si="3"/>
        <v>2</v>
      </c>
    </row>
    <row r="109" spans="1:12" ht="14.25" thickTop="1" thickBot="1" x14ac:dyDescent="0.25">
      <c r="A109" s="1712" t="s">
        <v>248</v>
      </c>
      <c r="B109" s="1713" t="s">
        <v>570</v>
      </c>
      <c r="C109" s="1714">
        <f t="shared" ref="C109:K109" si="4">SUM(C12,C18,C40,C63,C67,C75,C82,C93,C108,)</f>
        <v>369489</v>
      </c>
      <c r="D109" s="1714">
        <f t="shared" si="4"/>
        <v>47963</v>
      </c>
      <c r="E109" s="1714">
        <f t="shared" si="4"/>
        <v>0</v>
      </c>
      <c r="F109" s="1714">
        <f t="shared" si="4"/>
        <v>30142</v>
      </c>
      <c r="G109" s="1714">
        <f t="shared" si="4"/>
        <v>8304</v>
      </c>
      <c r="H109" s="1714">
        <f t="shared" si="4"/>
        <v>17</v>
      </c>
      <c r="I109" s="1714">
        <f t="shared" si="4"/>
        <v>6362</v>
      </c>
      <c r="J109" s="1714">
        <f t="shared" si="4"/>
        <v>61588</v>
      </c>
      <c r="K109" s="1701">
        <f t="shared" si="4"/>
        <v>6081</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266784</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1936</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266784</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0</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78</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27321</v>
      </c>
      <c r="G152" s="467"/>
      <c r="H152" s="468"/>
      <c r="I152" s="468"/>
      <c r="J152" s="468"/>
      <c r="K152" s="468"/>
    </row>
    <row r="153" spans="1:11" ht="12.75" customHeight="1" x14ac:dyDescent="0.2">
      <c r="A153" s="463" t="s">
        <v>1057</v>
      </c>
      <c r="B153" s="562">
        <v>3510</v>
      </c>
      <c r="C153" s="551"/>
      <c r="D153" s="466"/>
      <c r="E153" s="561"/>
      <c r="F153" s="466">
        <v>19942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47263</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c r="D168" s="580"/>
      <c r="E168" s="580"/>
      <c r="F168" s="580"/>
      <c r="G168" s="581"/>
      <c r="H168" s="582"/>
      <c r="I168" s="581"/>
      <c r="J168" s="581"/>
      <c r="K168" s="582"/>
    </row>
    <row r="169" spans="1:11" ht="12.75" customHeight="1" thickTop="1" thickBot="1" x14ac:dyDescent="0.25">
      <c r="A169" s="2148" t="s">
        <v>398</v>
      </c>
      <c r="B169" s="2149"/>
      <c r="C169" s="1721">
        <f t="shared" ref="C169:K169" si="6">SUM(C132,C141,C145,C146:C150,C155,C156:C167,C168)</f>
        <v>78</v>
      </c>
      <c r="D169" s="1721">
        <f t="shared" si="6"/>
        <v>0</v>
      </c>
      <c r="E169" s="1721">
        <f t="shared" si="6"/>
        <v>0</v>
      </c>
      <c r="F169" s="1721">
        <f t="shared" si="6"/>
        <v>47263</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266862</v>
      </c>
      <c r="D170" s="1714">
        <f t="shared" si="7"/>
        <v>0</v>
      </c>
      <c r="E170" s="1714">
        <f t="shared" si="7"/>
        <v>0</v>
      </c>
      <c r="F170" s="1714">
        <f t="shared" si="7"/>
        <v>47263</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4" t="s">
        <v>1665</v>
      </c>
      <c r="B175" s="2155"/>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18276</v>
      </c>
      <c r="D180" s="466"/>
      <c r="E180" s="468"/>
      <c r="F180" s="466"/>
      <c r="G180" s="466"/>
      <c r="H180" s="466"/>
      <c r="I180" s="468"/>
      <c r="J180" s="468"/>
      <c r="K180" s="466"/>
    </row>
    <row r="181" spans="1:11" ht="13.5" thickBot="1" x14ac:dyDescent="0.25">
      <c r="A181" s="2156" t="s">
        <v>785</v>
      </c>
      <c r="B181" s="2157"/>
      <c r="C181" s="1706">
        <f>SUM(C177:C180)</f>
        <v>18276</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6776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6776</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7808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7808</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9858</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9858</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20373</v>
      </c>
      <c r="D213" s="466"/>
      <c r="E213" s="468"/>
      <c r="F213" s="466"/>
      <c r="G213" s="466"/>
      <c r="H213" s="468"/>
      <c r="I213" s="468"/>
      <c r="J213" s="468"/>
      <c r="K213" s="468"/>
    </row>
    <row r="214" spans="1:11" ht="12.75" customHeight="1" x14ac:dyDescent="0.2">
      <c r="A214" s="463" t="s">
        <v>1054</v>
      </c>
      <c r="B214" s="470">
        <v>4625</v>
      </c>
      <c r="C214" s="551">
        <v>6109</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26482</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2830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1937</v>
      </c>
      <c r="B261" s="470">
        <v>4981</v>
      </c>
      <c r="C261" s="575"/>
      <c r="D261" s="576"/>
      <c r="E261" s="468"/>
      <c r="F261" s="576"/>
      <c r="G261" s="576"/>
      <c r="H261" s="468"/>
      <c r="I261" s="468"/>
      <c r="J261" s="468"/>
      <c r="K261" s="468"/>
    </row>
    <row r="262" spans="1:11" ht="12.75" customHeight="1" thickTop="1" thickBot="1" x14ac:dyDescent="0.25">
      <c r="A262" s="1930"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301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54055</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72331</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708682</v>
      </c>
      <c r="D268" s="1714">
        <f t="shared" si="12"/>
        <v>47963</v>
      </c>
      <c r="E268" s="1714">
        <f t="shared" si="12"/>
        <v>0</v>
      </c>
      <c r="F268" s="1714">
        <f t="shared" si="12"/>
        <v>77405</v>
      </c>
      <c r="G268" s="1714">
        <f t="shared" si="12"/>
        <v>8304</v>
      </c>
      <c r="H268" s="1714">
        <f t="shared" si="12"/>
        <v>17</v>
      </c>
      <c r="I268" s="1714">
        <f t="shared" si="12"/>
        <v>6362</v>
      </c>
      <c r="J268" s="1714">
        <f t="shared" si="12"/>
        <v>61588</v>
      </c>
      <c r="K268" s="1701">
        <f t="shared" si="12"/>
        <v>6081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25"/>
  <pageSetup scale="74" firstPageNumber="14" fitToWidth="0" fitToHeight="0" orientation="landscape" useFirstPageNumber="1" r:id="rId1"/>
  <headerFooter differentFirst="1" scaleWithDoc="0">
    <oddHeader>&amp;C&amp;"Arial,Bold"&amp;9STATEMENT OF REVENUES RECEIVED/REVENUES
FOR THE YEAR ENDING JUNE 30, 2019</oddHeader>
    <oddFooter>&amp;LSee notes to financial statements.&amp;C&amp;P</oddFooter>
    <firstHeader>&amp;C&amp;"Arial,Bold"STATEMENT OF REVENUES RECEIVED/REVENUES
FOR THE YEAR ENDING JUNE 30, 2019</firstHeader>
    <firstFooter>&amp;LSee notes to financial statements.&amp;C14</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6" activePane="bottomLeft" state="frozen"/>
      <selection activeCell="A4" sqref="A4:F4"/>
      <selection pane="bottomLeft" activeCell="J373" sqref="J37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210017</v>
      </c>
      <c r="D5" s="466">
        <v>51464</v>
      </c>
      <c r="E5" s="466">
        <v>8414</v>
      </c>
      <c r="F5" s="466">
        <v>12258</v>
      </c>
      <c r="G5" s="466">
        <v>1025</v>
      </c>
      <c r="H5" s="466">
        <v>2873</v>
      </c>
      <c r="I5" s="467"/>
      <c r="J5" s="467"/>
      <c r="K5" s="1670">
        <f>SUM(C5:J5)</f>
        <v>286051</v>
      </c>
      <c r="L5" s="466">
        <v>297000</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c r="D7" s="467"/>
      <c r="E7" s="467"/>
      <c r="F7" s="467"/>
      <c r="G7" s="467"/>
      <c r="H7" s="467"/>
      <c r="I7" s="467"/>
      <c r="J7" s="467"/>
      <c r="K7" s="1670">
        <f t="shared" ref="K7:K32" si="0">SUM(C7:J7)</f>
        <v>0</v>
      </c>
      <c r="L7" s="466"/>
    </row>
    <row r="8" spans="1:14" x14ac:dyDescent="0.2">
      <c r="A8" s="1503" t="s">
        <v>164</v>
      </c>
      <c r="B8" s="614">
        <v>1200</v>
      </c>
      <c r="C8" s="466">
        <v>32714</v>
      </c>
      <c r="D8" s="466">
        <v>8605</v>
      </c>
      <c r="E8" s="466">
        <v>660</v>
      </c>
      <c r="F8" s="466"/>
      <c r="G8" s="466"/>
      <c r="H8" s="466"/>
      <c r="I8" s="467"/>
      <c r="J8" s="467"/>
      <c r="K8" s="1670">
        <f t="shared" si="0"/>
        <v>41979</v>
      </c>
      <c r="L8" s="466">
        <v>45500</v>
      </c>
    </row>
    <row r="9" spans="1:14" x14ac:dyDescent="0.2">
      <c r="A9" s="1503" t="s">
        <v>721</v>
      </c>
      <c r="B9" s="614" t="s">
        <v>968</v>
      </c>
      <c r="C9" s="467"/>
      <c r="D9" s="467"/>
      <c r="E9" s="467"/>
      <c r="F9" s="467"/>
      <c r="G9" s="467"/>
      <c r="H9" s="467"/>
      <c r="I9" s="467"/>
      <c r="J9" s="467"/>
      <c r="K9" s="1670">
        <f t="shared" si="0"/>
        <v>0</v>
      </c>
      <c r="L9" s="466"/>
    </row>
    <row r="10" spans="1:14" x14ac:dyDescent="0.2">
      <c r="A10" s="1503" t="s">
        <v>722</v>
      </c>
      <c r="B10" s="614">
        <v>1250</v>
      </c>
      <c r="C10" s="466">
        <v>5221</v>
      </c>
      <c r="D10" s="466">
        <v>1456</v>
      </c>
      <c r="E10" s="466"/>
      <c r="F10" s="466">
        <v>557</v>
      </c>
      <c r="G10" s="466"/>
      <c r="H10" s="466"/>
      <c r="I10" s="467"/>
      <c r="J10" s="467"/>
      <c r="K10" s="1670">
        <f t="shared" si="0"/>
        <v>7234</v>
      </c>
      <c r="L10" s="466">
        <v>6700</v>
      </c>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c r="D13" s="466"/>
      <c r="E13" s="466"/>
      <c r="F13" s="466"/>
      <c r="G13" s="466"/>
      <c r="H13" s="466"/>
      <c r="I13" s="467"/>
      <c r="J13" s="467"/>
      <c r="K13" s="1670">
        <f t="shared" si="0"/>
        <v>0</v>
      </c>
      <c r="L13" s="466"/>
    </row>
    <row r="14" spans="1:14" x14ac:dyDescent="0.2">
      <c r="A14" s="1503" t="s">
        <v>963</v>
      </c>
      <c r="B14" s="614">
        <v>1500</v>
      </c>
      <c r="C14" s="466">
        <v>6800</v>
      </c>
      <c r="D14" s="466"/>
      <c r="E14" s="466"/>
      <c r="F14" s="466"/>
      <c r="G14" s="466"/>
      <c r="H14" s="466"/>
      <c r="I14" s="467"/>
      <c r="J14" s="467"/>
      <c r="K14" s="1670">
        <f t="shared" si="0"/>
        <v>6800</v>
      </c>
      <c r="L14" s="466">
        <v>7350</v>
      </c>
    </row>
    <row r="15" spans="1:14" x14ac:dyDescent="0.2">
      <c r="A15" s="1503" t="s">
        <v>964</v>
      </c>
      <c r="B15" s="614">
        <v>1600</v>
      </c>
      <c r="C15" s="466"/>
      <c r="D15" s="466"/>
      <c r="E15" s="466"/>
      <c r="F15" s="466"/>
      <c r="G15" s="466"/>
      <c r="H15" s="466"/>
      <c r="I15" s="467"/>
      <c r="J15" s="467"/>
      <c r="K15" s="1670">
        <f t="shared" si="0"/>
        <v>0</v>
      </c>
      <c r="L15" s="466"/>
    </row>
    <row r="16" spans="1:14" x14ac:dyDescent="0.2">
      <c r="A16" s="1503" t="s">
        <v>987</v>
      </c>
      <c r="B16" s="614" t="s">
        <v>424</v>
      </c>
      <c r="C16" s="466"/>
      <c r="D16" s="466"/>
      <c r="E16" s="466"/>
      <c r="F16" s="466"/>
      <c r="G16" s="466"/>
      <c r="H16" s="466"/>
      <c r="I16" s="467"/>
      <c r="J16" s="467"/>
      <c r="K16" s="1670">
        <f t="shared" si="0"/>
        <v>0</v>
      </c>
      <c r="L16" s="466"/>
    </row>
    <row r="17" spans="1:12" x14ac:dyDescent="0.2">
      <c r="A17" s="1503" t="s">
        <v>724</v>
      </c>
      <c r="B17" s="614" t="s">
        <v>162</v>
      </c>
      <c r="C17" s="467"/>
      <c r="D17" s="467"/>
      <c r="E17" s="467"/>
      <c r="F17" s="467"/>
      <c r="G17" s="467"/>
      <c r="H17" s="467"/>
      <c r="I17" s="467"/>
      <c r="J17" s="467"/>
      <c r="K17" s="1670">
        <f t="shared" si="0"/>
        <v>0</v>
      </c>
      <c r="L17" s="466"/>
    </row>
    <row r="18" spans="1:12" x14ac:dyDescent="0.2">
      <c r="A18" s="1503" t="s">
        <v>1087</v>
      </c>
      <c r="B18" s="614">
        <v>1800</v>
      </c>
      <c r="C18" s="466"/>
      <c r="D18" s="466"/>
      <c r="E18" s="466"/>
      <c r="F18" s="466"/>
      <c r="G18" s="466"/>
      <c r="H18" s="466"/>
      <c r="I18" s="467"/>
      <c r="J18" s="467"/>
      <c r="K18" s="1670">
        <f t="shared" si="0"/>
        <v>0</v>
      </c>
      <c r="L18" s="466"/>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c r="I21" s="616"/>
      <c r="J21" s="477"/>
      <c r="K21" s="1670">
        <f t="shared" si="0"/>
        <v>0</v>
      </c>
      <c r="L21" s="471"/>
    </row>
    <row r="22" spans="1:12" x14ac:dyDescent="0.2">
      <c r="A22" s="1504" t="s">
        <v>740</v>
      </c>
      <c r="B22" s="602" t="s">
        <v>727</v>
      </c>
      <c r="C22" s="477"/>
      <c r="D22" s="477"/>
      <c r="E22" s="477"/>
      <c r="F22" s="477"/>
      <c r="G22" s="477"/>
      <c r="H22" s="474"/>
      <c r="I22" s="616"/>
      <c r="J22" s="477"/>
      <c r="K22" s="1670">
        <f t="shared" si="0"/>
        <v>0</v>
      </c>
      <c r="L22" s="471"/>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254752</v>
      </c>
      <c r="D33" s="1669">
        <f t="shared" ref="D33:L33" si="1">SUM(D5:D32)</f>
        <v>61525</v>
      </c>
      <c r="E33" s="1669">
        <f t="shared" si="1"/>
        <v>9074</v>
      </c>
      <c r="F33" s="1669">
        <f t="shared" si="1"/>
        <v>12815</v>
      </c>
      <c r="G33" s="1669">
        <f t="shared" si="1"/>
        <v>1025</v>
      </c>
      <c r="H33" s="1669">
        <f t="shared" si="1"/>
        <v>2873</v>
      </c>
      <c r="I33" s="1669">
        <f t="shared" si="1"/>
        <v>0</v>
      </c>
      <c r="J33" s="1669">
        <f t="shared" si="1"/>
        <v>0</v>
      </c>
      <c r="K33" s="1669">
        <f t="shared" si="1"/>
        <v>342064</v>
      </c>
      <c r="L33" s="1669">
        <f t="shared" si="1"/>
        <v>356550</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c r="D36" s="481"/>
      <c r="E36" s="481"/>
      <c r="F36" s="481"/>
      <c r="G36" s="481"/>
      <c r="H36" s="481"/>
      <c r="I36" s="467"/>
      <c r="J36" s="467"/>
      <c r="K36" s="1670">
        <f t="shared" ref="K36:K41" si="2">SUM(C36:J36)</f>
        <v>0</v>
      </c>
      <c r="L36" s="466"/>
    </row>
    <row r="37" spans="1:14" x14ac:dyDescent="0.2">
      <c r="A37" s="1503" t="s">
        <v>1090</v>
      </c>
      <c r="B37" s="614">
        <v>2120</v>
      </c>
      <c r="C37" s="466"/>
      <c r="D37" s="466"/>
      <c r="E37" s="466"/>
      <c r="F37" s="466"/>
      <c r="G37" s="466"/>
      <c r="H37" s="466"/>
      <c r="I37" s="467"/>
      <c r="J37" s="467"/>
      <c r="K37" s="1670">
        <f t="shared" si="2"/>
        <v>0</v>
      </c>
      <c r="L37" s="466"/>
    </row>
    <row r="38" spans="1:14" x14ac:dyDescent="0.2">
      <c r="A38" s="1503" t="s">
        <v>198</v>
      </c>
      <c r="B38" s="614">
        <v>2130</v>
      </c>
      <c r="C38" s="466"/>
      <c r="D38" s="466"/>
      <c r="E38" s="466">
        <v>320</v>
      </c>
      <c r="F38" s="466"/>
      <c r="G38" s="466"/>
      <c r="H38" s="466"/>
      <c r="I38" s="467"/>
      <c r="J38" s="467"/>
      <c r="K38" s="1670">
        <f t="shared" si="2"/>
        <v>320</v>
      </c>
      <c r="L38" s="466">
        <v>400</v>
      </c>
    </row>
    <row r="39" spans="1:14" x14ac:dyDescent="0.2">
      <c r="A39" s="1503" t="s">
        <v>199</v>
      </c>
      <c r="B39" s="614">
        <v>2140</v>
      </c>
      <c r="C39" s="466"/>
      <c r="D39" s="466"/>
      <c r="E39" s="466"/>
      <c r="F39" s="466"/>
      <c r="G39" s="466"/>
      <c r="H39" s="466"/>
      <c r="I39" s="467"/>
      <c r="J39" s="467"/>
      <c r="K39" s="1670">
        <f t="shared" si="2"/>
        <v>0</v>
      </c>
      <c r="L39" s="466"/>
    </row>
    <row r="40" spans="1:14" x14ac:dyDescent="0.2">
      <c r="A40" s="1503" t="s">
        <v>200</v>
      </c>
      <c r="B40" s="614">
        <v>2150</v>
      </c>
      <c r="C40" s="466"/>
      <c r="D40" s="466"/>
      <c r="E40" s="466">
        <v>4116</v>
      </c>
      <c r="F40" s="466"/>
      <c r="G40" s="466"/>
      <c r="H40" s="466"/>
      <c r="I40" s="467"/>
      <c r="J40" s="467"/>
      <c r="K40" s="1670">
        <f t="shared" si="2"/>
        <v>4116</v>
      </c>
      <c r="L40" s="466">
        <v>4500</v>
      </c>
    </row>
    <row r="41" spans="1:14" x14ac:dyDescent="0.2">
      <c r="A41" s="1503" t="s">
        <v>1669</v>
      </c>
      <c r="B41" s="614">
        <v>2190</v>
      </c>
      <c r="C41" s="466"/>
      <c r="D41" s="466"/>
      <c r="E41" s="466"/>
      <c r="F41" s="466"/>
      <c r="G41" s="466"/>
      <c r="H41" s="466"/>
      <c r="I41" s="467"/>
      <c r="J41" s="467"/>
      <c r="K41" s="1670">
        <f t="shared" si="2"/>
        <v>0</v>
      </c>
      <c r="L41" s="466"/>
    </row>
    <row r="42" spans="1:14" ht="12.75" customHeight="1" thickBot="1" x14ac:dyDescent="0.25">
      <c r="A42" s="1667" t="s">
        <v>560</v>
      </c>
      <c r="B42" s="1668" t="s">
        <v>716</v>
      </c>
      <c r="C42" s="1669">
        <f>SUM(C36:C41)</f>
        <v>0</v>
      </c>
      <c r="D42" s="1669">
        <f t="shared" ref="D42:L42" si="3">SUM(D36:D41)</f>
        <v>0</v>
      </c>
      <c r="E42" s="1669">
        <f t="shared" si="3"/>
        <v>4436</v>
      </c>
      <c r="F42" s="1669">
        <f t="shared" si="3"/>
        <v>0</v>
      </c>
      <c r="G42" s="1669">
        <f t="shared" si="3"/>
        <v>0</v>
      </c>
      <c r="H42" s="1669">
        <f t="shared" si="3"/>
        <v>0</v>
      </c>
      <c r="I42" s="1669">
        <f t="shared" si="3"/>
        <v>0</v>
      </c>
      <c r="J42" s="1669">
        <f t="shared" si="3"/>
        <v>0</v>
      </c>
      <c r="K42" s="1669">
        <f t="shared" si="3"/>
        <v>4436</v>
      </c>
      <c r="L42" s="1669">
        <f t="shared" si="3"/>
        <v>4900</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c r="D44" s="481"/>
      <c r="E44" s="481">
        <v>2630</v>
      </c>
      <c r="F44" s="481"/>
      <c r="G44" s="481"/>
      <c r="H44" s="481"/>
      <c r="I44" s="467"/>
      <c r="J44" s="467"/>
      <c r="K44" s="1671">
        <f>SUM(C44:J44)</f>
        <v>2630</v>
      </c>
      <c r="L44" s="481">
        <v>500</v>
      </c>
    </row>
    <row r="45" spans="1:14" x14ac:dyDescent="0.2">
      <c r="A45" s="1503" t="s">
        <v>815</v>
      </c>
      <c r="B45" s="614">
        <v>2220</v>
      </c>
      <c r="C45" s="466"/>
      <c r="D45" s="466"/>
      <c r="E45" s="466"/>
      <c r="F45" s="466"/>
      <c r="G45" s="466"/>
      <c r="H45" s="466"/>
      <c r="I45" s="467"/>
      <c r="J45" s="467"/>
      <c r="K45" s="1671">
        <f>SUM(C45:J45)</f>
        <v>0</v>
      </c>
      <c r="L45" s="466">
        <v>2500</v>
      </c>
    </row>
    <row r="46" spans="1:14" x14ac:dyDescent="0.2">
      <c r="A46" s="1503" t="s">
        <v>816</v>
      </c>
      <c r="B46" s="614">
        <v>2230</v>
      </c>
      <c r="C46" s="466"/>
      <c r="D46" s="466"/>
      <c r="E46" s="466"/>
      <c r="F46" s="466"/>
      <c r="G46" s="466"/>
      <c r="H46" s="466"/>
      <c r="I46" s="467"/>
      <c r="J46" s="467"/>
      <c r="K46" s="1671">
        <f>SUM(C46:J46)</f>
        <v>0</v>
      </c>
      <c r="L46" s="466">
        <v>300</v>
      </c>
    </row>
    <row r="47" spans="1:14" ht="12.75" customHeight="1" thickBot="1" x14ac:dyDescent="0.25">
      <c r="A47" s="1667" t="s">
        <v>561</v>
      </c>
      <c r="B47" s="1668" t="s">
        <v>32</v>
      </c>
      <c r="C47" s="1669">
        <f>SUM(C44:C46)</f>
        <v>0</v>
      </c>
      <c r="D47" s="1669">
        <f t="shared" ref="D47:K47" si="4">SUM(D44:D46)</f>
        <v>0</v>
      </c>
      <c r="E47" s="1669">
        <f t="shared" si="4"/>
        <v>2630</v>
      </c>
      <c r="F47" s="1669">
        <f t="shared" si="4"/>
        <v>0</v>
      </c>
      <c r="G47" s="1669">
        <f t="shared" si="4"/>
        <v>0</v>
      </c>
      <c r="H47" s="1669">
        <f t="shared" si="4"/>
        <v>0</v>
      </c>
      <c r="I47" s="1669">
        <f t="shared" si="4"/>
        <v>0</v>
      </c>
      <c r="J47" s="1669">
        <f t="shared" si="4"/>
        <v>0</v>
      </c>
      <c r="K47" s="1669">
        <f t="shared" si="4"/>
        <v>2630</v>
      </c>
      <c r="L47" s="1669">
        <f>SUM(L44:L46)</f>
        <v>3300</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c r="D49" s="481"/>
      <c r="E49" s="481">
        <v>11769</v>
      </c>
      <c r="F49" s="481"/>
      <c r="G49" s="481"/>
      <c r="H49" s="481">
        <v>1201</v>
      </c>
      <c r="I49" s="467"/>
      <c r="J49" s="467"/>
      <c r="K49" s="1671">
        <f>SUM(C49:J49)</f>
        <v>12970</v>
      </c>
      <c r="L49" s="481">
        <v>13500</v>
      </c>
    </row>
    <row r="50" spans="1:14" x14ac:dyDescent="0.2">
      <c r="A50" s="1503" t="s">
        <v>818</v>
      </c>
      <c r="B50" s="614">
        <v>2320</v>
      </c>
      <c r="C50" s="466">
        <v>41756</v>
      </c>
      <c r="D50" s="466">
        <v>5387</v>
      </c>
      <c r="E50" s="466">
        <v>1704</v>
      </c>
      <c r="F50" s="466">
        <v>278</v>
      </c>
      <c r="G50" s="466"/>
      <c r="H50" s="466"/>
      <c r="I50" s="467"/>
      <c r="J50" s="467"/>
      <c r="K50" s="1671">
        <f>SUM(C50:J50)</f>
        <v>49125</v>
      </c>
      <c r="L50" s="466">
        <v>52900</v>
      </c>
    </row>
    <row r="51" spans="1:14" x14ac:dyDescent="0.2">
      <c r="A51" s="1503" t="s">
        <v>42</v>
      </c>
      <c r="B51" s="614">
        <v>2330</v>
      </c>
      <c r="C51" s="466"/>
      <c r="D51" s="466"/>
      <c r="E51" s="466"/>
      <c r="F51" s="466"/>
      <c r="G51" s="466"/>
      <c r="H51" s="466"/>
      <c r="I51" s="467"/>
      <c r="J51" s="467"/>
      <c r="K51" s="1671">
        <f>SUM(C51:J51)</f>
        <v>0</v>
      </c>
      <c r="L51" s="466"/>
    </row>
    <row r="52" spans="1:14" ht="22.5" x14ac:dyDescent="0.2">
      <c r="A52" s="1504"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41756</v>
      </c>
      <c r="D53" s="1669">
        <f t="shared" ref="D53:L53" si="5">SUM(D49:D52)</f>
        <v>5387</v>
      </c>
      <c r="E53" s="1669">
        <f t="shared" si="5"/>
        <v>13473</v>
      </c>
      <c r="F53" s="1669">
        <f t="shared" si="5"/>
        <v>278</v>
      </c>
      <c r="G53" s="1669">
        <f t="shared" si="5"/>
        <v>0</v>
      </c>
      <c r="H53" s="1669">
        <f t="shared" si="5"/>
        <v>1201</v>
      </c>
      <c r="I53" s="1669">
        <f t="shared" si="5"/>
        <v>0</v>
      </c>
      <c r="J53" s="1669">
        <f t="shared" si="5"/>
        <v>0</v>
      </c>
      <c r="K53" s="1669">
        <f t="shared" si="5"/>
        <v>62095</v>
      </c>
      <c r="L53" s="1669">
        <f t="shared" si="5"/>
        <v>66400</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12249</v>
      </c>
      <c r="D55" s="481">
        <v>1580</v>
      </c>
      <c r="E55" s="481"/>
      <c r="F55" s="481"/>
      <c r="G55" s="481"/>
      <c r="H55" s="481"/>
      <c r="I55" s="467"/>
      <c r="J55" s="467"/>
      <c r="K55" s="1671">
        <f>SUM(C55:J55)</f>
        <v>13829</v>
      </c>
      <c r="L55" s="481">
        <v>14700</v>
      </c>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12249</v>
      </c>
      <c r="D57" s="1673">
        <f t="shared" ref="D57:K57" si="6">SUM(D55:D56)</f>
        <v>1580</v>
      </c>
      <c r="E57" s="1673">
        <f t="shared" si="6"/>
        <v>0</v>
      </c>
      <c r="F57" s="1673">
        <f t="shared" si="6"/>
        <v>0</v>
      </c>
      <c r="G57" s="1673">
        <f t="shared" si="6"/>
        <v>0</v>
      </c>
      <c r="H57" s="1673">
        <f t="shared" si="6"/>
        <v>0</v>
      </c>
      <c r="I57" s="1673">
        <f t="shared" si="6"/>
        <v>0</v>
      </c>
      <c r="J57" s="1673">
        <f t="shared" si="6"/>
        <v>0</v>
      </c>
      <c r="K57" s="1673">
        <f t="shared" si="6"/>
        <v>13829</v>
      </c>
      <c r="L57" s="1669">
        <f>SUM(L55:L56)</f>
        <v>14700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463</v>
      </c>
      <c r="B60" s="614">
        <v>2520</v>
      </c>
      <c r="C60" s="466">
        <v>41150</v>
      </c>
      <c r="D60" s="466"/>
      <c r="E60" s="466"/>
      <c r="F60" s="466"/>
      <c r="G60" s="466"/>
      <c r="H60" s="466"/>
      <c r="I60" s="467"/>
      <c r="J60" s="467"/>
      <c r="K60" s="1671">
        <f t="shared" si="7"/>
        <v>41150</v>
      </c>
      <c r="L60" s="466">
        <v>40150</v>
      </c>
      <c r="M60" s="609"/>
      <c r="N60" s="609"/>
    </row>
    <row r="61" spans="1:14" s="343" customFormat="1" x14ac:dyDescent="0.2">
      <c r="A61" s="1503" t="s">
        <v>197</v>
      </c>
      <c r="B61" s="614">
        <v>2540</v>
      </c>
      <c r="C61" s="466"/>
      <c r="D61" s="466"/>
      <c r="E61" s="466"/>
      <c r="F61" s="466"/>
      <c r="G61" s="466"/>
      <c r="H61" s="466"/>
      <c r="I61" s="467"/>
      <c r="J61" s="467"/>
      <c r="K61" s="1671">
        <f t="shared" si="7"/>
        <v>0</v>
      </c>
      <c r="L61" s="466"/>
      <c r="M61" s="609"/>
      <c r="N61" s="609"/>
    </row>
    <row r="62" spans="1:14" s="343" customFormat="1" x14ac:dyDescent="0.2">
      <c r="A62" s="1503" t="s">
        <v>953</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7475</v>
      </c>
      <c r="D63" s="466"/>
      <c r="E63" s="466">
        <v>531</v>
      </c>
      <c r="F63" s="466">
        <v>7418</v>
      </c>
      <c r="G63" s="466"/>
      <c r="H63" s="466"/>
      <c r="I63" s="467"/>
      <c r="J63" s="467"/>
      <c r="K63" s="1671">
        <f t="shared" si="7"/>
        <v>15424</v>
      </c>
      <c r="L63" s="466">
        <v>19900</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48625</v>
      </c>
      <c r="D65" s="1669">
        <f t="shared" ref="D65:L65" si="8">SUM(D59:D64)</f>
        <v>0</v>
      </c>
      <c r="E65" s="1669">
        <f t="shared" si="8"/>
        <v>531</v>
      </c>
      <c r="F65" s="1669">
        <f t="shared" si="8"/>
        <v>7418</v>
      </c>
      <c r="G65" s="1669">
        <f t="shared" si="8"/>
        <v>0</v>
      </c>
      <c r="H65" s="1669">
        <f t="shared" si="8"/>
        <v>0</v>
      </c>
      <c r="I65" s="1669">
        <f t="shared" si="8"/>
        <v>0</v>
      </c>
      <c r="J65" s="1669">
        <f t="shared" si="8"/>
        <v>0</v>
      </c>
      <c r="K65" s="1669">
        <f t="shared" si="8"/>
        <v>56574</v>
      </c>
      <c r="L65" s="1669">
        <f t="shared" si="8"/>
        <v>60050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c r="D69" s="466"/>
      <c r="E69" s="466"/>
      <c r="F69" s="466"/>
      <c r="G69" s="466"/>
      <c r="H69" s="466"/>
      <c r="I69" s="467"/>
      <c r="J69" s="467"/>
      <c r="K69" s="1671">
        <f>SUM(C69:J69)</f>
        <v>0</v>
      </c>
      <c r="L69" s="466"/>
      <c r="M69" s="609"/>
      <c r="N69" s="609"/>
    </row>
    <row r="70" spans="1:14" s="343" customFormat="1" x14ac:dyDescent="0.2">
      <c r="A70" s="1503" t="s">
        <v>403</v>
      </c>
      <c r="B70" s="614">
        <v>2640</v>
      </c>
      <c r="C70" s="466"/>
      <c r="D70" s="466"/>
      <c r="E70" s="466"/>
      <c r="F70" s="466"/>
      <c r="G70" s="466"/>
      <c r="H70" s="466"/>
      <c r="I70" s="467"/>
      <c r="J70" s="467"/>
      <c r="K70" s="1671">
        <f>SUM(C70:J70)</f>
        <v>0</v>
      </c>
      <c r="L70" s="466"/>
      <c r="M70" s="609"/>
      <c r="N70" s="609"/>
    </row>
    <row r="71" spans="1:14" s="343" customFormat="1" x14ac:dyDescent="0.2">
      <c r="A71" s="1503"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980</v>
      </c>
      <c r="B73" s="632" t="s">
        <v>574</v>
      </c>
      <c r="C73" s="573"/>
      <c r="D73" s="573"/>
      <c r="E73" s="573"/>
      <c r="F73" s="573"/>
      <c r="G73" s="573"/>
      <c r="H73" s="573"/>
      <c r="I73" s="531"/>
      <c r="J73" s="531"/>
      <c r="K73" s="1669">
        <f>SUM(C73:J73)</f>
        <v>0</v>
      </c>
      <c r="L73" s="576"/>
      <c r="M73" s="609"/>
      <c r="N73" s="609"/>
    </row>
    <row r="74" spans="1:14" ht="12.75" customHeight="1" thickTop="1" thickBot="1" x14ac:dyDescent="0.25">
      <c r="A74" s="1667" t="s">
        <v>811</v>
      </c>
      <c r="B74" s="1675">
        <v>2000</v>
      </c>
      <c r="C74" s="1676">
        <f>SUM(C42,C47,C53,C57,C65,C72,C73)</f>
        <v>102630</v>
      </c>
      <c r="D74" s="1676">
        <f t="shared" ref="D74:K74" si="10">SUM(D42,D47,D53,D57,D65,D72,D73)</f>
        <v>6967</v>
      </c>
      <c r="E74" s="1676">
        <f t="shared" si="10"/>
        <v>21070</v>
      </c>
      <c r="F74" s="1676">
        <f t="shared" si="10"/>
        <v>7696</v>
      </c>
      <c r="G74" s="1676">
        <f t="shared" si="10"/>
        <v>0</v>
      </c>
      <c r="H74" s="1676">
        <f t="shared" si="10"/>
        <v>1201</v>
      </c>
      <c r="I74" s="1676">
        <f t="shared" si="10"/>
        <v>0</v>
      </c>
      <c r="J74" s="1676">
        <f t="shared" si="10"/>
        <v>0</v>
      </c>
      <c r="K74" s="1676">
        <f t="shared" si="10"/>
        <v>139564</v>
      </c>
      <c r="L74" s="1676">
        <f>SUM(L42,L47,L53,L57,L65,L72,L73)</f>
        <v>149350</v>
      </c>
    </row>
    <row r="75" spans="1:14" s="259" customFormat="1" ht="15.75" customHeight="1" thickTop="1" thickBot="1" x14ac:dyDescent="0.25">
      <c r="A75" s="1609" t="s">
        <v>47</v>
      </c>
      <c r="B75" s="1610" t="s">
        <v>575</v>
      </c>
      <c r="C75" s="573"/>
      <c r="D75" s="573"/>
      <c r="E75" s="573"/>
      <c r="F75" s="573"/>
      <c r="G75" s="573"/>
      <c r="H75" s="573"/>
      <c r="I75" s="531"/>
      <c r="J75" s="531"/>
      <c r="K75" s="1669">
        <f>SUM(C75:J75)</f>
        <v>0</v>
      </c>
      <c r="L75" s="576"/>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row>
    <row r="79" spans="1:14" x14ac:dyDescent="0.2">
      <c r="A79" s="1503" t="s">
        <v>304</v>
      </c>
      <c r="B79" s="614">
        <v>4120</v>
      </c>
      <c r="C79" s="616"/>
      <c r="D79" s="616"/>
      <c r="E79" s="466"/>
      <c r="F79" s="616"/>
      <c r="G79" s="616"/>
      <c r="H79" s="466">
        <v>2321</v>
      </c>
      <c r="I79" s="477"/>
      <c r="J79" s="477"/>
      <c r="K79" s="1670">
        <f t="shared" si="11"/>
        <v>2321</v>
      </c>
      <c r="L79" s="466">
        <v>6000</v>
      </c>
    </row>
    <row r="80" spans="1:14" x14ac:dyDescent="0.2">
      <c r="A80" s="1503" t="s">
        <v>305</v>
      </c>
      <c r="B80" s="614">
        <v>4130</v>
      </c>
      <c r="C80" s="616"/>
      <c r="D80" s="616"/>
      <c r="E80" s="466"/>
      <c r="F80" s="616"/>
      <c r="G80" s="616"/>
      <c r="H80" s="466"/>
      <c r="I80" s="477"/>
      <c r="J80" s="477"/>
      <c r="K80" s="1670">
        <f t="shared" si="11"/>
        <v>0</v>
      </c>
      <c r="L80" s="466"/>
    </row>
    <row r="81" spans="1:12" x14ac:dyDescent="0.2">
      <c r="A81" s="1503" t="s">
        <v>697</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0</v>
      </c>
      <c r="F84" s="616"/>
      <c r="G84" s="616"/>
      <c r="H84" s="1669">
        <f>SUM(H78:H83)</f>
        <v>2321</v>
      </c>
      <c r="I84" s="477"/>
      <c r="J84" s="477"/>
      <c r="K84" s="1669">
        <f>SUM(K78:K83)</f>
        <v>2321</v>
      </c>
      <c r="L84" s="1669">
        <f>SUM(L78:L83)</f>
        <v>6000</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699</v>
      </c>
      <c r="B86" s="637">
        <v>4220</v>
      </c>
      <c r="C86" s="616"/>
      <c r="D86" s="616"/>
      <c r="E86" s="638"/>
      <c r="F86" s="616"/>
      <c r="G86" s="616"/>
      <c r="H86" s="467">
        <v>117267</v>
      </c>
      <c r="I86" s="477"/>
      <c r="J86" s="477"/>
      <c r="K86" s="1676">
        <f t="shared" ref="K86:K98" si="12">H86</f>
        <v>117267</v>
      </c>
      <c r="L86" s="530">
        <v>130000</v>
      </c>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c r="I88" s="477"/>
      <c r="J88" s="477"/>
      <c r="K88" s="1676">
        <f t="shared" si="12"/>
        <v>0</v>
      </c>
      <c r="L88" s="530"/>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c r="I90" s="477"/>
      <c r="J90" s="477"/>
      <c r="K90" s="1676">
        <f t="shared" si="12"/>
        <v>0</v>
      </c>
      <c r="L90" s="530"/>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117267</v>
      </c>
      <c r="I92" s="477"/>
      <c r="J92" s="477"/>
      <c r="K92" s="1676">
        <f t="shared" si="12"/>
        <v>117267</v>
      </c>
      <c r="L92" s="1669">
        <f>SUM(L85:L91)</f>
        <v>130000</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0</v>
      </c>
      <c r="F102" s="616"/>
      <c r="G102" s="616"/>
      <c r="H102" s="1676">
        <f>SUM(H84,H92,H100,H101)</f>
        <v>119588</v>
      </c>
      <c r="I102" s="477"/>
      <c r="J102" s="477"/>
      <c r="K102" s="1676">
        <f>SUM(K84,K92,K100,K101)</f>
        <v>119588</v>
      </c>
      <c r="L102" s="1676">
        <f>SUM(L84,L92,L100,L101)</f>
        <v>136000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357382</v>
      </c>
      <c r="D114" s="1669">
        <f t="shared" ref="D114:K114" si="13">SUM(D33,D74,D75,D102,D112,D113)</f>
        <v>68492</v>
      </c>
      <c r="E114" s="1669">
        <f t="shared" si="13"/>
        <v>30144</v>
      </c>
      <c r="F114" s="1669">
        <f t="shared" si="13"/>
        <v>20511</v>
      </c>
      <c r="G114" s="1669">
        <f t="shared" si="13"/>
        <v>1025</v>
      </c>
      <c r="H114" s="1669">
        <f>SUM(H33,H74,H75,H102,H112,H113)</f>
        <v>123662</v>
      </c>
      <c r="I114" s="1669">
        <f t="shared" si="13"/>
        <v>0</v>
      </c>
      <c r="J114" s="1669">
        <f t="shared" si="13"/>
        <v>0</v>
      </c>
      <c r="K114" s="1669">
        <f t="shared" si="13"/>
        <v>601216</v>
      </c>
      <c r="L114" s="1669">
        <f>SUM(L33,L74,L75,L102,L112,L113)</f>
        <v>641900</v>
      </c>
    </row>
    <row r="115" spans="1:14" ht="13.5" thickTop="1" x14ac:dyDescent="0.2">
      <c r="A115" s="2185" t="s">
        <v>996</v>
      </c>
      <c r="B115" s="2186"/>
      <c r="C115" s="618"/>
      <c r="D115" s="618"/>
      <c r="E115" s="618"/>
      <c r="F115" s="618"/>
      <c r="G115" s="618"/>
      <c r="H115" s="618"/>
      <c r="I115" s="618"/>
      <c r="J115" s="618"/>
      <c r="K115" s="1683">
        <f>'Revenues 9-14'!C268-'Expenditures 15-22'!K114</f>
        <v>107466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v>17109</v>
      </c>
      <c r="D124" s="466"/>
      <c r="E124" s="466">
        <v>20594</v>
      </c>
      <c r="F124" s="466">
        <v>5176</v>
      </c>
      <c r="G124" s="466">
        <v>7400</v>
      </c>
      <c r="H124" s="466"/>
      <c r="I124" s="467"/>
      <c r="J124" s="467"/>
      <c r="K124" s="1669">
        <f>SUM(C124:J124)</f>
        <v>50279</v>
      </c>
      <c r="L124" s="466">
        <v>56550</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17109</v>
      </c>
      <c r="D127" s="1669">
        <f t="shared" ref="D127:L127" si="14">SUM(D122:D126)</f>
        <v>0</v>
      </c>
      <c r="E127" s="1669">
        <f t="shared" si="14"/>
        <v>20594</v>
      </c>
      <c r="F127" s="1669">
        <f t="shared" si="14"/>
        <v>5176</v>
      </c>
      <c r="G127" s="1669">
        <f t="shared" si="14"/>
        <v>7400</v>
      </c>
      <c r="H127" s="1669">
        <f t="shared" si="14"/>
        <v>0</v>
      </c>
      <c r="I127" s="1669">
        <f t="shared" si="14"/>
        <v>0</v>
      </c>
      <c r="J127" s="1669">
        <f t="shared" si="14"/>
        <v>0</v>
      </c>
      <c r="K127" s="1669">
        <f t="shared" si="14"/>
        <v>50279</v>
      </c>
      <c r="L127" s="1669">
        <f t="shared" si="14"/>
        <v>56550</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17109</v>
      </c>
      <c r="D129" s="1676">
        <f t="shared" ref="D129:L129" si="15">SUM(D120,D127,D128)</f>
        <v>0</v>
      </c>
      <c r="E129" s="1676">
        <f t="shared" si="15"/>
        <v>20594</v>
      </c>
      <c r="F129" s="1676">
        <f t="shared" si="15"/>
        <v>5176</v>
      </c>
      <c r="G129" s="1676">
        <f t="shared" si="15"/>
        <v>7400</v>
      </c>
      <c r="H129" s="1676">
        <f t="shared" si="15"/>
        <v>0</v>
      </c>
      <c r="I129" s="1676">
        <f t="shared" si="15"/>
        <v>0</v>
      </c>
      <c r="J129" s="1676">
        <f t="shared" si="15"/>
        <v>0</v>
      </c>
      <c r="K129" s="1676">
        <f t="shared" si="15"/>
        <v>50279</v>
      </c>
      <c r="L129" s="1676">
        <f t="shared" si="15"/>
        <v>56550</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c r="F134" s="616"/>
      <c r="G134" s="616"/>
      <c r="H134" s="481"/>
      <c r="I134" s="477"/>
      <c r="J134" s="616"/>
      <c r="K134" s="1671">
        <f>SUM(E134,H134)</f>
        <v>0</v>
      </c>
      <c r="L134" s="481"/>
    </row>
    <row r="135" spans="1:14" x14ac:dyDescent="0.2">
      <c r="A135" s="1503" t="s">
        <v>697</v>
      </c>
      <c r="B135" s="614">
        <v>4140</v>
      </c>
      <c r="C135" s="616"/>
      <c r="D135" s="616"/>
      <c r="E135" s="467"/>
      <c r="F135" s="616"/>
      <c r="G135" s="616"/>
      <c r="H135" s="466"/>
      <c r="I135" s="477"/>
      <c r="J135" s="616"/>
      <c r="K135" s="1671">
        <f>SUM(E135,H135)</f>
        <v>0</v>
      </c>
      <c r="L135" s="466"/>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75" t="s">
        <v>620</v>
      </c>
      <c r="B151" s="2157"/>
      <c r="C151" s="1669">
        <f>SUM(C129,C130,C139,C149,C150)</f>
        <v>17109</v>
      </c>
      <c r="D151" s="1669">
        <f t="shared" ref="D151:K151" si="16">SUM(D129,D130,D139,D149,D150)</f>
        <v>0</v>
      </c>
      <c r="E151" s="1669">
        <f t="shared" si="16"/>
        <v>20594</v>
      </c>
      <c r="F151" s="1669">
        <f t="shared" si="16"/>
        <v>5176</v>
      </c>
      <c r="G151" s="1669">
        <f t="shared" si="16"/>
        <v>7400</v>
      </c>
      <c r="H151" s="1669">
        <f t="shared" si="16"/>
        <v>0</v>
      </c>
      <c r="I151" s="1669">
        <f t="shared" si="16"/>
        <v>0</v>
      </c>
      <c r="J151" s="1669">
        <f t="shared" si="16"/>
        <v>0</v>
      </c>
      <c r="K151" s="1669">
        <f t="shared" si="16"/>
        <v>50279</v>
      </c>
      <c r="L151" s="1669">
        <f>SUM(L129,L130,L139,L149,L150)</f>
        <v>56550</v>
      </c>
    </row>
    <row r="152" spans="1:14" ht="12.75" customHeight="1" thickTop="1" x14ac:dyDescent="0.2">
      <c r="A152" s="2178" t="s">
        <v>1178</v>
      </c>
      <c r="B152" s="2179"/>
      <c r="C152" s="618"/>
      <c r="D152" s="618"/>
      <c r="E152" s="618"/>
      <c r="F152" s="618"/>
      <c r="G152" s="618"/>
      <c r="H152" s="618"/>
      <c r="I152" s="618"/>
      <c r="J152" s="616"/>
      <c r="K152" s="1683">
        <f>'Revenues 9-14'!D268-'Expenditures 15-22'!K151</f>
        <v>-2316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c r="I169" s="616"/>
      <c r="J169" s="616"/>
      <c r="K169" s="1670">
        <f>SUM(C169:H169)</f>
        <v>0</v>
      </c>
      <c r="L169" s="656"/>
    </row>
    <row r="170" spans="1:14" ht="33.75" customHeight="1" x14ac:dyDescent="0.2">
      <c r="A170" s="669" t="s">
        <v>1670</v>
      </c>
      <c r="B170" s="671" t="s">
        <v>31</v>
      </c>
      <c r="C170" s="616"/>
      <c r="D170" s="616"/>
      <c r="E170" s="616"/>
      <c r="F170" s="616"/>
      <c r="G170" s="616"/>
      <c r="H170" s="569"/>
      <c r="I170" s="616"/>
      <c r="J170" s="616"/>
      <c r="K170" s="1670">
        <f>SUM(C170:J170)</f>
        <v>0</v>
      </c>
      <c r="L170" s="569"/>
    </row>
    <row r="171" spans="1:14" ht="15.75" customHeight="1" x14ac:dyDescent="0.2">
      <c r="A171" s="621" t="s">
        <v>766</v>
      </c>
      <c r="B171" s="672" t="s">
        <v>84</v>
      </c>
      <c r="C171" s="616"/>
      <c r="D171" s="616"/>
      <c r="E171" s="466"/>
      <c r="F171" s="616"/>
      <c r="G171" s="616"/>
      <c r="H171" s="569"/>
      <c r="I171" s="477"/>
      <c r="J171" s="616"/>
      <c r="K171" s="1670">
        <f>SUM(C171:J171)</f>
        <v>0</v>
      </c>
      <c r="L171" s="569"/>
    </row>
    <row r="172" spans="1:14" ht="12.75" customHeight="1" thickBot="1" x14ac:dyDescent="0.25">
      <c r="A172" s="1667" t="s">
        <v>638</v>
      </c>
      <c r="B172" s="1668" t="s">
        <v>492</v>
      </c>
      <c r="C172" s="616"/>
      <c r="D172" s="616"/>
      <c r="E172" s="1676">
        <f>SUM(E168,E169,E170,E171)</f>
        <v>0</v>
      </c>
      <c r="F172" s="616"/>
      <c r="G172" s="616"/>
      <c r="H172" s="1676">
        <f>SUM(H168,H169,H170,H171)</f>
        <v>0</v>
      </c>
      <c r="I172" s="638"/>
      <c r="J172" s="616"/>
      <c r="K172" s="1676">
        <f>SUM(K168,K169,K170,K171)</f>
        <v>0</v>
      </c>
      <c r="L172" s="1676">
        <f>SUM(L168,L169,L170,L171)</f>
        <v>0</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0</v>
      </c>
      <c r="I174" s="638"/>
      <c r="J174" s="616"/>
      <c r="K174" s="1676">
        <f>SUM(K160,K172,K173)</f>
        <v>0</v>
      </c>
      <c r="L174" s="1676">
        <f>SUM(L160,L172,L173)</f>
        <v>0</v>
      </c>
    </row>
    <row r="175" spans="1:14" ht="13.5" thickTop="1" x14ac:dyDescent="0.2">
      <c r="A175" s="2185" t="s">
        <v>996</v>
      </c>
      <c r="B175" s="2186"/>
      <c r="C175" s="616"/>
      <c r="D175" s="616"/>
      <c r="E175" s="616"/>
      <c r="F175" s="616"/>
      <c r="G175" s="616"/>
      <c r="H175" s="618"/>
      <c r="I175" s="616"/>
      <c r="J175" s="616"/>
      <c r="K175" s="1683">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12193</v>
      </c>
      <c r="D182" s="466">
        <v>254</v>
      </c>
      <c r="E182" s="466">
        <v>46119</v>
      </c>
      <c r="F182" s="466">
        <v>4444</v>
      </c>
      <c r="G182" s="466"/>
      <c r="H182" s="466"/>
      <c r="I182" s="467"/>
      <c r="J182" s="467"/>
      <c r="K182" s="1670">
        <f>SUM(C182:J182)</f>
        <v>63010</v>
      </c>
      <c r="L182" s="466">
        <v>64325</v>
      </c>
    </row>
    <row r="183" spans="1:14" ht="12.75" customHeight="1" thickBot="1" x14ac:dyDescent="0.25">
      <c r="A183" s="1508"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12193</v>
      </c>
      <c r="D184" s="1676">
        <f t="shared" ref="D184:J184" si="17">SUM(D180,D182,D183)</f>
        <v>254</v>
      </c>
      <c r="E184" s="1676">
        <f t="shared" si="17"/>
        <v>46119</v>
      </c>
      <c r="F184" s="1676">
        <f t="shared" si="17"/>
        <v>4444</v>
      </c>
      <c r="G184" s="1676">
        <f t="shared" si="17"/>
        <v>0</v>
      </c>
      <c r="H184" s="1676">
        <f t="shared" si="17"/>
        <v>0</v>
      </c>
      <c r="I184" s="1676">
        <f t="shared" si="17"/>
        <v>0</v>
      </c>
      <c r="J184" s="1676">
        <f t="shared" si="17"/>
        <v>0</v>
      </c>
      <c r="K184" s="1676">
        <f>SUM(K180,K182,K183)</f>
        <v>63010</v>
      </c>
      <c r="L184" s="1676">
        <f>SUM(L180, L182:L183)</f>
        <v>64325</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v>27</v>
      </c>
      <c r="I205" s="616"/>
      <c r="J205" s="616"/>
      <c r="K205" s="1684">
        <f>SUM(H205)</f>
        <v>27</v>
      </c>
      <c r="L205" s="535">
        <v>50</v>
      </c>
    </row>
    <row r="206" spans="1:14" ht="30" customHeight="1" x14ac:dyDescent="0.2">
      <c r="A206" s="681" t="s">
        <v>1671</v>
      </c>
      <c r="B206" s="672" t="s">
        <v>31</v>
      </c>
      <c r="C206" s="616"/>
      <c r="D206" s="616"/>
      <c r="E206" s="616"/>
      <c r="F206" s="616"/>
      <c r="G206" s="616"/>
      <c r="H206" s="466">
        <v>13972</v>
      </c>
      <c r="I206" s="616"/>
      <c r="J206" s="616"/>
      <c r="K206" s="1670">
        <f>SUM(H206)</f>
        <v>13972</v>
      </c>
      <c r="L206" s="466">
        <v>14000</v>
      </c>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13999</v>
      </c>
      <c r="I208" s="616"/>
      <c r="J208" s="616"/>
      <c r="K208" s="1676">
        <f>SUM(K204,K205,K206,K207)</f>
        <v>13999</v>
      </c>
      <c r="L208" s="1676">
        <f>SUM(L204,L205,L206,L207)</f>
        <v>14050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12193</v>
      </c>
      <c r="D210" s="1669">
        <f>SUM(D184,D185)</f>
        <v>254</v>
      </c>
      <c r="E210" s="1669">
        <f>SUM(E184,E185,E196)</f>
        <v>46119</v>
      </c>
      <c r="F210" s="1669">
        <f>SUM(F184,F185)</f>
        <v>4444</v>
      </c>
      <c r="G210" s="1669">
        <f>SUM(G184,G185)</f>
        <v>0</v>
      </c>
      <c r="H210" s="1669">
        <f>SUM(H184,H185,H196,H208,H209)</f>
        <v>13999</v>
      </c>
      <c r="I210" s="1669">
        <f>SUM(I184,I185)</f>
        <v>0</v>
      </c>
      <c r="J210" s="1669">
        <f>SUM(J184,J185)</f>
        <v>0</v>
      </c>
      <c r="K210" s="1670">
        <f>SUM(K184,K185,K196,K208,K209)</f>
        <v>77009</v>
      </c>
      <c r="L210" s="1669">
        <f>SUM(L184,L185,L196,L208,L209)</f>
        <v>78375</v>
      </c>
    </row>
    <row r="211" spans="1:14" ht="13.5" thickTop="1" x14ac:dyDescent="0.2">
      <c r="A211" s="2185" t="s">
        <v>996</v>
      </c>
      <c r="B211" s="2186"/>
      <c r="C211" s="618"/>
      <c r="D211" s="618"/>
      <c r="E211" s="618"/>
      <c r="F211" s="618"/>
      <c r="G211" s="618"/>
      <c r="H211" s="618"/>
      <c r="I211" s="616"/>
      <c r="J211" s="616"/>
      <c r="K211" s="1683">
        <f>'Revenues 9-14'!F268-'Expenditures 15-22'!K210</f>
        <v>396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3821</v>
      </c>
      <c r="E215" s="616"/>
      <c r="F215" s="616"/>
      <c r="G215" s="616"/>
      <c r="H215" s="616"/>
      <c r="I215" s="616"/>
      <c r="J215" s="616"/>
      <c r="K215" s="1670">
        <f>D215</f>
        <v>3821</v>
      </c>
      <c r="L215" s="466">
        <v>4100</v>
      </c>
    </row>
    <row r="216" spans="1:14" x14ac:dyDescent="0.2">
      <c r="A216" s="1503" t="s">
        <v>163</v>
      </c>
      <c r="B216" s="614" t="s">
        <v>967</v>
      </c>
      <c r="C216" s="616"/>
      <c r="D216" s="467"/>
      <c r="E216" s="616"/>
      <c r="F216" s="616"/>
      <c r="G216" s="616"/>
      <c r="H216" s="616"/>
      <c r="I216" s="616"/>
      <c r="J216" s="616"/>
      <c r="K216" s="1670">
        <f t="shared" ref="K216:K228" si="19">D216</f>
        <v>0</v>
      </c>
      <c r="L216" s="466"/>
    </row>
    <row r="217" spans="1:14" x14ac:dyDescent="0.2">
      <c r="A217" s="1503" t="s">
        <v>164</v>
      </c>
      <c r="B217" s="614">
        <v>1200</v>
      </c>
      <c r="C217" s="616"/>
      <c r="D217" s="466">
        <v>532</v>
      </c>
      <c r="E217" s="616"/>
      <c r="F217" s="616"/>
      <c r="G217" s="616"/>
      <c r="H217" s="616"/>
      <c r="I217" s="616"/>
      <c r="J217" s="616"/>
      <c r="K217" s="1670">
        <f t="shared" si="19"/>
        <v>532</v>
      </c>
      <c r="L217" s="466">
        <v>550</v>
      </c>
    </row>
    <row r="218" spans="1:14" x14ac:dyDescent="0.2">
      <c r="A218" s="1503" t="s">
        <v>278</v>
      </c>
      <c r="B218" s="614" t="s">
        <v>968</v>
      </c>
      <c r="C218" s="616"/>
      <c r="D218" s="467"/>
      <c r="E218" s="616"/>
      <c r="F218" s="616"/>
      <c r="G218" s="616"/>
      <c r="H218" s="616"/>
      <c r="I218" s="616"/>
      <c r="J218" s="616"/>
      <c r="K218" s="1670">
        <f t="shared" si="19"/>
        <v>0</v>
      </c>
      <c r="L218" s="466"/>
    </row>
    <row r="219" spans="1:14" x14ac:dyDescent="0.2">
      <c r="A219" s="1503" t="s">
        <v>279</v>
      </c>
      <c r="B219" s="614">
        <v>1250</v>
      </c>
      <c r="C219" s="616"/>
      <c r="D219" s="466">
        <v>272</v>
      </c>
      <c r="E219" s="616"/>
      <c r="F219" s="616"/>
      <c r="G219" s="616"/>
      <c r="H219" s="616"/>
      <c r="I219" s="616"/>
      <c r="J219" s="616"/>
      <c r="K219" s="1670">
        <f t="shared" si="19"/>
        <v>272</v>
      </c>
      <c r="L219" s="466">
        <v>350</v>
      </c>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c r="E222" s="616"/>
      <c r="F222" s="616"/>
      <c r="G222" s="616"/>
      <c r="H222" s="616"/>
      <c r="I222" s="616"/>
      <c r="J222" s="616"/>
      <c r="K222" s="1670">
        <f t="shared" si="19"/>
        <v>0</v>
      </c>
      <c r="L222" s="466"/>
    </row>
    <row r="223" spans="1:14" x14ac:dyDescent="0.2">
      <c r="A223" s="1503" t="s">
        <v>963</v>
      </c>
      <c r="B223" s="614">
        <v>1500</v>
      </c>
      <c r="C223" s="616"/>
      <c r="D223" s="466">
        <v>520</v>
      </c>
      <c r="E223" s="616"/>
      <c r="F223" s="616"/>
      <c r="G223" s="616"/>
      <c r="H223" s="616"/>
      <c r="I223" s="616"/>
      <c r="J223" s="616"/>
      <c r="K223" s="1670">
        <f t="shared" si="19"/>
        <v>520</v>
      </c>
      <c r="L223" s="466">
        <v>600</v>
      </c>
    </row>
    <row r="224" spans="1:14" x14ac:dyDescent="0.2">
      <c r="A224" s="1503" t="s">
        <v>964</v>
      </c>
      <c r="B224" s="614">
        <v>1600</v>
      </c>
      <c r="C224" s="616"/>
      <c r="D224" s="466"/>
      <c r="E224" s="616"/>
      <c r="F224" s="616"/>
      <c r="G224" s="616"/>
      <c r="H224" s="616"/>
      <c r="I224" s="616"/>
      <c r="J224" s="616"/>
      <c r="K224" s="1670">
        <f t="shared" si="19"/>
        <v>0</v>
      </c>
      <c r="L224" s="466"/>
    </row>
    <row r="225" spans="1:12" x14ac:dyDescent="0.2">
      <c r="A225" s="1503" t="s">
        <v>987</v>
      </c>
      <c r="B225" s="614">
        <v>1650</v>
      </c>
      <c r="C225" s="616"/>
      <c r="D225" s="466"/>
      <c r="E225" s="616"/>
      <c r="F225" s="616"/>
      <c r="G225" s="616"/>
      <c r="H225" s="616"/>
      <c r="I225" s="616"/>
      <c r="J225" s="616"/>
      <c r="K225" s="1670">
        <f t="shared" si="19"/>
        <v>0</v>
      </c>
      <c r="L225" s="466"/>
    </row>
    <row r="226" spans="1:12" x14ac:dyDescent="0.2">
      <c r="A226" s="1503" t="s">
        <v>724</v>
      </c>
      <c r="B226" s="614" t="s">
        <v>162</v>
      </c>
      <c r="C226" s="616"/>
      <c r="D226" s="467"/>
      <c r="E226" s="616"/>
      <c r="F226" s="616"/>
      <c r="G226" s="616"/>
      <c r="H226" s="616"/>
      <c r="I226" s="616"/>
      <c r="J226" s="616"/>
      <c r="K226" s="1670">
        <f t="shared" si="19"/>
        <v>0</v>
      </c>
      <c r="L226" s="466"/>
    </row>
    <row r="227" spans="1:12" x14ac:dyDescent="0.2">
      <c r="A227" s="1503" t="s">
        <v>1087</v>
      </c>
      <c r="B227" s="614">
        <v>1800</v>
      </c>
      <c r="C227" s="616"/>
      <c r="D227" s="466"/>
      <c r="E227" s="616"/>
      <c r="F227" s="616"/>
      <c r="G227" s="616"/>
      <c r="H227" s="616"/>
      <c r="I227" s="616"/>
      <c r="J227" s="616"/>
      <c r="K227" s="1670">
        <f t="shared" si="19"/>
        <v>0</v>
      </c>
      <c r="L227" s="466"/>
    </row>
    <row r="228" spans="1:12" x14ac:dyDescent="0.2">
      <c r="A228" s="1503"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5145</v>
      </c>
      <c r="E229" s="616"/>
      <c r="F229" s="616"/>
      <c r="G229" s="616"/>
      <c r="H229" s="616"/>
      <c r="I229" s="616"/>
      <c r="J229" s="616"/>
      <c r="K229" s="1669">
        <f>SUM(K215:K228)</f>
        <v>5145</v>
      </c>
      <c r="L229" s="1669">
        <f>SUM(L215:L228)</f>
        <v>5600</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c r="E232" s="616"/>
      <c r="F232" s="616"/>
      <c r="G232" s="616"/>
      <c r="H232" s="616"/>
      <c r="I232" s="616"/>
      <c r="J232" s="616"/>
      <c r="K232" s="1670">
        <f t="shared" ref="K232:K237" si="20">D232</f>
        <v>0</v>
      </c>
      <c r="L232" s="466"/>
    </row>
    <row r="233" spans="1:12" x14ac:dyDescent="0.2">
      <c r="A233" s="1503" t="s">
        <v>1090</v>
      </c>
      <c r="B233" s="614">
        <v>2120</v>
      </c>
      <c r="C233" s="616"/>
      <c r="D233" s="466"/>
      <c r="E233" s="616"/>
      <c r="F233" s="616"/>
      <c r="G233" s="616"/>
      <c r="H233" s="616"/>
      <c r="I233" s="616"/>
      <c r="J233" s="616"/>
      <c r="K233" s="1670">
        <f t="shared" si="20"/>
        <v>0</v>
      </c>
      <c r="L233" s="466"/>
    </row>
    <row r="234" spans="1:12" x14ac:dyDescent="0.2">
      <c r="A234" s="1503" t="s">
        <v>198</v>
      </c>
      <c r="B234" s="614">
        <v>2130</v>
      </c>
      <c r="C234" s="616"/>
      <c r="D234" s="466"/>
      <c r="E234" s="616"/>
      <c r="F234" s="616"/>
      <c r="G234" s="616"/>
      <c r="H234" s="616"/>
      <c r="I234" s="616"/>
      <c r="J234" s="616"/>
      <c r="K234" s="1670">
        <f t="shared" si="20"/>
        <v>0</v>
      </c>
      <c r="L234" s="466"/>
    </row>
    <row r="235" spans="1:12" x14ac:dyDescent="0.2">
      <c r="A235" s="1503" t="s">
        <v>199</v>
      </c>
      <c r="B235" s="614">
        <v>2140</v>
      </c>
      <c r="C235" s="616"/>
      <c r="D235" s="466"/>
      <c r="E235" s="616"/>
      <c r="F235" s="616"/>
      <c r="G235" s="616"/>
      <c r="H235" s="616"/>
      <c r="I235" s="616"/>
      <c r="J235" s="616"/>
      <c r="K235" s="1670">
        <f t="shared" si="20"/>
        <v>0</v>
      </c>
      <c r="L235" s="466"/>
    </row>
    <row r="236" spans="1:12" x14ac:dyDescent="0.2">
      <c r="A236" s="1503" t="s">
        <v>200</v>
      </c>
      <c r="B236" s="614">
        <v>2150</v>
      </c>
      <c r="C236" s="616"/>
      <c r="D236" s="466"/>
      <c r="E236" s="616"/>
      <c r="F236" s="616"/>
      <c r="G236" s="616"/>
      <c r="H236" s="616"/>
      <c r="I236" s="616"/>
      <c r="J236" s="616"/>
      <c r="K236" s="1670">
        <f t="shared" si="20"/>
        <v>0</v>
      </c>
      <c r="L236" s="466"/>
    </row>
    <row r="237" spans="1:12" x14ac:dyDescent="0.2">
      <c r="A237" s="1503"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0</v>
      </c>
      <c r="E238" s="616"/>
      <c r="F238" s="616"/>
      <c r="G238" s="616"/>
      <c r="H238" s="616"/>
      <c r="I238" s="616"/>
      <c r="J238" s="616"/>
      <c r="K238" s="1669">
        <f>SUM(K232:K237)</f>
        <v>0</v>
      </c>
      <c r="L238" s="1669">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c r="E240" s="616"/>
      <c r="F240" s="616"/>
      <c r="G240" s="616"/>
      <c r="H240" s="616"/>
      <c r="I240" s="616"/>
      <c r="J240" s="616"/>
      <c r="K240" s="1671">
        <f>D240</f>
        <v>0</v>
      </c>
      <c r="L240" s="481"/>
    </row>
    <row r="241" spans="1:12" x14ac:dyDescent="0.2">
      <c r="A241" s="1503" t="s">
        <v>815</v>
      </c>
      <c r="B241" s="614">
        <v>2220</v>
      </c>
      <c r="C241" s="616"/>
      <c r="D241" s="466"/>
      <c r="E241" s="616"/>
      <c r="F241" s="616"/>
      <c r="G241" s="616"/>
      <c r="H241" s="616"/>
      <c r="I241" s="616"/>
      <c r="J241" s="616"/>
      <c r="K241" s="1671">
        <f>D241</f>
        <v>0</v>
      </c>
      <c r="L241" s="466"/>
    </row>
    <row r="242" spans="1:12" x14ac:dyDescent="0.2">
      <c r="A242" s="1503"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0</v>
      </c>
      <c r="E243" s="616"/>
      <c r="F243" s="616"/>
      <c r="G243" s="616"/>
      <c r="H243" s="616"/>
      <c r="I243" s="616"/>
      <c r="J243" s="616"/>
      <c r="K243" s="1669">
        <f>SUM(K240:K242)</f>
        <v>0</v>
      </c>
      <c r="L243" s="1669">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c r="E245" s="616"/>
      <c r="F245" s="616"/>
      <c r="G245" s="616"/>
      <c r="H245" s="616"/>
      <c r="I245" s="616"/>
      <c r="J245" s="616"/>
      <c r="K245" s="1671">
        <f>D245</f>
        <v>0</v>
      </c>
      <c r="L245" s="481"/>
    </row>
    <row r="246" spans="1:12" x14ac:dyDescent="0.2">
      <c r="A246" s="1503" t="s">
        <v>818</v>
      </c>
      <c r="B246" s="614">
        <v>2320</v>
      </c>
      <c r="C246" s="616"/>
      <c r="D246" s="466">
        <v>605</v>
      </c>
      <c r="E246" s="616"/>
      <c r="F246" s="616"/>
      <c r="G246" s="616"/>
      <c r="H246" s="616"/>
      <c r="I246" s="616"/>
      <c r="J246" s="616"/>
      <c r="K246" s="1671">
        <f t="shared" ref="K246:K256" si="21">D246</f>
        <v>605</v>
      </c>
      <c r="L246" s="466">
        <v>650</v>
      </c>
    </row>
    <row r="247" spans="1:12" x14ac:dyDescent="0.2">
      <c r="A247" s="1503" t="s">
        <v>819</v>
      </c>
      <c r="B247" s="614">
        <v>2330</v>
      </c>
      <c r="C247" s="616"/>
      <c r="D247" s="466"/>
      <c r="E247" s="616"/>
      <c r="F247" s="616"/>
      <c r="G247" s="616"/>
      <c r="H247" s="616"/>
      <c r="I247" s="616"/>
      <c r="J247" s="616"/>
      <c r="K247" s="1671">
        <f t="shared" si="21"/>
        <v>0</v>
      </c>
      <c r="L247" s="466"/>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1805</v>
      </c>
      <c r="B249" s="683" t="s">
        <v>282</v>
      </c>
      <c r="C249" s="616"/>
      <c r="D249" s="474"/>
      <c r="E249" s="616"/>
      <c r="F249" s="616"/>
      <c r="G249" s="616"/>
      <c r="H249" s="616"/>
      <c r="I249" s="616"/>
      <c r="J249" s="616"/>
      <c r="K249" s="1671">
        <f t="shared" si="21"/>
        <v>0</v>
      </c>
      <c r="L249" s="466"/>
    </row>
    <row r="250" spans="1:12" x14ac:dyDescent="0.2">
      <c r="A250" s="1504" t="s">
        <v>1806</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v>1406</v>
      </c>
      <c r="E254" s="616"/>
      <c r="F254" s="616"/>
      <c r="G254" s="616"/>
      <c r="H254" s="616"/>
      <c r="I254" s="616"/>
      <c r="J254" s="616"/>
      <c r="K254" s="1671">
        <f t="shared" si="21"/>
        <v>1406</v>
      </c>
      <c r="L254" s="466">
        <v>1500</v>
      </c>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2011</v>
      </c>
      <c r="E257" s="616"/>
      <c r="F257" s="616"/>
      <c r="G257" s="616"/>
      <c r="H257" s="616"/>
      <c r="I257" s="616"/>
      <c r="J257" s="616"/>
      <c r="K257" s="1669">
        <f>SUM(K245:K256)</f>
        <v>2011</v>
      </c>
      <c r="L257" s="1669">
        <f>SUM(L245:L256)</f>
        <v>2150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178</v>
      </c>
      <c r="E259" s="616"/>
      <c r="F259" s="616"/>
      <c r="G259" s="616"/>
      <c r="H259" s="616"/>
      <c r="I259" s="616"/>
      <c r="J259" s="616"/>
      <c r="K259" s="1671">
        <f>D259</f>
        <v>178</v>
      </c>
      <c r="L259" s="481">
        <v>200</v>
      </c>
    </row>
    <row r="260" spans="1:14" s="597" customFormat="1" x14ac:dyDescent="0.2">
      <c r="A260" s="1521"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178</v>
      </c>
      <c r="E261" s="616"/>
      <c r="F261" s="616"/>
      <c r="G261" s="616"/>
      <c r="H261" s="616"/>
      <c r="I261" s="616"/>
      <c r="J261" s="616"/>
      <c r="K261" s="1669">
        <f>SUM(K259:K260)</f>
        <v>178</v>
      </c>
      <c r="L261" s="1669">
        <f>SUM(L259:L260)</f>
        <v>200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row>
    <row r="264" spans="1:14" x14ac:dyDescent="0.2">
      <c r="A264" s="1503" t="s">
        <v>463</v>
      </c>
      <c r="B264" s="685">
        <v>2520</v>
      </c>
      <c r="C264" s="616"/>
      <c r="D264" s="466">
        <v>3691</v>
      </c>
      <c r="E264" s="616"/>
      <c r="F264" s="616"/>
      <c r="G264" s="616"/>
      <c r="H264" s="616"/>
      <c r="I264" s="616"/>
      <c r="J264" s="616"/>
      <c r="K264" s="1671">
        <f t="shared" ref="K264:K269" si="22">D264</f>
        <v>3691</v>
      </c>
      <c r="L264" s="466">
        <v>4000</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1579</v>
      </c>
      <c r="E266" s="616"/>
      <c r="F266" s="616"/>
      <c r="G266" s="616"/>
      <c r="H266" s="616"/>
      <c r="I266" s="616"/>
      <c r="J266" s="616"/>
      <c r="K266" s="1671">
        <f t="shared" si="22"/>
        <v>1579</v>
      </c>
      <c r="L266" s="466">
        <v>2200</v>
      </c>
    </row>
    <row r="267" spans="1:14" x14ac:dyDescent="0.2">
      <c r="A267" s="1503" t="s">
        <v>953</v>
      </c>
      <c r="B267" s="614">
        <v>2550</v>
      </c>
      <c r="C267" s="616"/>
      <c r="D267" s="466">
        <v>811</v>
      </c>
      <c r="E267" s="616"/>
      <c r="F267" s="616"/>
      <c r="G267" s="616"/>
      <c r="H267" s="616"/>
      <c r="I267" s="616"/>
      <c r="J267" s="616"/>
      <c r="K267" s="1671">
        <f t="shared" si="22"/>
        <v>811</v>
      </c>
      <c r="L267" s="466">
        <v>950</v>
      </c>
    </row>
    <row r="268" spans="1:14" x14ac:dyDescent="0.2">
      <c r="A268" s="1503" t="s">
        <v>100</v>
      </c>
      <c r="B268" s="614">
        <v>2560</v>
      </c>
      <c r="C268" s="616"/>
      <c r="D268" s="466">
        <v>652</v>
      </c>
      <c r="E268" s="616"/>
      <c r="F268" s="616"/>
      <c r="G268" s="616"/>
      <c r="H268" s="616"/>
      <c r="I268" s="616"/>
      <c r="J268" s="616"/>
      <c r="K268" s="1671">
        <f t="shared" si="22"/>
        <v>652</v>
      </c>
      <c r="L268" s="466">
        <v>800</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6733</v>
      </c>
      <c r="E270" s="616"/>
      <c r="F270" s="616"/>
      <c r="G270" s="616"/>
      <c r="H270" s="616"/>
      <c r="I270" s="616"/>
      <c r="J270" s="616"/>
      <c r="K270" s="1669">
        <f>SUM(K263:K269)</f>
        <v>6733</v>
      </c>
      <c r="L270" s="1669">
        <f>SUM(L263:L269)</f>
        <v>7950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c r="E274" s="616"/>
      <c r="F274" s="616"/>
      <c r="G274" s="616"/>
      <c r="H274" s="616"/>
      <c r="I274" s="616"/>
      <c r="J274" s="616"/>
      <c r="K274" s="1671">
        <f>D274</f>
        <v>0</v>
      </c>
      <c r="L274" s="466"/>
    </row>
    <row r="275" spans="1:12" x14ac:dyDescent="0.2">
      <c r="A275" s="1503" t="s">
        <v>403</v>
      </c>
      <c r="B275" s="614">
        <v>2640</v>
      </c>
      <c r="C275" s="616"/>
      <c r="D275" s="466"/>
      <c r="E275" s="616"/>
      <c r="F275" s="616"/>
      <c r="G275" s="616"/>
      <c r="H275" s="616"/>
      <c r="I275" s="616"/>
      <c r="J275" s="616"/>
      <c r="K275" s="1671">
        <f>D275</f>
        <v>0</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8922</v>
      </c>
      <c r="E279" s="616"/>
      <c r="F279" s="616"/>
      <c r="G279" s="616"/>
      <c r="H279" s="616"/>
      <c r="I279" s="616"/>
      <c r="J279" s="616"/>
      <c r="K279" s="1676">
        <f>SUM(K238,K243,K257,K261,K270,K277,K278)</f>
        <v>8922</v>
      </c>
      <c r="L279" s="1676">
        <f>SUM(L238,L243,L257,L261,L270,L277,L278)</f>
        <v>10300</v>
      </c>
    </row>
    <row r="280" spans="1:12" ht="15.75" customHeight="1" thickTop="1" thickBot="1" x14ac:dyDescent="0.25">
      <c r="A280" s="1623" t="s">
        <v>875</v>
      </c>
      <c r="B280" s="1612">
        <v>3000</v>
      </c>
      <c r="C280" s="616"/>
      <c r="D280" s="576"/>
      <c r="E280" s="616"/>
      <c r="F280" s="616"/>
      <c r="G280" s="616"/>
      <c r="H280" s="616"/>
      <c r="I280" s="616"/>
      <c r="J280" s="616"/>
      <c r="K280" s="1678">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69">
        <f>SUM(D229,D279,D280,D285)</f>
        <v>14067</v>
      </c>
      <c r="E295" s="616"/>
      <c r="F295" s="616"/>
      <c r="G295" s="616"/>
      <c r="H295" s="1669">
        <f>H293</f>
        <v>0</v>
      </c>
      <c r="I295" s="616"/>
      <c r="J295" s="616"/>
      <c r="K295" s="1669">
        <f>SUM(K229,K279,K280,K285,K293,K294)</f>
        <v>14067</v>
      </c>
      <c r="L295" s="1669">
        <f>SUM(L229,L279,L280,L285,L293,L294)</f>
        <v>15900</v>
      </c>
    </row>
    <row r="296" spans="1:14" ht="13.5" thickTop="1" x14ac:dyDescent="0.2">
      <c r="A296" s="2185" t="s">
        <v>996</v>
      </c>
      <c r="B296" s="2186"/>
      <c r="C296" s="616"/>
      <c r="D296" s="618"/>
      <c r="E296" s="616"/>
      <c r="F296" s="616"/>
      <c r="G296" s="616"/>
      <c r="H296" s="687"/>
      <c r="I296" s="616"/>
      <c r="J296" s="616"/>
      <c r="K296" s="1683">
        <f>'Revenues 9-14'!G268-'Expenditures 15-22'!K295</f>
        <v>-5763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v>51364</v>
      </c>
      <c r="H301" s="466"/>
      <c r="I301" s="467"/>
      <c r="J301" s="467"/>
      <c r="K301" s="1670">
        <f>SUM(C301:J301)</f>
        <v>51364</v>
      </c>
      <c r="L301" s="467">
        <v>188380</v>
      </c>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51364</v>
      </c>
      <c r="H303" s="1676">
        <f t="shared" si="23"/>
        <v>0</v>
      </c>
      <c r="I303" s="1676">
        <f t="shared" si="23"/>
        <v>0</v>
      </c>
      <c r="J303" s="1676">
        <f t="shared" si="23"/>
        <v>0</v>
      </c>
      <c r="K303" s="1676">
        <f t="shared" si="23"/>
        <v>51364</v>
      </c>
      <c r="L303" s="1676">
        <f t="shared" si="23"/>
        <v>188380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v>127005</v>
      </c>
      <c r="I309" s="477"/>
      <c r="J309" s="616"/>
      <c r="K309" s="1670">
        <f>SUM(E309,H309)</f>
        <v>127005</v>
      </c>
      <c r="L309" s="466"/>
    </row>
    <row r="310" spans="1:14" ht="12.75" customHeight="1" thickBot="1" x14ac:dyDescent="0.25">
      <c r="A310" s="1667" t="s">
        <v>1487</v>
      </c>
      <c r="B310" s="1674" t="s">
        <v>860</v>
      </c>
      <c r="C310" s="616"/>
      <c r="D310" s="616"/>
      <c r="E310" s="1669">
        <f>SUM(E306:E309)</f>
        <v>0</v>
      </c>
      <c r="F310" s="616"/>
      <c r="G310" s="616"/>
      <c r="H310" s="1669">
        <f>SUM(H306:H309)</f>
        <v>127005</v>
      </c>
      <c r="I310" s="477"/>
      <c r="J310" s="616"/>
      <c r="K310" s="1669">
        <f>SUM(K306:K309)</f>
        <v>127005</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69">
        <f>SUM(C303)</f>
        <v>0</v>
      </c>
      <c r="D312" s="1669">
        <f>SUM(D303)</f>
        <v>0</v>
      </c>
      <c r="E312" s="1669">
        <f>SUM(E303,E310)</f>
        <v>0</v>
      </c>
      <c r="F312" s="1669">
        <f>SUM(F303)</f>
        <v>0</v>
      </c>
      <c r="G312" s="1669">
        <f>SUM(G303)</f>
        <v>51364</v>
      </c>
      <c r="H312" s="1669">
        <f>SUM(H303,H310)</f>
        <v>127005</v>
      </c>
      <c r="I312" s="1669">
        <f>SUM(I303)</f>
        <v>0</v>
      </c>
      <c r="J312" s="1669">
        <f>SUM(J303)</f>
        <v>0</v>
      </c>
      <c r="K312" s="1669">
        <f>SUM(K303,K310,K311)</f>
        <v>178369</v>
      </c>
      <c r="L312" s="1669">
        <f>SUM(L303,L310,L311)</f>
        <v>188380</v>
      </c>
      <c r="M312" s="665"/>
      <c r="N312" s="665"/>
    </row>
    <row r="313" spans="1:14" ht="13.5" thickTop="1" x14ac:dyDescent="0.2">
      <c r="A313" s="2169" t="s">
        <v>996</v>
      </c>
      <c r="B313" s="2170"/>
      <c r="C313" s="626"/>
      <c r="D313" s="626"/>
      <c r="E313" s="626"/>
      <c r="F313" s="626"/>
      <c r="G313" s="626"/>
      <c r="H313" s="626"/>
      <c r="I313" s="626"/>
      <c r="J313" s="626"/>
      <c r="K313" s="1684">
        <f>'Revenues 9-14'!H268-'Expenditures 15-22'!K312</f>
        <v>-178352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1805</v>
      </c>
      <c r="B320" s="698" t="s">
        <v>282</v>
      </c>
      <c r="C320" s="467"/>
      <c r="D320" s="467"/>
      <c r="E320" s="467"/>
      <c r="F320" s="467"/>
      <c r="G320" s="467"/>
      <c r="H320" s="467"/>
      <c r="I320" s="467"/>
      <c r="J320" s="467"/>
      <c r="K320" s="1670">
        <f t="shared" ref="K320:K327" si="24">SUM(C320:J320)</f>
        <v>0</v>
      </c>
      <c r="L320" s="467"/>
      <c r="M320" s="665"/>
      <c r="N320" s="665"/>
    </row>
    <row r="321" spans="1:14" s="674" customFormat="1" x14ac:dyDescent="0.2">
      <c r="A321" s="1518" t="s">
        <v>300</v>
      </c>
      <c r="B321" s="697" t="s">
        <v>283</v>
      </c>
      <c r="C321" s="467"/>
      <c r="D321" s="467"/>
      <c r="E321" s="467">
        <v>1106</v>
      </c>
      <c r="F321" s="467"/>
      <c r="G321" s="467"/>
      <c r="H321" s="467"/>
      <c r="I321" s="467"/>
      <c r="J321" s="467"/>
      <c r="K321" s="1670">
        <f t="shared" si="24"/>
        <v>1106</v>
      </c>
      <c r="L321" s="467">
        <v>4500</v>
      </c>
      <c r="M321" s="665"/>
      <c r="N321" s="665"/>
    </row>
    <row r="322" spans="1:14" s="674" customFormat="1" x14ac:dyDescent="0.2">
      <c r="A322" s="1518" t="s">
        <v>238</v>
      </c>
      <c r="B322" s="697" t="s">
        <v>284</v>
      </c>
      <c r="C322" s="467"/>
      <c r="D322" s="467"/>
      <c r="E322" s="467">
        <v>15211</v>
      </c>
      <c r="F322" s="467"/>
      <c r="G322" s="467"/>
      <c r="H322" s="467"/>
      <c r="I322" s="467"/>
      <c r="J322" s="467"/>
      <c r="K322" s="1670">
        <f t="shared" si="24"/>
        <v>15211</v>
      </c>
      <c r="L322" s="467">
        <v>16000</v>
      </c>
      <c r="M322" s="665"/>
      <c r="N322" s="665"/>
    </row>
    <row r="323" spans="1:14" s="674" customFormat="1" x14ac:dyDescent="0.2">
      <c r="A323" s="1518" t="s">
        <v>702</v>
      </c>
      <c r="B323" s="697" t="s">
        <v>285</v>
      </c>
      <c r="C323" s="467"/>
      <c r="D323" s="467"/>
      <c r="E323" s="467"/>
      <c r="F323" s="467"/>
      <c r="G323" s="467"/>
      <c r="H323" s="467"/>
      <c r="I323" s="467"/>
      <c r="J323" s="467"/>
      <c r="K323" s="1670">
        <f t="shared" si="24"/>
        <v>0</v>
      </c>
      <c r="L323" s="467"/>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v>26883</v>
      </c>
      <c r="D325" s="467">
        <v>1856</v>
      </c>
      <c r="E325" s="467"/>
      <c r="F325" s="467"/>
      <c r="G325" s="467"/>
      <c r="H325" s="467"/>
      <c r="I325" s="467"/>
      <c r="J325" s="467"/>
      <c r="K325" s="1670">
        <f t="shared" si="24"/>
        <v>28739</v>
      </c>
      <c r="L325" s="467">
        <v>30500</v>
      </c>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v>2566</v>
      </c>
      <c r="F327" s="467"/>
      <c r="G327" s="467"/>
      <c r="H327" s="467"/>
      <c r="I327" s="467"/>
      <c r="J327" s="467"/>
      <c r="K327" s="1670">
        <f t="shared" si="24"/>
        <v>2566</v>
      </c>
      <c r="L327" s="467">
        <v>2800</v>
      </c>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26883</v>
      </c>
      <c r="D330" s="1669">
        <f t="shared" ref="D330:J330" si="25">SUM(D319:D329)</f>
        <v>1856</v>
      </c>
      <c r="E330" s="1669">
        <f t="shared" si="25"/>
        <v>18883</v>
      </c>
      <c r="F330" s="1669">
        <f t="shared" si="25"/>
        <v>0</v>
      </c>
      <c r="G330" s="1669">
        <f t="shared" si="25"/>
        <v>0</v>
      </c>
      <c r="H330" s="1669">
        <f t="shared" si="25"/>
        <v>0</v>
      </c>
      <c r="I330" s="1669">
        <f t="shared" si="25"/>
        <v>0</v>
      </c>
      <c r="J330" s="1669">
        <f t="shared" si="25"/>
        <v>0</v>
      </c>
      <c r="K330" s="1669">
        <f>SUM(K319:K329)</f>
        <v>47622</v>
      </c>
      <c r="L330" s="1669">
        <f>SUM(L319:L329)</f>
        <v>53800</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26883</v>
      </c>
      <c r="D342" s="1669">
        <f>SUM(D330)</f>
        <v>1856</v>
      </c>
      <c r="E342" s="1669">
        <f>SUM(E330)</f>
        <v>18883</v>
      </c>
      <c r="F342" s="1669">
        <f>SUM(F330)</f>
        <v>0</v>
      </c>
      <c r="G342" s="1669">
        <f>SUM(G330)</f>
        <v>0</v>
      </c>
      <c r="H342" s="1669">
        <f>SUM(H330,H334,H340)</f>
        <v>0</v>
      </c>
      <c r="I342" s="1669">
        <f>SUM(I330)</f>
        <v>0</v>
      </c>
      <c r="J342" s="1669">
        <f>SUM(J330)</f>
        <v>0</v>
      </c>
      <c r="K342" s="1669">
        <f>SUM(K330,K334,K340)</f>
        <v>47622</v>
      </c>
      <c r="L342" s="1676">
        <f>SUM(L330,L340,L341)</f>
        <v>53800</v>
      </c>
    </row>
    <row r="343" spans="1:14" ht="12.75" customHeight="1" thickTop="1" x14ac:dyDescent="0.2">
      <c r="A343" s="2171" t="s">
        <v>996</v>
      </c>
      <c r="B343" s="2172"/>
      <c r="C343" s="616"/>
      <c r="D343" s="616"/>
      <c r="E343" s="616"/>
      <c r="F343" s="616"/>
      <c r="G343" s="616"/>
      <c r="H343" s="616"/>
      <c r="I343" s="616"/>
      <c r="J343" s="616"/>
      <c r="K343" s="1683">
        <f>'Revenues 9-14'!J268-'Expenditures 15-22'!K342</f>
        <v>13966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row>
    <row r="349" spans="1:14" x14ac:dyDescent="0.2">
      <c r="A349" s="1503" t="s">
        <v>197</v>
      </c>
      <c r="B349" s="614">
        <v>2540</v>
      </c>
      <c r="C349" s="466"/>
      <c r="D349" s="466"/>
      <c r="E349" s="466">
        <v>982</v>
      </c>
      <c r="F349" s="466"/>
      <c r="G349" s="466"/>
      <c r="H349" s="466"/>
      <c r="I349" s="467"/>
      <c r="J349" s="467"/>
      <c r="K349" s="1670">
        <f>SUM(C349:J349)</f>
        <v>982</v>
      </c>
      <c r="L349" s="466">
        <v>1200</v>
      </c>
    </row>
    <row r="350" spans="1:14" ht="12.75" customHeight="1" thickBot="1" x14ac:dyDescent="0.25">
      <c r="A350" s="1667" t="s">
        <v>719</v>
      </c>
      <c r="B350" s="1668" t="s">
        <v>35</v>
      </c>
      <c r="C350" s="1669">
        <f>SUM(C348:C349)</f>
        <v>0</v>
      </c>
      <c r="D350" s="1669">
        <f t="shared" ref="D350:L350" si="26">SUM(D348:D349)</f>
        <v>0</v>
      </c>
      <c r="E350" s="1669">
        <f t="shared" si="26"/>
        <v>982</v>
      </c>
      <c r="F350" s="1669">
        <f t="shared" si="26"/>
        <v>0</v>
      </c>
      <c r="G350" s="1669">
        <f t="shared" si="26"/>
        <v>0</v>
      </c>
      <c r="H350" s="1669">
        <f t="shared" si="26"/>
        <v>0</v>
      </c>
      <c r="I350" s="1669">
        <f t="shared" si="26"/>
        <v>0</v>
      </c>
      <c r="J350" s="1669">
        <f t="shared" si="26"/>
        <v>0</v>
      </c>
      <c r="K350" s="1669">
        <f t="shared" si="26"/>
        <v>982</v>
      </c>
      <c r="L350" s="1669">
        <f t="shared" si="26"/>
        <v>1200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982</v>
      </c>
      <c r="F352" s="1669">
        <f t="shared" si="27"/>
        <v>0</v>
      </c>
      <c r="G352" s="1669">
        <f t="shared" si="27"/>
        <v>0</v>
      </c>
      <c r="H352" s="1669">
        <f t="shared" si="27"/>
        <v>0</v>
      </c>
      <c r="I352" s="1669">
        <f t="shared" si="27"/>
        <v>0</v>
      </c>
      <c r="J352" s="1669">
        <f t="shared" si="27"/>
        <v>0</v>
      </c>
      <c r="K352" s="1669">
        <f t="shared" si="27"/>
        <v>982</v>
      </c>
      <c r="L352" s="1669">
        <f t="shared" si="27"/>
        <v>1200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c r="I354" s="701"/>
      <c r="J354" s="616"/>
      <c r="K354" s="1698">
        <f>H354</f>
        <v>0</v>
      </c>
      <c r="L354" s="471"/>
    </row>
    <row r="355" spans="1:14" ht="12.75" customHeight="1" x14ac:dyDescent="0.2">
      <c r="A355" s="1512" t="s">
        <v>1854</v>
      </c>
      <c r="B355" s="690" t="s">
        <v>1847</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982</v>
      </c>
      <c r="F367" s="1669">
        <f t="shared" si="28"/>
        <v>0</v>
      </c>
      <c r="G367" s="1669">
        <f t="shared" si="28"/>
        <v>0</v>
      </c>
      <c r="H367" s="1669">
        <f t="shared" si="28"/>
        <v>0</v>
      </c>
      <c r="I367" s="1669">
        <f t="shared" si="28"/>
        <v>0</v>
      </c>
      <c r="J367" s="1669">
        <f t="shared" si="28"/>
        <v>0</v>
      </c>
      <c r="K367" s="1669">
        <f t="shared" si="28"/>
        <v>982</v>
      </c>
      <c r="L367" s="1669">
        <f t="shared" si="28"/>
        <v>1200</v>
      </c>
    </row>
    <row r="368" spans="1:14" ht="13.5" thickTop="1" x14ac:dyDescent="0.2">
      <c r="A368" s="2185" t="s">
        <v>996</v>
      </c>
      <c r="B368" s="2186"/>
      <c r="C368" s="654"/>
      <c r="D368" s="654"/>
      <c r="E368" s="626"/>
      <c r="F368" s="626"/>
      <c r="G368" s="626"/>
      <c r="H368" s="626"/>
      <c r="I368" s="626"/>
      <c r="J368" s="623"/>
      <c r="K368" s="1670">
        <f>'Revenues 9-14'!K268-'Expenditures 15-22'!K367</f>
        <v>5099</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25"/>
  <pageSetup scale="73" firstPageNumber="20" fitToHeight="0" orientation="landscape" useFirstPageNumber="1" r:id="rId1"/>
  <headerFooter differentFirst="1" scaleWithDoc="0">
    <oddHeader>&amp;C&amp;"Arial,Bold"&amp;9STATEMENT OF EXPENDITURES DISBURSED/EXPENDITURES, BUDGET TO ACTUAL
FOR THE YEAR ENDING JUNE 30, 2019</oddHeader>
    <oddFooter>&amp;LSee notes to financial statements.&amp;C&amp;P</oddFooter>
    <firstHeader>&amp;C&amp;"Arial,Bold"STATEMENT OF EXPENDITURES DISBURSED/EXPENDITURES, BUDGET TO ACTUAL
FOR THE YEAR ENDING JUNE 30, 2019</firstHeader>
    <firstFooter>&amp;LSee notes to financial statements.&amp;C20</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openxmlformats.org/package/2006/metadata/core-properties"/>
    <ds:schemaRef ds:uri="http://purl.org/dc/terms/"/>
    <ds:schemaRef ds:uri="http://purl.org/dc/elements/1.1/"/>
    <ds:schemaRef ds:uri="http://schemas.microsoft.com/sharepoint/v3"/>
    <ds:schemaRef ds:uri="http://schemas.microsoft.com/office/infopath/2007/PartnerControls"/>
    <ds:schemaRef ds:uri="http://schemas.microsoft.com/office/2006/documentManagement/types"/>
    <ds:schemaRef ds:uri="4d435f69-8686-490b-bd6d-b153bf22ab50"/>
    <ds:schemaRef ds:uri="d21dc803-237d-4c68-8692-8d731fd29118"/>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2019-09-23T18:20:02Z</cp:lastPrinted>
  <dcterms:created xsi:type="dcterms:W3CDTF">2003-10-29T19:06:34Z</dcterms:created>
  <dcterms:modified xsi:type="dcterms:W3CDTF">2019-11-12T18:42:35Z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