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729D0791-C937-4AF6-BDC2-6BAD174DFBDE}"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6" r:id="rId32"/>
    <sheet name="SF&amp;QC Sec-3" sheetId="176" r:id="rId33"/>
    <sheet name="SSPAF" sheetId="177" r:id="rId34"/>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79" i="5" l="1"/>
  <c r="N21" i="3" l="1"/>
  <c r="C13" i="11" l="1"/>
  <c r="C12" i="11"/>
  <c r="I7" i="3" l="1"/>
  <c r="B4" i="186"/>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E46" i="181"/>
  <c r="F46" i="181" s="1"/>
  <c r="G46" i="181" s="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86" s="1"/>
  <c r="A7" i="169"/>
  <c r="B1" i="186"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F56" i="34" s="1"/>
  <c r="K185" i="29"/>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K80" i="29"/>
  <c r="B2975" i="106" s="1"/>
  <c r="D2975" i="106" s="1"/>
  <c r="K81" i="29"/>
  <c r="K82" i="29"/>
  <c r="B2977" i="106" s="1"/>
  <c r="D2977" i="106" s="1"/>
  <c r="K83" i="29"/>
  <c r="B2978" i="106" s="1"/>
  <c r="D2978" i="106" s="1"/>
  <c r="K93" i="29"/>
  <c r="B6997" i="106" s="1"/>
  <c r="D6997" i="106" s="1"/>
  <c r="K94" i="29"/>
  <c r="K95" i="29"/>
  <c r="B7001" i="106" s="1"/>
  <c r="D7001" i="106" s="1"/>
  <c r="K96" i="29"/>
  <c r="K97" i="29"/>
  <c r="B7005" i="106" s="1"/>
  <c r="D7005" i="106" s="1"/>
  <c r="K98" i="29"/>
  <c r="K99" i="29"/>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F69" i="34"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B7086" i="106" s="1"/>
  <c r="D7086" i="106" s="1"/>
  <c r="K251" i="29"/>
  <c r="B7088" i="106" s="1"/>
  <c r="D7088" i="106" s="1"/>
  <c r="K252" i="29"/>
  <c r="K253" i="29"/>
  <c r="B7092" i="106" s="1"/>
  <c r="D7092" i="106" s="1"/>
  <c r="K254" i="29"/>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2" i="106"/>
  <c r="D7002" i="106" s="1"/>
  <c r="B7003" i="106"/>
  <c r="D7003" i="106" s="1"/>
  <c r="B7004" i="106"/>
  <c r="D7004" i="106" s="1"/>
  <c r="B7006" i="106"/>
  <c r="D7006" i="106" s="1"/>
  <c r="B7007" i="106"/>
  <c r="D7007" i="106" s="1"/>
  <c r="B7008" i="106"/>
  <c r="D7008" i="106" s="1"/>
  <c r="B7009" i="106"/>
  <c r="D7009" i="106" s="1"/>
  <c r="B7010" i="106"/>
  <c r="D7010"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7" i="106"/>
  <c r="D7087" i="106" s="1"/>
  <c r="B7089" i="106"/>
  <c r="D7089" i="106" s="1"/>
  <c r="B7090" i="106"/>
  <c r="D7090" i="106" s="1"/>
  <c r="B7091" i="106"/>
  <c r="D7091" i="106" s="1"/>
  <c r="B7093" i="106"/>
  <c r="D7093" i="106" s="1"/>
  <c r="B7094" i="106"/>
  <c r="D7094"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J367" i="29" s="1"/>
  <c r="B7245" i="106" s="1"/>
  <c r="B7231" i="106"/>
  <c r="D7231" i="106" s="1"/>
  <c r="B7232" i="106"/>
  <c r="D7232" i="106" s="1"/>
  <c r="B7233" i="106"/>
  <c r="D7233" i="106" s="1"/>
  <c r="B7235" i="106"/>
  <c r="D7235"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6" i="108"/>
  <c r="F26" i="108"/>
  <c r="D27" i="108"/>
  <c r="E27" i="108"/>
  <c r="F27" i="108"/>
  <c r="G27" i="108"/>
  <c r="F31" i="108"/>
  <c r="F36" i="108"/>
  <c r="F37" i="108"/>
  <c r="G28" i="108"/>
  <c r="E29" i="108"/>
  <c r="E30" i="108"/>
  <c r="G30" i="108"/>
  <c r="D31" i="108"/>
  <c r="D36" i="108"/>
  <c r="D37" i="108"/>
  <c r="E31" i="108"/>
  <c r="G31" i="108"/>
  <c r="E33" i="108"/>
  <c r="E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C38" i="34"/>
  <c r="D38" i="34"/>
  <c r="F38" i="34"/>
  <c r="C39" i="34"/>
  <c r="D39" i="34"/>
  <c r="C40" i="34"/>
  <c r="D40" i="34"/>
  <c r="C41" i="34"/>
  <c r="D41" i="34"/>
  <c r="C42" i="34"/>
  <c r="D42" i="34"/>
  <c r="F42" i="34"/>
  <c r="C43" i="34"/>
  <c r="D43" i="34"/>
  <c r="C44" i="34"/>
  <c r="D44" i="34"/>
  <c r="F44" i="34"/>
  <c r="C45" i="34"/>
  <c r="D45" i="34"/>
  <c r="C46" i="34"/>
  <c r="D46" i="34"/>
  <c r="C47" i="34"/>
  <c r="D47" i="34"/>
  <c r="C48" i="34"/>
  <c r="D48" i="34"/>
  <c r="C49" i="34"/>
  <c r="D49" i="34"/>
  <c r="C50" i="34"/>
  <c r="D50" i="34"/>
  <c r="F50" i="34"/>
  <c r="C51" i="34"/>
  <c r="D51" i="34"/>
  <c r="C52" i="34"/>
  <c r="F52" i="34"/>
  <c r="C53" i="34"/>
  <c r="D53" i="34"/>
  <c r="C56" i="34"/>
  <c r="C57" i="34"/>
  <c r="D57" i="34"/>
  <c r="C61" i="34"/>
  <c r="C62" i="34"/>
  <c r="F62" i="34"/>
  <c r="C63" i="34"/>
  <c r="D63" i="34"/>
  <c r="C64" i="34"/>
  <c r="F64" i="34"/>
  <c r="C67" i="34"/>
  <c r="D67" i="34"/>
  <c r="C68" i="34"/>
  <c r="D68" i="34"/>
  <c r="F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F14" i="4"/>
  <c r="B2597" i="106" s="1"/>
  <c r="D2597" i="106" s="1"/>
  <c r="B2633" i="106"/>
  <c r="D2633" i="106" s="1"/>
  <c r="D7" i="118"/>
  <c r="D8" i="118"/>
  <c r="D9" i="118"/>
  <c r="H14" i="118"/>
  <c r="H19" i="118"/>
  <c r="H24" i="118"/>
  <c r="H29" i="118"/>
  <c r="B5752" i="106"/>
  <c r="D5752" i="106" s="1"/>
  <c r="D11" i="37" l="1"/>
  <c r="D14" i="4"/>
  <c r="B2570" i="106" s="1"/>
  <c r="D2570" i="106" s="1"/>
  <c r="G14" i="4"/>
  <c r="B2609" i="106" s="1"/>
  <c r="D2609" i="106" s="1"/>
  <c r="B7727" i="106"/>
  <c r="D7727" i="106" s="1"/>
  <c r="F72" i="34"/>
  <c r="F71" i="34"/>
  <c r="F37" i="34"/>
  <c r="G35" i="108"/>
  <c r="G29" i="108"/>
  <c r="G26" i="108"/>
  <c r="E26" i="108"/>
  <c r="B7047" i="106"/>
  <c r="D7047" i="106" s="1"/>
  <c r="H112" i="29"/>
  <c r="B7018" i="106" s="1"/>
  <c r="D7018" i="106" s="1"/>
  <c r="B1274" i="106"/>
  <c r="D1274" i="106" s="1"/>
  <c r="D9" i="7"/>
  <c r="B1767" i="106" s="1"/>
  <c r="D1767" i="106" s="1"/>
  <c r="F28" i="108"/>
  <c r="E28" i="108"/>
  <c r="F34" i="34"/>
  <c r="D68" i="36"/>
  <c r="H342" i="29"/>
  <c r="I129" i="29"/>
  <c r="B7037" i="106" s="1"/>
  <c r="D7037" i="106" s="1"/>
  <c r="L15" i="11"/>
  <c r="B3459" i="106" s="1"/>
  <c r="D3459" i="106" s="1"/>
  <c r="J22" i="37"/>
  <c r="C342" i="29"/>
  <c r="B7216" i="106" s="1"/>
  <c r="D7216" i="106" s="1"/>
  <c r="J129" i="29"/>
  <c r="B7038" i="106" s="1"/>
  <c r="D7038" i="106" s="1"/>
  <c r="B6289" i="106"/>
  <c r="D6289" i="106" s="1"/>
  <c r="D54" i="36"/>
  <c r="H28" i="118"/>
  <c r="K28" i="118" s="1"/>
  <c r="O27" i="118" s="1"/>
  <c r="O29" i="118" s="1"/>
  <c r="D24" i="37"/>
  <c r="B4270" i="106" s="1"/>
  <c r="D4270" i="106" s="1"/>
  <c r="D22" i="37"/>
  <c r="D69" i="36"/>
  <c r="N22" i="3"/>
  <c r="B283" i="106" s="1"/>
  <c r="D283" i="106" s="1"/>
  <c r="K184" i="29"/>
  <c r="F13" i="4" s="1"/>
  <c r="B2596" i="106" s="1"/>
  <c r="D2596" i="106" s="1"/>
  <c r="K76" i="4"/>
  <c r="B3586" i="106" s="1"/>
  <c r="D3586" i="106" s="1"/>
  <c r="H76" i="4"/>
  <c r="B3298" i="106" s="1"/>
  <c r="D3298" i="106" s="1"/>
  <c r="K41" i="3"/>
  <c r="B4268" i="106"/>
  <c r="D4268" i="106" s="1"/>
  <c r="H33" i="118"/>
  <c r="B1308" i="106"/>
  <c r="D1308" i="106" s="1"/>
  <c r="E174" i="29"/>
  <c r="B1309" i="106" s="1"/>
  <c r="D1309" i="106" s="1"/>
  <c r="G38" i="108"/>
  <c r="J77" i="4"/>
  <c r="B6262" i="106" s="1"/>
  <c r="D6262" i="106" s="1"/>
  <c r="J210" i="29"/>
  <c r="B7072" i="106" s="1"/>
  <c r="D7072" i="106" s="1"/>
  <c r="L5" i="11"/>
  <c r="B2056" i="106" s="1"/>
  <c r="D2056" i="106" s="1"/>
  <c r="E38" i="108"/>
  <c r="I210" i="29"/>
  <c r="B7071" i="106" s="1"/>
  <c r="D7071" i="106" s="1"/>
  <c r="B3647" i="106"/>
  <c r="D3647" i="106" s="1"/>
  <c r="F77" i="4"/>
  <c r="B3255" i="106" s="1"/>
  <c r="D3255" i="106" s="1"/>
  <c r="L13" i="11"/>
  <c r="B2060" i="106" s="1"/>
  <c r="D2060" i="106" s="1"/>
  <c r="F49" i="34"/>
  <c r="G34" i="108"/>
  <c r="C129" i="29"/>
  <c r="C151" i="29" s="1"/>
  <c r="B1226" i="106" s="1"/>
  <c r="D1226" i="106" s="1"/>
  <c r="L367" i="29"/>
  <c r="F19" i="7"/>
  <c r="B1807" i="106" s="1"/>
  <c r="D1807" i="106" s="1"/>
  <c r="F46" i="34"/>
  <c r="D7245" i="106"/>
  <c r="J41" i="3"/>
  <c r="B6216" i="106" s="1"/>
  <c r="D6216" i="106" s="1"/>
  <c r="D6103" i="106"/>
  <c r="H365" i="29"/>
  <c r="B7242" i="106" s="1"/>
  <c r="D7242" i="106" s="1"/>
  <c r="C352" i="29"/>
  <c r="C367" i="29" s="1"/>
  <c r="G210" i="29"/>
  <c r="G15" i="145"/>
  <c r="L22" i="37"/>
  <c r="D17" i="7"/>
  <c r="B4104" i="106" s="1"/>
  <c r="D4104" i="106" s="1"/>
  <c r="L342" i="29"/>
  <c r="B4087" i="106"/>
  <c r="D4087" i="106" s="1"/>
  <c r="I24" i="12"/>
  <c r="B3649" i="106"/>
  <c r="D3649" i="106" s="1"/>
  <c r="G367" i="29"/>
  <c r="D5" i="4"/>
  <c r="B3406" i="106" s="1"/>
  <c r="D3406" i="106" s="1"/>
  <c r="L312" i="29"/>
  <c r="I342" i="29"/>
  <c r="B7222" i="106" s="1"/>
  <c r="D7222" i="106" s="1"/>
  <c r="K350" i="29"/>
  <c r="F21" i="8"/>
  <c r="K24" i="12"/>
  <c r="B3621" i="106"/>
  <c r="D3621" i="106" s="1"/>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B3640" i="106"/>
  <c r="D3640" i="106" s="1"/>
  <c r="F352" i="29"/>
  <c r="F367" i="29" s="1"/>
  <c r="B3622" i="106"/>
  <c r="D3622"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F66" i="34" l="1"/>
  <c r="B5527" i="106"/>
  <c r="D5527" i="106" s="1"/>
  <c r="K342" i="29"/>
  <c r="F13" i="34" s="1"/>
  <c r="N23" i="3"/>
  <c r="B284" i="106" s="1"/>
  <c r="D284" i="106" s="1"/>
  <c r="I7" i="4"/>
  <c r="B4444" i="106" s="1"/>
  <c r="D4444" i="106" s="1"/>
  <c r="C114" i="29"/>
  <c r="B757" i="106" s="1"/>
  <c r="D757" i="106" s="1"/>
  <c r="D7254" i="106"/>
  <c r="H77" i="4"/>
  <c r="B3299" i="106" s="1"/>
  <c r="D3299" i="106" s="1"/>
  <c r="K77" i="4"/>
  <c r="B3587" i="106" s="1"/>
  <c r="D3587" i="106" s="1"/>
  <c r="D7255" i="106"/>
  <c r="D7256" i="106"/>
  <c r="D7250" i="106"/>
  <c r="L16" i="11"/>
  <c r="B2061" i="106" s="1"/>
  <c r="D2061" i="106" s="1"/>
  <c r="K365" i="29"/>
  <c r="D7251" i="106"/>
  <c r="D7253" i="106"/>
  <c r="B2031" i="106"/>
  <c r="D2031" i="106" s="1"/>
  <c r="F174" i="34"/>
  <c r="D51" i="36"/>
  <c r="D44" i="36"/>
  <c r="B3568" i="106"/>
  <c r="D3568" i="106" s="1"/>
  <c r="D52" i="36"/>
  <c r="B5778" i="106"/>
  <c r="D5778" i="106" s="1"/>
  <c r="G6" i="4"/>
  <c r="B2604" i="106" s="1"/>
  <c r="D2604" i="106" s="1"/>
  <c r="B1996" i="106"/>
  <c r="D1996" i="106" s="1"/>
  <c r="I26" i="12"/>
  <c r="B7741" i="106" s="1"/>
  <c r="D7741" i="106" s="1"/>
  <c r="L114" i="29"/>
  <c r="B5770" i="106"/>
  <c r="D5770" i="106" s="1"/>
  <c r="B1365" i="106"/>
  <c r="D1365" i="106" s="1"/>
  <c r="F65" i="34"/>
  <c r="D7252" i="10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F24" i="37"/>
  <c r="K367" i="29"/>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D8" i="146" l="1"/>
  <c r="J10" i="4"/>
  <c r="B6225" i="106" s="1"/>
  <c r="D6225" i="106" s="1"/>
  <c r="J20" i="4"/>
  <c r="K17" i="4"/>
  <c r="K19" i="4" s="1"/>
  <c r="B4144" i="106" s="1"/>
  <c r="D4144"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K20" i="4" l="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175" i="34" l="1"/>
  <c r="F79" i="3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J16" i="37" s="1"/>
  <c r="B4269" i="106" s="1"/>
  <c r="D4269" i="106" s="1"/>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H12" i="118" l="1"/>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<sst xmlns="http://schemas.openxmlformats.org/spreadsheetml/2006/main" count="5273" uniqueCount="2181">
  <si>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</si>
  <si>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</si>
  <si>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</si>
  <si>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</si>
  <si>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</si>
  <si>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</si>
  <si>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</si>
  <si>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</si>
  <si>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</si>
  <si>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</si>
  <si>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</si>
  <si>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</si>
  <si>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</si>
  <si>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</si>
  <si>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</si>
  <si>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</si>
  <si>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</si>
  <si>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</si>
  <si>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</si>
  <si>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</si>
  <si>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</si>
  <si>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</si>
  <si>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</si>
  <si>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</si>
  <si>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</si>
  <si>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</si>
  <si>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</si>
  <si>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</si>
  <si>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</si>
  <si>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</si>
  <si>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</si>
  <si>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</si>
  <si>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</si>
  <si>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</si>
  <si>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</si>
  <si>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</si>
  <si>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</si>
  <si>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</si>
  <si>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</si>
  <si>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</si>
  <si>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</si>
  <si>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</si>
  <si>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</si>
  <si>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</si>
  <si>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</si>
  <si>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</si>
  <si>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</si>
  <si>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</si>
  <si>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</si>
  <si>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</si>
  <si>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</si>
  <si>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</si>
  <si>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</si>
  <si>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</si>
  <si>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</si>
  <si>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</si>
  <si>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</si>
  <si>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</si>
  <si>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</si>
  <si>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</si>
  <si>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</si>
  <si>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</si>
  <si>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</si>
  <si>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</si>
  <si>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</si>
  <si>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</si>
  <si>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</si>
  <si>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</si>
  <si>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</si>
  <si>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</si>
  <si>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</si>
  <si>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</si>
  <si>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</si>
  <si>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</si>
  <si>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</si>
  <si>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</si>
  <si>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</si>
  <si>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</si>
  <si>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</si>
  <si>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</si>
  <si>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</si>
  <si>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</si>
  <si>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</si>
  <si>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</si>
  <si>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</si>
  <si>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</si>
  <si>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</si>
  <si>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</si>
  <si>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</si>
  <si>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</si>
  <si>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</si>
  <si>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</si>
  <si>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</si>
  <si>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</si>
  <si>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</si>
  <si>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</si>
  <si>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</si>
  <si>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</si>
  <si>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</si>
  <si>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</si>
  <si>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</si>
  <si>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</si>
  <si>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</si>
  <si>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</si>
  <si>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</si>
  <si>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</si>
  <si>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</si>
  <si>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</si>
  <si>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</si>
  <si>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</si>
  <si>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</si>
  <si>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</si>
  <si>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</si>
  <si>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</si>
  <si>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</si>
  <si>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</si>
  <si>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</si>
  <si>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</si>
  <si>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</si>
  <si>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</si>
  <si>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</si>
  <si>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</si>
  <si>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</si>
  <si>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</si>
  <si>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</si>
  <si>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</si>
  <si>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</si>
  <si>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</si>
  <si>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</si>
  <si>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</si>
  <si>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</si>
  <si>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</si>
  <si>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</si>
  <si>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</si>
  <si>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</si>
  <si>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</si>
  <si>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</si>
  <si>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</si>
  <si>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</si>
  <si>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</si>
  <si>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</si>
  <si>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</si>
  <si>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</si>
  <si>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</si>
  <si>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</si>
  <si>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</si>
  <si>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</si>
  <si>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</si>
  <si>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</si>
  <si>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</si>
  <si>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</si>
  <si>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</si>
  <si>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</si>
  <si>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</si>
  <si>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</si>
  <si>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</si>
  <si>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</si>
  <si>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</si>
  <si>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</si>
  <si>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</si>
  <si>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</si>
  <si>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</si>
  <si>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</si>
  <si>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</si>
  <si>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</si>
  <si>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</si>
  <si>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</si>
  <si>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</si>
  <si>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</si>
  <si>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</si>
  <si>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</si>
  <si>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</si>
  <si>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</si>
  <si>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</si>
  <si>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</si>
  <si>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</si>
  <si>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</si>
  <si>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</si>
  <si>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</si>
  <si>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</si>
  <si>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</si>
  <si>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</si>
  <si>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</si>
  <si>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</si>
  <si>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</si>
  <si>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</si>
  <si>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</si>
  <si>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</si>
  <si>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</si>
  <si>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</si>
  <si>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</si>
  <si>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</si>
  <si>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</si>
  <si>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</si>
  <si>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</si>
  <si>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</si>
  <si>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</si>
  <si>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</si>
  <si>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</si>
  <si>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</si>
  <si>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</si>
  <si>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</si>
  <si>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</si>
  <si>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</si>
  <si>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</si>
  <si>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</si>
  <si>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</si>
  <si>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</si>
  <si>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</si>
  <si>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</si>
  <si>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</si>
  <si>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</si>
  <si>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</si>
  <si>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</si>
  <si>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</si>
  <si>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</si>
  <si>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</si>
  <si>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</si>
  <si>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</si>
  <si>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</si>
  <si>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</si>
  <si>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</si>
  <si>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</si>
  <si>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</si>
  <si>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</si>
  <si>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</si>
  <si>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</si>
  <si>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</si>
  <si>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</si>
  <si>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</si>
  <si>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</si>
  <si>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</si>
  <si>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</si>
  <si>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</si>
  <si>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</si>
  <si>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</si>
  <si>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</si>
  <si>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</si>
  <si>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</si>
  <si>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</si>
  <si>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</si>
  <si>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</si>
  <si>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</si>
  <si>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</si>
  <si>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</si>
  <si>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</si>
  <si>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</si>
  <si>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</si>
  <si>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</si>
  <si>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</si>
  <si>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</si>
  <si>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</si>
  <si>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</si>
  <si>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</si>
  <si>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</si>
  <si>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</si>
  <si>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</si>
  <si>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</si>
  <si>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</si>
  <si>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</si>
  <si>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</si>
  <si>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</si>
  <si>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</si>
  <si>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</si>
  <si>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</si>
  <si>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</si>
  <si>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</si>
  <si>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</si>
  <si>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</si>
  <si>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</si>
  <si>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</si>
  <si>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</si>
  <si>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</si>
  <si>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</si>
  <si>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</si>
  <si>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</si>
  <si>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</si>
  <si>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</si>
  <si>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</si>
  <si>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</si>
  <si>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</si>
  <si>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</si>
  <si>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</si>
  <si>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</si>
  <si>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</si>
  <si>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</si>
  <si>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</si>
  <si>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</si>
  <si>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</si>
  <si>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</si>
  <si>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</si>
  <si>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</si>
  <si>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</si>
  <si>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</si>
  <si>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</si>
  <si>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</si>
  <si>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</si>
  <si>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</si>
  <si>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</si>
  <si>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</si>
  <si>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</si>
  <si>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</si>
  <si>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</si>
  <si>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</si>
  <si>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</si>
  <si>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</si>
  <si>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</si>
  <si>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</si>
  <si>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</si>
  <si>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</si>
  <si>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</si>
  <si>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</si>
  <si>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</si>
  <si>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</si>
  <si>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</si>
  <si>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</si>
  <si>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</si>
  <si>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</si>
  <si>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</si>
  <si>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</si>
  <si>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</si>
  <si>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</si>
  <si>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</si>
  <si>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</si>
  <si>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</si>
  <si>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</si>
  <si>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</si>
  <si>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</si>
  <si>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</si>
  <si>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</si>
  <si>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</si>
  <si>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</si>
  <si>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</si>
  <si>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</si>
  <si>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</si>
  <si>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</si>
  <si>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</si>
  <si>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</si>
  <si>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</si>
  <si>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</si>
  <si>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</si>
  <si>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</si>
  <si>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</si>
  <si>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</si>
  <si>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</si>
  <si>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</si>
  <si>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</si>
  <si>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</si>
  <si>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</si>
  <si>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</si>
  <si>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</si>
  <si>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</si>
  <si>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</si>
  <si>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</si>
  <si>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</si>
  <si>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</si>
  <si>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</si>
  <si>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</si>
  <si>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</si>
  <si>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</si>
  <si>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</si>
  <si>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</si>
  <si>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</si>
  <si>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</si>
  <si>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</si>
  <si>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</si>
  <si>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</si>
  <si>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</si>
  <si>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</si>
  <si>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</si>
  <si>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</si>
  <si>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</si>
  <si>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</si>
  <si>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</si>
  <si>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</si>
  <si>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</si>
  <si>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</si>
  <si>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</si>
  <si>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</si>
  <si>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</si>
  <si>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</si>
  <si>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</si>
  <si>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</si>
  <si>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</si>
  <si>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</si>
  <si>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</si>
  <si>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</si>
  <si>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</si>
  <si>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</si>
  <si>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</si>
  <si>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</si>
  <si>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</si>
  <si>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</si>
  <si>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</si>
  <si>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</si>
  <si>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</si>
  <si>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</si>
  <si>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</si>
  <si>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</si>
  <si>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</si>
  <si>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</si>
  <si>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</si>
  <si>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</si>
  <si>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</si>
  <si>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</si>
  <si>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</si>
  <si>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</si>
  <si>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</si>
  <si>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</si>
  <si>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</si>
  <si>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</si>
  <si>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</si>
  <si>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</si>
  <si>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</si>
  <si>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</si>
  <si>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</si>
  <si>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</si>
  <si>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</si>
  <si>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</si>
  <si>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</si>
  <si>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</si>
  <si>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</si>
  <si>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</si>
  <si>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</si>
  <si>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</si>
  <si>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</si>
  <si>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</si>
  <si>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</si>
  <si>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</si>
  <si>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</si>
  <si>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</si>
  <si>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</si>
  <si>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</si>
  <si>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</si>
  <si>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</si>
  <si>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</si>
  <si>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</si>
  <si>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</si>
  <si>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</si>
  <si>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</si>
  <si>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</si>
  <si>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</si>
  <si>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</si>
  <si>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</si>
  <si>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</si>
  <si>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</si>
  <si>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</si>
  <si>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</si>
  <si>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</si>
  <si>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</si>
  <si>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</si>
  <si>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</si>
  <si>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</si>
  <si>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</si>
  <si>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</si>
  <si>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</si>
  <si>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</si>
  <si>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</si>
  <si>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</si>
  <si>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</si>
  <si>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</si>
  <si>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</si>
  <si>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</si>
  <si>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</si>
  <si>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</si>
  <si>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</si>
  <si>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</si>
  <si>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</si>
  <si>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</si>
  <si>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</si>
  <si>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</si>
  <si>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</si>
  <si>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</si>
  <si>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</si>
  <si>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</si>
  <si>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</si>
  <si>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</si>
  <si>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</si>
  <si>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</si>
  <si>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</si>
  <si>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</si>
  <si>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</si>
  <si>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</si>
  <si>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</si>
  <si>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</si>
  <si>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</si>
  <si>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</si>
  <si>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</si>
  <si>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</si>
  <si>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</si>
  <si>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</si>
  <si>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</si>
  <si>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</si>
  <si>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</si>
  <si>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</si>
  <si>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</si>
  <si>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</si>
  <si>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</si>
  <si>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</si>
  <si>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</si>
  <si>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</si>
  <si>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</si>
  <si>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</si>
  <si>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</si>
  <si>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</si>
  <si>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</si>
  <si>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</si>
  <si>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</si>
  <si>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</si>
  <si>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</si>
  <si>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</si>
  <si>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</si>
  <si>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</si>
  <si>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</si>
  <si>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</si>
  <si>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</si>
  <si>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</si>
  <si>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</si>
  <si>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</si>
  <si>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</si>
  <si>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</si>
  <si>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</si>
  <si>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</si>
  <si>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</si>
  <si>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</si>
  <si>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</si>
  <si>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</si>
  <si>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</si>
  <si>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</si>
  <si>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</si>
  <si>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</si>
  <si>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</si>
  <si>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</si>
  <si>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</si>
  <si>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</si>
  <si>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</si>
  <si>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</si>
  <si>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</si>
  <si>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</si>
  <si>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</si>
  <si>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</si>
  <si>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</si>
  <si>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</si>
  <si>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</si>
  <si>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</si>
  <si>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</si>
  <si>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</si>
  <si>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</si>
  <si>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</si>
  <si>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</si>
  <si>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</si>
  <si>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</si>
  <si>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</si>
  <si>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</si>
  <si>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</si>
  <si>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</si>
  <si>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</si>
  <si>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</si>
  <si>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</si>
  <si>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</si>
  <si>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</si>
  <si>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</si>
  <si>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</si>
  <si>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</si>
  <si>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</si>
  <si>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</si>
  <si>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</si>
  <si>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</si>
  <si>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</si>
  <si>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</si>
  <si>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</si>
  <si>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</si>
  <si>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</si>
  <si>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</si>
  <si>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</si>
  <si>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</si>
  <si>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</si>
  <si>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</si>
  <si>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</si>
  <si>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</si>
  <si>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</si>
  <si>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</si>
  <si>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</si>
  <si>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</si>
  <si>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</si>
  <si>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</si>
  <si>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</si>
  <si>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</si>
  <si>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</si>
  <si>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</si>
  <si>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</si>
  <si>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</si>
  <si>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</si>
  <si>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</si>
  <si>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</si>
  <si>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</si>
  <si>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</si>
  <si>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</si>
  <si>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</si>
  <si>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</si>
  <si>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</si>
  <si>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</si>
  <si>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</si>
  <si>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</si>
  <si>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</si>
  <si>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</si>
  <si>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</si>
  <si>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</si>
  <si>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</si>
  <si>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</si>
  <si>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</si>
  <si>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</si>
  <si>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</si>
  <si>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</si>
  <si>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</si>
  <si>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</si>
  <si>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</si>
  <si>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</si>
  <si>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</si>
  <si>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</si>
  <si>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</si>
  <si>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</si>
  <si>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</si>
  <si>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</si>
  <si>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</si>
  <si>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</si>
  <si>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</si>
  <si>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</si>
  <si>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</si>
  <si>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</si>
  <si>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</si>
  <si>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</si>
  <si>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</si>
  <si>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</si>
  <si>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</si>
  <si>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</si>
  <si>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</si>
  <si>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</si>
  <si>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</si>
  <si>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</si>
  <si>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</si>
  <si>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</si>
  <si>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</si>
  <si>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</si>
  <si>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</si>
  <si>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</si>
  <si>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</si>
  <si>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</si>
  <si>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</si>
  <si>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</si>
  <si>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</si>
  <si>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</si>
  <si>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</si>
  <si>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</si>
  <si>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</si>
  <si>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</si>
  <si>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</si>
  <si>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</si>
  <si>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</si>
  <si>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</si>
  <si>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</si>
  <si>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</si>
  <si>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</si>
  <si>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</si>
  <si>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</si>
  <si>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</si>
  <si>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</si>
  <si>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</si>
  <si>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</si>
  <si>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</si>
  <si>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</si>
  <si>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</si>
  <si>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</si>
  <si>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</si>
  <si>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</si>
  <si>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</si>
  <si>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</si>
  <si>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</si>
  <si>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</si>
  <si>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</si>
  <si>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</si>
  <si>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</si>
  <si>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</si>
  <si>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</si>
  <si>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</si>
  <si>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</si>
  <si>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</si>
  <si>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</si>
  <si>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</si>
  <si>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</si>
  <si>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</si>
  <si>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</si>
  <si>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</si>
  <si>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</si>
  <si>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</si>
  <si>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</si>
  <si>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</si>
  <si>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</si>
  <si>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</si>
  <si>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</si>
  <si>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</si>
  <si>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</si>
  <si>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</si>
  <si>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</si>
  <si>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</si>
  <si>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</si>
  <si>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</si>
  <si>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</si>
  <si>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</si>
  <si>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</si>
  <si>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</si>
  <si>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</si>
  <si>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</si>
  <si>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</si>
  <si>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</si>
  <si>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</si>
  <si>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</si>
  <si>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</si>
  <si>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</si>
  <si>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</si>
  <si>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</si>
  <si>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</si>
  <si>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</si>
  <si>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</si>
  <si>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</si>
  <si>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</si>
  <si>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</si>
  <si>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</si>
  <si>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</si>
  <si>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</si>
  <si>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</si>
  <si>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</si>
  <si>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</si>
  <si>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</si>
  <si>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</si>
  <si>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</si>
  <si>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</si>
  <si>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</si>
  <si>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</si>
  <si>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</si>
  <si>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</si>
  <si>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</si>
  <si>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</si>
  <si>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</si>
  <si>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</si>
  <si>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</si>
  <si>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</si>
  <si>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</si>
  <si>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</si>
  <si>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</si>
  <si>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</si>
  <si>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</si>
  <si>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</si>
  <si>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</si>
  <si>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</si>
  <si>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</si>
  <si>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</si>
  <si>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</si>
  <si>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</si>
  <si>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</si>
  <si>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</si>
  <si>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</si>
  <si>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</si>
  <si>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</si>
  <si>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</si>
  <si>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</si>
  <si>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</si>
  <si>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</si>
  <si>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</si>
  <si>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</si>
  <si>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</si>
  <si>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</si>
  <si>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</si>
  <si>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</si>
  <si>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</si>
  <si>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</si>
  <si>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</si>
  <si>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</si>
  <si>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</si>
  <si>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</si>
  <si>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</si>
  <si>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</si>
  <si>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</si>
  <si>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</si>
  <si>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</si>
  <si>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</si>
  <si>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</si>
  <si>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</si>
  <si>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</si>
  <si>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</si>
  <si>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</si>
  <si>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</si>
  <si>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</si>
  <si>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</si>
  <si>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</si>
  <si>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</si>
  <si>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</si>
  <si>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</si>
  <si>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</si>
  <si>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</si>
  <si>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</si>
  <si>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</si>
  <si>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</si>
  <si>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</si>
  <si>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</si>
  <si>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</si>
  <si>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</si>
  <si>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</si>
  <si>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</si>
  <si>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</si>
  <si>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</si>
  <si>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</si>
  <si>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</si>
  <si>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</si>
  <si>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</si>
  <si>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</si>
  <si>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</si>
  <si>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</si>
  <si>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</si>
  <si>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</si>
  <si>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</si>
  <si>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</si>
  <si>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</si>
  <si>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</si>
  <si>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</si>
  <si>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</si>
  <si>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</si>
  <si>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</si>
  <si>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</si>
  <si>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</si>
  <si>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</si>
  <si>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</si>
  <si>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</si>
  <si>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</si>
  <si>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</si>
  <si>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</si>
  <si>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</si>
  <si>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</si>
  <si>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</si>
  <si>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</si>
  <si>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</si>
  <si>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</si>
  <si>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</si>
  <si>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</si>
  <si>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</si>
  <si>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</si>
  <si>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</si>
  <si>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</si>
  <si>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</si>
  <si>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</si>
  <si>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</si>
  <si>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</si>
  <si>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</si>
  <si>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</si>
  <si>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</si>
  <si>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</si>
  <si>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</si>
  <si>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</si>
  <si>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</si>
  <si>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</si>
  <si>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</si>
  <si>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</si>
  <si>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</si>
  <si>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</si>
  <si>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</si>
  <si>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</si>
  <si>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</si>
  <si>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</si>
  <si>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</si>
  <si>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</si>
  <si>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</si>
  <si>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</si>
  <si>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</si>
  <si>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</si>
  <si>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</si>
  <si>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</si>
  <si>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</si>
  <si>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</si>
  <si>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</si>
  <si>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</si>
  <si>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</si>
  <si>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</si>
  <si>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</si>
  <si>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</si>
  <si>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</si>
  <si>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</si>
  <si>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</si>
  <si>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</si>
  <si>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</si>
  <si>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</si>
  <si>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</si>
  <si>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</si>
  <si>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</si>
  <si>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</si>
  <si>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</si>
  <si>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</si>
  <si>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</si>
  <si>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</si>
  <si>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</si>
  <si>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</si>
  <si>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</si>
  <si>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</si>
  <si>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</si>
  <si>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</si>
  <si>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</si>
  <si>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</si>
  <si>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</si>
  <si>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</si>
  <si>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</si>
  <si>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</si>
  <si>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</si>
  <si>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</si>
  <si>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</si>
  <si>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</si>
  <si>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</si>
  <si>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</si>
  <si>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</si>
  <si>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</si>
  <si>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</si>
  <si>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</si>
  <si>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</si>
  <si>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</si>
  <si>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</si>
  <si>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</si>
  <si>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</si>
  <si>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</si>
  <si>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</si>
  <si>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</si>
  <si>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</si>
  <si>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</si>
  <si>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</si>
  <si>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</si>
  <si>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</si>
  <si>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</si>
  <si>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</si>
  <si>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</si>
  <si>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</si>
  <si>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</si>
  <si>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</si>
  <si>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</si>
  <si>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</si>
  <si>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</si>
  <si>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</si>
  <si>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</si>
  <si>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</si>
  <si>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</si>
  <si>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</si>
  <si>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</si>
  <si>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</si>
  <si>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</si>
  <si>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</si>
  <si>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</si>
  <si>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</si>
  <si>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</si>
  <si>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</si>
  <si>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</si>
  <si>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</si>
  <si>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</si>
  <si>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</si>
  <si>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</si>
  <si>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</si>
  <si>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</si>
  <si>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</si>
  <si>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</si>
  <si>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</si>
  <si>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</si>
  <si>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</si>
  <si>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</si>
  <si>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</si>
  <si>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</si>
  <si>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</si>
  <si>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</si>
  <si>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</si>
  <si>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</si>
  <si>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</si>
  <si>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</si>
  <si>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</si>
  <si>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</si>
  <si>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</si>
  <si>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</si>
  <si>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</si>
  <si>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</si>
  <si>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</si>
  <si>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</si>
  <si>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</si>
  <si>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</si>
  <si>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</si>
  <si>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</si>
  <si>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</si>
  <si>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</si>
  <si>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</si>
  <si>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</si>
  <si>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</si>
  <si>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</si>
  <si>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</si>
  <si>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</si>
  <si>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</si>
  <si>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</si>
  <si>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</si>
  <si>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</si>
  <si>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</si>
  <si>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</si>
  <si>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</si>
  <si>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</si>
  <si>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</si>
  <si>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</si>
  <si>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</si>
  <si>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</si>
  <si>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</si>
  <si>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</si>
  <si>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</si>
  <si>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</si>
  <si>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</si>
  <si>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</si>
  <si>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</si>
  <si>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</si>
  <si>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</si>
  <si>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</si>
  <si>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</si>
  <si>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</si>
  <si>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</si>
  <si>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</si>
  <si>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</si>
  <si>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</si>
  <si>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</si>
  <si>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</si>
  <si>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</si>
  <si>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</si>
  <si>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</si>
  <si>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</si>
  <si>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</si>
  <si>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</si>
  <si>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</si>
  <si>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</si>
  <si>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</si>
  <si>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</si>
  <si>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</si>
  <si>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</si>
  <si>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</si>
  <si>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</si>
  <si>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</si>
  <si>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</si>
  <si>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</si>
  <si>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</si>
  <si>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</si>
  <si>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</si>
  <si>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</si>
  <si>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</si>
  <si>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</si>
  <si>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</si>
  <si>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</si>
  <si>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</si>
  <si>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</si>
  <si>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</si>
  <si>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</si>
  <si>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</si>
  <si>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</si>
  <si>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</si>
  <si>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</si>
  <si>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</si>
  <si>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</si>
  <si>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</si>
  <si>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</si>
  <si>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</si>
  <si>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</si>
  <si>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</si>
  <si>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</si>
  <si>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</si>
  <si>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</si>
  <si>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</si>
  <si>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</si>
  <si>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</si>
  <si>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</si>
  <si>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</si>
  <si>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</si>
  <si>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</si>
  <si>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</si>
  <si>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</si>
  <si>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</si>
  <si>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</si>
  <si>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</si>
  <si>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</si>
  <si>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</si>
  <si>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</si>
  <si>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</si>
  <si>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</si>
  <si>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</si>
  <si>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</si>
  <si>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</si>
  <si>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</si>
  <si>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</si>
  <si>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</si>
  <si>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</si>
  <si>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</si>
  <si>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</si>
  <si>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</si>
  <si>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</si>
  <si>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</si>
  <si>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</si>
  <si>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</si>
  <si>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</si>
  <si>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</si>
  <si>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</si>
  <si>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</si>
  <si>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</si>
  <si>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</si>
  <si>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</si>
  <si>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</si>
  <si>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</si>
  <si>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</si>
  <si>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</si>
  <si>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</si>
  <si>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</si>
  <si>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</si>
  <si>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</si>
  <si>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</si>
  <si>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</si>
  <si>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</si>
  <si>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</si>
  <si>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</si>
  <si>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</si>
  <si>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</si>
  <si>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</si>
  <si>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</si>
  <si>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</si>
  <si>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</si>
  <si>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</si>
  <si>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</si>
  <si>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</si>
  <si>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</si>
  <si>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</si>
  <si>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</si>
  <si>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</si>
  <si>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</si>
  <si>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</si>
  <si>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</si>
  <si>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</si>
  <si>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</si>
  <si>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</si>
  <si>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</si>
  <si>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</si>
  <si>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</si>
  <si>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</si>
  <si>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</si>
  <si>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</si>
  <si>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</si>
  <si>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</si>
  <si>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</si>
  <si>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</si>
  <si>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</si>
  <si>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</si>
  <si>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</si>
  <si>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</si>
  <si>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</si>
  <si>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</si>
  <si>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</si>
  <si>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</si>
  <si>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</si>
  <si>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</si>
  <si>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</si>
  <si>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</si>
  <si>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</si>
  <si>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</si>
  <si>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</si>
  <si>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</si>
  <si>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</si>
  <si>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</si>
  <si>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</si>
  <si>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</si>
  <si>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</si>
  <si>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</si>
  <si>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</si>
  <si>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</si>
  <si>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</si>
  <si>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</si>
  <si>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</si>
  <si>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</si>
  <si>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</si>
  <si>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</si>
  <si>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</si>
  <si>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</si>
  <si>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</si>
  <si>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</si>
  <si>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</si>
  <si>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</si>
  <si>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</si>
  <si>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</si>
  <si>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</si>
  <si>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</si>
  <si>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</si>
  <si>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</si>
  <si>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</si>
  <si>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</si>
  <si>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</si>
  <si>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</si>
  <si>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</si>
  <si>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</si>
  <si>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</si>
  <si>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</si>
  <si>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</si>
  <si>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</si>
  <si>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</si>
  <si>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</si>
  <si>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</si>
  <si>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</si>
  <si>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</si>
  <si>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</si>
  <si>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</si>
  <si>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</si>
  <si>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</si>
  <si>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</si>
  <si>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</si>
  <si>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</si>
  <si>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</si>
  <si>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</si>
  <si>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</si>
  <si>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</si>
  <si>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</si>
  <si>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</si>
  <si>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</si>
  <si>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</si>
  <si>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</si>
  <si>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</si>
  <si>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</si>
  <si>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</si>
  <si>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</si>
  <si>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</si>
  <si>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</si>
  <si>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</si>
  <si>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</si>
  <si>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</si>
  <si>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</si>
  <si>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</si>
  <si>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</si>
  <si>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</si>
  <si>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</si>
  <si>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</si>
  <si>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</si>
  <si>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</si>
  <si>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</si>
  <si>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</si>
  <si>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</si>
  <si>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</si>
  <si>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</si>
  <si>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</si>
  <si>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</si>
  <si>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</si>
  <si>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</si>
  <si>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</si>
  <si>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</si>
  <si>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</si>
  <si>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</si>
  <si>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</si>
  <si>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</si>
  <si>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</si>
  <si>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</si>
  <si>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</si>
  <si>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</si>
  <si>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</si>
  <si>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</si>
  <si>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</si>
  <si>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</si>
  <si>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</si>
  <si>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</si>
  <si>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</si>
  <si>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</si>
  <si>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</si>
  <si>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</si>
  <si>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</si>
  <si>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</si>
  <si>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</si>
  <si>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</si>
  <si>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</si>
  <si>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</si>
  <si>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</si>
  <si>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</si>
  <si>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</si>
  <si>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</si>
  <si>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</si>
  <si>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</si>
  <si>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</si>
  <si>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</si>
  <si>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</si>
  <si>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</si>
  <si>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</si>
  <si>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</si>
  <si>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</si>
  <si>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</si>
  <si>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</si>
  <si>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</si>
  <si>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</si>
  <si>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</si>
  <si>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</si>
  <si>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</si>
  <si>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</si>
  <si>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</si>
  <si>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</si>
  <si>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</si>
  <si>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</si>
  <si>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</si>
  <si>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</si>
  <si>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</si>
  <si>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</si>
  <si>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</si>
  <si>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</si>
  <si>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</si>
  <si>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</si>
  <si>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</si>
  <si>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</si>
  <si>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</si>
  <si>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</si>
  <si>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</si>
  <si>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</si>
  <si>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</si>
  <si>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</si>
  <si>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</si>
  <si>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</si>
  <si>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</si>
  <si>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</si>
  <si>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</si>
  <si>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</si>
  <si>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</si>
  <si>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</si>
  <si>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</si>
  <si>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</si>
  <si>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</si>
  <si>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</si>
  <si>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</si>
  <si>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</si>
  <si>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</si>
  <si>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</si>
  <si>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</si>
  <si>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</si>
  <si>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</si>
  <si>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</si>
  <si>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</si>
  <si>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</si>
  <si>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</si>
  <si>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</si>
  <si>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</si>
  <si>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</si>
  <si>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</si>
  <si>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</si>
  <si>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</si>
  <si>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</si>
  <si>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</si>
  <si>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</si>
  <si>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</si>
  <si>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</si>
  <si>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</si>
  <si>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</si>
  <si>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</si>
  <si>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</si>
  <si>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</si>
  <si>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</si>
  <si>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</si>
  <si>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</si>
  <si>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</si>
  <si>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</si>
  <si>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</si>
  <si>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</si>
  <si>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</si>
  <si>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</si>
  <si>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</si>
  <si>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</si>
  <si>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</si>
  <si>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</si>
  <si>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</si>
  <si>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</si>
  <si>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</si>
  <si>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</si>
  <si>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</si>
  <si>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</si>
  <si>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</si>
  <si>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</si>
  <si>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</si>
  <si>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</si>
  <si>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</si>
  <si>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</si>
  <si>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</si>
  <si>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</si>
  <si>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</si>
  <si>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</si>
  <si>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</si>
  <si>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</si>
  <si>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</si>
  <si>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</si>
  <si>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</si>
  <si>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</si>
  <si>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</si>
  <si>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</si>
  <si>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</si>
  <si>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</si>
  <si>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</si>
  <si>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</si>
  <si>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</si>
  <si>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</si>
  <si>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</si>
  <si>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</si>
  <si>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</si>
  <si>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</si>
  <si>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</si>
  <si>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</si>
  <si>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</si>
  <si>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</si>
  <si>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</si>
  <si>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</si>
  <si>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</si>
  <si>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</si>
  <si>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</si>
  <si>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</si>
  <si>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</si>
  <si>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</si>
  <si>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</si>
  <si>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</si>
  <si>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</si>
  <si>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</si>
  <si>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</si>
  <si>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</si>
  <si>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</si>
  <si>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</si>
  <si>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</si>
  <si>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</si>
  <si>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</si>
  <si>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</si>
  <si>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</si>
  <si>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</si>
  <si>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</si>
  <si>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</si>
  <si>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</si>
  <si>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</si>
  <si>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</si>
  <si>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</si>
  <si>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</si>
  <si>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</si>
  <si>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</si>
  <si>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</si>
  <si>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</si>
  <si>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</si>
  <si>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</si>
  <si>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</si>
  <si>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</si>
  <si>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</si>
  <si>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</si>
  <si>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</si>
  <si>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</si>
  <si>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</si>
  <si>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</si>
  <si>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</si>
  <si>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</si>
  <si>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</si>
  <si>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</si>
  <si>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</si>
  <si>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</si>
  <si>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</si>
  <si>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</si>
  <si>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</si>
  <si>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</si>
  <si>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</si>
  <si>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</si>
  <si>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</si>
  <si>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</si>
  <si>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</si>
  <si>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</si>
  <si>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</si>
  <si>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</si>
  <si>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</si>
  <si>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</si>
  <si>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</si>
  <si>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</si>
  <si>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</si>
  <si>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</si>
  <si>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</si>
  <si>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</si>
  <si>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</si>
  <si>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</si>
  <si>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</si>
  <si>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</si>
  <si>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</si>
  <si>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</si>
  <si>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</si>
  <si>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</si>
  <si>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</si>
  <si>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</si>
  <si>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</si>
  <si>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</si>
  <si>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</si>
  <si>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</si>
  <si>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</si>
  <si>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</si>
  <si>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</si>
  <si>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</si>
  <si>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</si>
  <si>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</si>
  <si>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</si>
  <si>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</si>
  <si>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</si>
  <si>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</si>
  <si>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</si>
  <si>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</si>
  <si>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</si>
  <si>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</si>
  <si>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</si>
  <si>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</si>
  <si>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</si>
  <si>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</si>
  <si>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</si>
  <si>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</si>
  <si>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</si>
  <si>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</si>
  <si>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</si>
  <si>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</si>
  <si>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</si>
  <si>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</si>
  <si>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</si>
  <si>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</si>
  <si>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</si>
  <si>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</si>
  <si>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</si>
  <si>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</si>
  <si>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</si>
  <si>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</si>
  <si>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</si>
  <si>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</si>
  <si>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</si>
  <si>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</si>
  <si>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</si>
  <si>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</si>
  <si>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</si>
  <si>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</si>
  <si>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</si>
  <si>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</si>
  <si>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</si>
  <si>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</si>
  <si>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</si>
  <si>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</si>
  <si>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</si>
  <si>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</si>
  <si>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</si>
  <si>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</si>
  <si>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</si>
  <si>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</si>
  <si>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</si>
  <si>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</si>
  <si>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</si>
  <si>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</si>
  <si>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</si>
  <si>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</si>
  <si>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</si>
  <si>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</si>
  <si>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</si>
  <si>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</si>
  <si>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</si>
  <si>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</si>
  <si>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</si>
  <si>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</si>
  <si>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</si>
  <si>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</si>
  <si>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</si>
  <si>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</si>
  <si>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</si>
  <si>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</si>
  <si>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</si>
  <si>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</si>
  <si>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</si>
  <si>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</si>
  <si>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</si>
  <si>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</si>
  <si>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</si>
  <si>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</si>
  <si>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</si>
  <si>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</si>
  <si>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</si>
  <si>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</si>
  <si>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</si>
  <si>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</si>
  <si>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</si>
  <si>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</si>
  <si>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</si>
  <si>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</si>
  <si>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</si>
  <si>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</si>
  <si>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</si>
  <si>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</si>
  <si>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</si>
  <si>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</si>
  <si>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</si>
  <si>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</si>
  <si>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</si>
  <si>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</si>
  <si>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</si>
  <si>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</si>
  <si>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</si>
  <si>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</si>
  <si>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</si>
  <si>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</si>
  <si>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</si>
  <si>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</si>
  <si>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</si>
  <si>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</si>
  <si>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</si>
  <si>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</si>
  <si>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</si>
  <si>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</si>
  <si>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</si>
  <si>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</si>
  <si>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</si>
  <si>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</si>
  <si>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</si>
  <si>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</si>
  <si>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</si>
  <si>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</si>
  <si>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</si>
  <si>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</si>
  <si>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</si>
  <si>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</si>
  <si>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</si>
  <si>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</si>
  <si>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</si>
  <si>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</si>
  <si>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</si>
  <si>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</si>
  <si>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</si>
  <si>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</si>
  <si>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</si>
  <si>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</si>
  <si>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</si>
  <si>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</si>
  <si>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</si>
  <si>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</si>
  <si>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</si>
  <si>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</si>
  <si>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</si>
  <si>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</si>
  <si>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</si>
  <si>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</si>
  <si>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</si>
  <si>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</si>
  <si>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</si>
  <si>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</si>
  <si>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</si>
  <si>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</si>
  <si>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</si>
  <si>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</si>
  <si>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</si>
  <si>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</si>
  <si>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</si>
  <si>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</si>
  <si>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</si>
  <si>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</si>
  <si>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</si>
  <si>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</si>
  <si>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</si>
  <si>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</si>
  <si>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</si>
  <si>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</si>
  <si>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</si>
  <si>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</si>
  <si>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</si>
  <si>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</si>
  <si>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</si>
  <si>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</si>
  <si>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</si>
  <si>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</si>
  <si>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</si>
  <si>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</si>
  <si>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</si>
  <si>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</si>
  <si>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</si>
  <si>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</si>
  <si>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</si>
  <si>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</si>
  <si>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</si>
  <si>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</si>
  <si>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</si>
  <si>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</si>
  <si>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</si>
  <si>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</si>
  <si>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</si>
  <si>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</si>
  <si>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</si>
  <si>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</si>
  <si>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</si>
  <si>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</si>
  <si>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</si>
  <si>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</si>
  <si>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</si>
  <si>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</si>
  <si>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</si>
  <si>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</si>
  <si>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</si>
  <si>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</si>
  <si>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</si>
  <si>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</si>
  <si>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</si>
  <si>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</si>
  <si>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</si>
  <si>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</si>
  <si>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</si>
  <si>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</si>
  <si>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</si>
  <si>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</si>
  <si>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</si>
  <si>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</si>
  <si>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</si>
  <si>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</si>
  <si>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</si>
  <si>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</si>
  <si>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</si>
  <si>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</si>
  <si>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</si>
  <si>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</si>
  <si>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</si>
  <si>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</si>
  <si>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</si>
  <si>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</si>
  <si>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</si>
  <si>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</si>
  <si>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</si>
  <si>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</si>
  <si>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</si>
  <si>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</si>
  <si>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</si>
  <si>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</si>
  <si>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</si>
  <si>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</si>
  <si>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</si>
  <si>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</si>
  <si>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</si>
  <si>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</si>
  <si>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</si>
  <si>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</si>
  <si>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</si>
  <si>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</si>
  <si>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</si>
  <si>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</si>
  <si>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</si>
  <si>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</si>
  <si>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</si>
  <si>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</si>
  <si>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</si>
  <si>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</si>
  <si>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</si>
  <si>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</si>
  <si>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</si>
  <si>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</si>
  <si>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</si>
  <si>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</si>
  <si>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</si>
  <si>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</si>
  <si>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</si>
  <si>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</si>
  <si>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</si>
  <si>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</si>
  <si>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</si>
  <si>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</si>
  <si>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</si>
  <si>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</si>
  <si>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</si>
  <si>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</si>
  <si>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</si>
  <si>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</si>
  <si>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</si>
  <si>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</si>
  <si>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</si>
  <si>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</si>
  <si>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</si>
  <si>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</si>
  <si>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</si>
  <si>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</si>
  <si>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</si>
  <si>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</si>
  <si>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</si>
  <si>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</si>
  <si>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</si>
  <si>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</si>
  <si>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</si>
  <si>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</si>
  <si>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</si>
  <si>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</si>
  <si>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</si>
  <si>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</si>
  <si>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</si>
  <si>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</si>
  <si>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</si>
  <si>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</si>
  <si>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</si>
  <si>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</si>
  <si>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</si>
  <si>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</si>
  <si>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</si>
  <si>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</si>
  <si>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</si>
  <si>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</si>
  <si>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</si>
  <si>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</si>
  <si>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</si>
  <si>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</si>
  <si>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</si>
  <si>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</si>
  <si>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</si>
  <si>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</si>
  <si>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</si>
  <si>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</si>
  <si>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</si>
  <si>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</si>
  <si>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</si>
  <si>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</si>
  <si>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</si>
  <si>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</si>
  <si>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</si>
  <si>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</si>
  <si>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</si>
  <si>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</si>
  <si>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</si>
  <si>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</si>
  <si>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</si>
  <si>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</si>
  <si>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</si>
  <si>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</si>
  <si>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</si>
  <si>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</si>
  <si>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</si>
  <si>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</si>
  <si>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</si>
  <si>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</si>
  <si>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</si>
  <si>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</si>
  <si>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</si>
  <si>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</si>
  <si>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</si>
  <si>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</si>
  <si>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</si>
  <si>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</si>
  <si>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</si>
  <si>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</si>
  <si>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</si>
  <si>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</si>
  <si>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</si>
  <si>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</si>
  <si>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</si>
  <si>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</si>
  <si>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</si>
  <si>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</si>
  <si>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</si>
  <si>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</si>
  <si>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</si>
  <si>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</si>
  <si>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</si>
  <si>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</si>
  <si>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</si>
  <si>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</si>
  <si>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</si>
  <si>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</si>
  <si>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</si>
  <si>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</si>
  <si>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</si>
  <si>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</si>
  <si>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</si>
  <si>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</si>
  <si>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</si>
  <si>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</si>
  <si>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</si>
  <si>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</si>
  <si>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</si>
  <si>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</si>
  <si>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</si>
  <si>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</si>
  <si>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</si>
  <si>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</si>
  <si>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</si>
  <si>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</si>
  <si>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</si>
  <si>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</si>
  <si>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</si>
  <si>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</si>
  <si>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</si>
  <si>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</si>
  <si>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</si>
  <si>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</si>
  <si>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</si>
  <si>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</si>
  <si>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</si>
  <si>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</si>
  <si>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</si>
  <si>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</si>
  <si>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</si>
  <si>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</si>
  <si>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</si>
  <si>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</si>
  <si>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</si>
  <si>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</si>
  <si>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</si>
  <si>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</si>
  <si>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</si>
  <si>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</si>
  <si>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</si>
  <si>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</si>
  <si>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</si>
  <si>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</si>
  <si>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</si>
  <si>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</si>
  <si>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</si>
  <si>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</si>
  <si>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</si>
  <si>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</si>
  <si>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</si>
  <si>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</si>
  <si>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</si>
  <si>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</si>
  <si>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</si>
  <si>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</si>
  <si>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</si>
  <si>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</si>
  <si>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</si>
  <si>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</si>
  <si>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</si>
  <si>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</si>
  <si>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</si>
  <si>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</si>
  <si>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</si>
  <si>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</si>
  <si>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</si>
  <si>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</si>
  <si>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</si>
  <si>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</si>
  <si>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</si>
  <si>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</si>
  <si>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</si>
  <si>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</si>
  <si>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</si>
  <si>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</si>
  <si>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</si>
  <si>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</si>
  <si>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</si>
  <si>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</si>
  <si>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</si>
  <si>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</si>
  <si>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</si>
  <si>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</si>
  <si>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</si>
  <si>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</si>
  <si>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</si>
  <si>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</si>
  <si>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</si>
  <si>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</si>
  <si>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</si>
  <si>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</si>
  <si>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</si>
  <si>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</si>
  <si>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</si>
  <si>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</si>
  <si>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</si>
  <si>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</si>
  <si>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</si>
  <si>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</si>
  <si>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</si>
  <si>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</si>
  <si>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</si>
  <si>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</si>
  <si>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</si>
  <si>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</si>
  <si>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</si>
  <si>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</si>
  <si>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</si>
  <si>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</si>
  <si>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</si>
  <si>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</si>
  <si>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</si>
  <si>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</si>
  <si>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</si>
  <si>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</si>
  <si>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</si>
  <si>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</si>
  <si>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</si>
  <si>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</si>
  <si>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</si>
  <si>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</si>
  <si>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</si>
  <si>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</si>
  <si>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</si>
  <si>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</si>
  <si>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</si>
  <si>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</si>
  <si>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</si>
  <si>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</si>
  <si>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</si>
  <si>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</si>
  <si>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</si>
  <si>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</si>
  <si>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</si>
  <si>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</si>
  <si>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</si>
  <si>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</si>
  <si>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</si>
  <si>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</si>
  <si>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</si>
  <si>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</si>
  <si>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</si>
  <si>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</si>
  <si>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</si>
  <si>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</si>
  <si>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</si>
  <si>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</si>
  <si>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</si>
  <si>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</si>
  <si>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</si>
  <si>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</si>
  <si>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</si>
  <si>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</si>
  <si>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</si>
  <si>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</si>
  <si>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</si>
  <si>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</si>
  <si>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</si>
  <si>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</si>
  <si>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</si>
  <si>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</si>
  <si>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</si>
  <si>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</si>
  <si>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</si>
  <si>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</si>
  <si>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</si>
  <si>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</si>
  <si>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</si>
  <si>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</si>
  <si>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</si>
  <si>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</si>
  <si>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</si>
  <si>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</si>
  <si>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</si>
  <si>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</si>
  <si>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</si>
  <si>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</si>
  <si>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</si>
  <si>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</si>
  <si>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</si>
  <si>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</si>
  <si>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</si>
  <si>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</si>
  <si>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</si>
  <si>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</si>
  <si>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</si>
  <si>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</si>
  <si>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</si>
  <si>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</si>
  <si>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</si>
  <si>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</si>
  <si>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</si>
  <si>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</si>
  <si>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</si>
  <si>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</si>
  <si>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</si>
  <si>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</si>
  <si>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</si>
  <si>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</si>
  <si>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</si>
  <si>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</si>
  <si>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</si>
  <si>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</si>
  <si>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</si>
  <si>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</si>
  <si>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</si>
  <si>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</si>
  <si>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Rice Sullivan, LLC</t>
  </si>
  <si>
    <t>Bill R. Dixon, CPA</t>
  </si>
  <si>
    <t>3121 North Illinois Street, Suite A</t>
  </si>
  <si>
    <t>Swansea</t>
  </si>
  <si>
    <t>IL</t>
  </si>
  <si>
    <t>618-233-0186</t>
  </si>
  <si>
    <t>618-234-5804</t>
  </si>
  <si>
    <t>bdixon@rsco.net</t>
  </si>
  <si>
    <t>066.004582</t>
  </si>
  <si>
    <t>FUND</t>
  </si>
  <si>
    <t>PAGE</t>
  </si>
  <si>
    <t>ROW</t>
  </si>
  <si>
    <t>DESCRIPTION</t>
  </si>
  <si>
    <t>AMOUNT</t>
  </si>
  <si>
    <t>St. Clair</t>
  </si>
  <si>
    <t>200 West Schuetz Street</t>
  </si>
  <si>
    <t xml:space="preserve">Lebanon  </t>
  </si>
  <si>
    <t>pkeeney@lcusd9.org</t>
  </si>
  <si>
    <t>Patrick Keeney</t>
  </si>
  <si>
    <t>618-537-4611</t>
  </si>
  <si>
    <t>618-537-9588</t>
  </si>
  <si>
    <t>N/A</t>
  </si>
  <si>
    <t>Capital Lease</t>
  </si>
  <si>
    <t>Fire, Prevention and Safety Bond</t>
  </si>
  <si>
    <t>General Obligation School Bond</t>
  </si>
  <si>
    <t>Central States Bus Lease - Transportation Equipment</t>
  </si>
  <si>
    <t>Santander Bus Lease - Transporation Equipment</t>
  </si>
  <si>
    <t>ED-Reg K-12 Programs-Services</t>
  </si>
  <si>
    <t>CTS Technology Solutions</t>
  </si>
  <si>
    <t>Frontline Technology</t>
  </si>
  <si>
    <t>Xerox Corporation</t>
  </si>
  <si>
    <t>ED-Reg K-12 Programs-Leasing</t>
  </si>
  <si>
    <t>Da-com Corporation</t>
  </si>
  <si>
    <t>Walz Label &amp; Mailing System</t>
  </si>
  <si>
    <t>Southwestern Illinois College</t>
  </si>
  <si>
    <t>ED-Special Ed K-12 Programs-Services</t>
  </si>
  <si>
    <t>Brecht's Database</t>
  </si>
  <si>
    <t>Lexia Learning Systems</t>
  </si>
  <si>
    <t>ED-Board of Education-Services</t>
  </si>
  <si>
    <t>Talx UC Express</t>
  </si>
  <si>
    <t>The Cornerstone Ins Group</t>
  </si>
  <si>
    <t>O&amp;M-Plant Services-Services</t>
  </si>
  <si>
    <t>20-2540-300</t>
  </si>
  <si>
    <t>Terminex</t>
  </si>
  <si>
    <t>Ultimate Detail</t>
  </si>
  <si>
    <t>Iron Mountain</t>
  </si>
  <si>
    <t>Republic Services</t>
  </si>
  <si>
    <t>Transportation-Pupil Transportation-Services</t>
  </si>
  <si>
    <t>40-2550-300</t>
  </si>
  <si>
    <t>Goodall Truck Testing</t>
  </si>
  <si>
    <t>Buhl's Auto Repair &amp; Sales</t>
  </si>
  <si>
    <t>Tort-Legal Services-Services</t>
  </si>
  <si>
    <t>Hodges Loizzi</t>
  </si>
  <si>
    <t>Hostgator.com</t>
  </si>
  <si>
    <t>Power School</t>
  </si>
  <si>
    <t>Collinsville Area Voc</t>
  </si>
  <si>
    <t>Zearn</t>
  </si>
  <si>
    <t>BrainPop</t>
  </si>
  <si>
    <t>Learning A-Z</t>
  </si>
  <si>
    <t>ED-Remedial and Supplement K-12 Programs-Services</t>
  </si>
  <si>
    <t>x</t>
  </si>
  <si>
    <t>Professional Development &amp; Regional Office of Education</t>
  </si>
  <si>
    <t>Cigna/Principal</t>
  </si>
  <si>
    <t>Illinois Energy Con.</t>
  </si>
  <si>
    <t>Kohl, Summit Financial Resources, Prairie Farms, School Lunch Solutions</t>
  </si>
  <si>
    <t>Edward Jones, Prudential, Valic, American Funds, State Farm, Horace Mann</t>
  </si>
  <si>
    <t>Bob Kohn</t>
  </si>
  <si>
    <t>Ultimate Detail, Rotten Tree Service</t>
  </si>
  <si>
    <t>IASA &amp; Regional Office of Education</t>
  </si>
  <si>
    <t>Regional Office of Education</t>
  </si>
  <si>
    <t>BASSC</t>
  </si>
  <si>
    <t>SES Services and Tutoring via Illinois Virtual School</t>
  </si>
  <si>
    <t>CTE/Perkins-Vocational Program (St. Clair ROE)</t>
  </si>
  <si>
    <t>ADMISSIONS OTHER</t>
  </si>
  <si>
    <t>* Band Fees</t>
  </si>
  <si>
    <t>* Athletic Fees/Uniforms</t>
  </si>
  <si>
    <t>OTHER LOCAL REVENUES</t>
  </si>
  <si>
    <t>* Other Revenues</t>
  </si>
  <si>
    <t>TRANS</t>
  </si>
  <si>
    <t>OTHER RESTRICTED REVENUE FROM STATE SOURCES</t>
  </si>
  <si>
    <t>CTE - OTHER</t>
  </si>
  <si>
    <t>* Title IIC Secondary - CTE Perkins</t>
  </si>
  <si>
    <t>OTHER SUPPORT SERVICES</t>
  </si>
  <si>
    <t>* Title I Supplies</t>
  </si>
  <si>
    <t>* Bond Fees</t>
  </si>
  <si>
    <t>Capital Lease Debt Retirement</t>
  </si>
  <si>
    <t>The District does not have proper controls in place to oversee the bank reconciliation process.</t>
  </si>
  <si>
    <t>Bank reconciliations were not being prepared, reviewed, or approved in a timely manner.</t>
  </si>
  <si>
    <t>The Distict does not have proper controls in place to oversee the bank reconciliation process.</t>
  </si>
  <si>
    <t>Actual expenditures and/or transfers exceeded budgeted amounts.</t>
  </si>
  <si>
    <t xml:space="preserve">The District had not utilized the provision for contingencies budget item; therefore, it had no room for budget adjustments when actual expenditures exceeded budgeted projections. </t>
  </si>
  <si>
    <t>We recommend that the District prepare and monitor the budgeting process more closely or amend the budget when unexpected expenditures are incurred.</t>
  </si>
  <si>
    <t>Lebanon's management will prepare and monitor the District budget more closely.  Unfortunately, due to the state funding and lack of timely payments, Lebanon has had to prepare and/or amend budgets that expend and/or transfer in excess of budgeted funds.  The District will monitor the budgeted expenditure more diligently.</t>
  </si>
  <si>
    <t>The Illinois Compiled Statutes, Chapter 105, Section 5, Paragraph 17-1, requires that the total expenditures and/or transfers not exceed budgeted expenditures and transfers for any fund. During the fiscal year ended June 30, 2019, the Educational, Operations and Maintenance, Transportation, Muncipal Retirement/Social Security and Fire Prevention and Safety Funds had expenditures and/or transfers in excess of budget.</t>
  </si>
  <si>
    <t>Out of the nine funds of the District, the above five had expenditures and/or transfers in excess of budgeted amounts.</t>
  </si>
  <si>
    <t>The District was not in spending compliance by overexpending its budget for the fiscal year.</t>
  </si>
  <si>
    <t>Timely preparation, review, and approval of bank reconciliations is an integral part of the District's internal control system.</t>
  </si>
  <si>
    <t>The District does not have proper controls in place to ensure that errors or irregularities would be detected.</t>
  </si>
  <si>
    <t>We recommend that the District implement controls for timely preparation, review and approval of bank reconciliations.</t>
  </si>
  <si>
    <t>The District will require mandatory monthly bank reconciliations for all bank accounts.  Upon receipt of the monthly bank statements, the bank account will be required to be reconciled by the board of education meeting of that month.  The District's superintendent and principals will also monitor and review the reconciliations.  If the accounts are not reconciled in the above fashion, the individual in charge of the reconciliation will be required to attend the board meeting and explain the reason for failing to have the account reconciled.  In addition, the District will meet with those responsible for the reconciliation, reenforce the importance of having a timely prepared, reviewed and approved bank reconciliation and that it relates directly and is an integral part of the District's internal control system.</t>
  </si>
  <si>
    <t>2018-001</t>
  </si>
  <si>
    <t>Actual expenditures and/or transfers exceeded</t>
  </si>
  <si>
    <t>budgeted amounts.</t>
  </si>
  <si>
    <t>See 2019-001</t>
  </si>
  <si>
    <t>2018-002</t>
  </si>
  <si>
    <t>The District did not have proper controls in place</t>
  </si>
  <si>
    <t>to oversee the bank reconciliation process.</t>
  </si>
  <si>
    <t>See 2019-002</t>
  </si>
  <si>
    <t>OTHER DISTRICT/ SCHOOL ACTIVITY REVENUE</t>
  </si>
  <si>
    <t>* Per Capita Grant</t>
  </si>
  <si>
    <t>TITLE I - OTHER</t>
  </si>
  <si>
    <t>* School Improvement &amp; Accountability</t>
  </si>
  <si>
    <t>DEBT SERVICES - OTHER</t>
  </si>
  <si>
    <t>10-1000-300</t>
  </si>
  <si>
    <t>10-2300-300</t>
  </si>
  <si>
    <t>80-2300-300</t>
  </si>
  <si>
    <t>Lebanon CUSD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</si>
</sst>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medium">
        <color indexed="64"/>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9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0" fontId="57" fillId="0" borderId="77" xfId="3" applyNumberFormat="1" applyFont="1" applyBorder="1" applyAlignment="1" applyProtection="1">
      <alignment horizontal="center"/>
      <protection locked="0"/>
    </xf>
    <xf numFmtId="0" fontId="57" fillId="0" borderId="0" xfId="0" applyFont="1" applyAlignment="1">
      <alignment horizontal="center"/>
    </xf>
    <xf numFmtId="0" fontId="79" fillId="0" borderId="165" xfId="0" applyFont="1" applyBorder="1" applyAlignment="1">
      <alignment horizontal="center"/>
    </xf>
    <xf numFmtId="0" fontId="62" fillId="0" borderId="0" xfId="0" applyFont="1" applyAlignment="1">
      <alignment horizontal="center"/>
    </xf>
    <xf numFmtId="166" fontId="62" fillId="0" borderId="0" xfId="0" applyNumberFormat="1" applyFont="1" applyAlignment="1">
      <alignment horizontal="center"/>
    </xf>
    <xf numFmtId="0" fontId="57" fillId="0" borderId="0" xfId="0" applyFont="1" applyAlignment="1">
      <alignment horizontal="right"/>
    </xf>
    <xf numFmtId="181" fontId="57" fillId="0" borderId="0" xfId="1" applyNumberFormat="1" applyFont="1"/>
    <xf numFmtId="181" fontId="79" fillId="0" borderId="165" xfId="1" applyNumberFormat="1" applyFont="1" applyBorder="1" applyAlignment="1">
      <alignment horizontal="center"/>
    </xf>
    <xf numFmtId="0" fontId="65" fillId="0" borderId="0" xfId="0" applyFont="1" applyAlignment="1">
      <alignment horizontal="left"/>
    </xf>
    <xf numFmtId="164" fontId="79" fillId="0" borderId="165" xfId="0" applyNumberFormat="1" applyFont="1" applyBorder="1" applyAlignment="1">
      <alignment horizontal="left"/>
    </xf>
    <xf numFmtId="164" fontId="57" fillId="0" borderId="0" xfId="0" applyNumberFormat="1" applyFont="1" applyAlignment="1">
      <alignment horizontal="left"/>
    </xf>
    <xf numFmtId="0" fontId="54" fillId="0" borderId="0" xfId="3" applyFont="1" applyAlignment="1" applyProtection="1">
      <alignment horizontal="center" vertical="center"/>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49" fontId="2" fillId="0" borderId="157" xfId="17" applyNumberFormat="1" applyFont="1" applyBorder="1" applyAlignment="1" applyProtection="1">
      <alignment horizontal="center" vertical="center"/>
      <protection locked="0"/>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quotePrefix="1"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180975</xdr:colOff>
          <xdr:row>1</xdr:row>
          <xdr:rowOff>56284</xdr:rowOff>
        </xdr:from>
        <xdr:to>
          <xdr:col>1</xdr:col>
          <xdr:colOff>1095375</xdr:colOff>
          <xdr:row>5</xdr:row>
          <xdr:rowOff>87457</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1258166</xdr:colOff>
          <xdr:row>1</xdr:row>
          <xdr:rowOff>82261</xdr:rowOff>
        </xdr:from>
        <xdr:to>
          <xdr:col>1</xdr:col>
          <xdr:colOff>2163041</xdr:colOff>
          <xdr:row>5</xdr:row>
          <xdr:rowOff>113434</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2025" t="s">
        <v>404</v>
      </c>
      <c r="J1" s="2026"/>
      <c r="K1" s="2026"/>
      <c r="L1" s="2026"/>
      <c r="M1" s="2026"/>
      <c r="N1" s="2026"/>
      <c r="O1" s="2026"/>
      <c r="P1" s="2026"/>
      <c r="Q1" s="2026"/>
      <c r="R1" s="2026"/>
      <c r="S1" s="2026"/>
    </row>
    <row r="2" spans="1:28" ht="12" customHeight="1" x14ac:dyDescent="0.2">
      <c r="A2" s="47" t="s">
        <v>1992</v>
      </c>
      <c r="D2" s="48"/>
      <c r="I2" s="2027" t="s">
        <v>978</v>
      </c>
      <c r="J2" s="2026"/>
      <c r="K2" s="2026"/>
      <c r="L2" s="2026"/>
      <c r="M2" s="2026"/>
      <c r="N2" s="2026"/>
      <c r="O2" s="2026"/>
      <c r="P2" s="2026"/>
      <c r="Q2" s="2026"/>
      <c r="R2" s="2026"/>
      <c r="S2" s="2026"/>
    </row>
    <row r="3" spans="1:28" ht="12" customHeight="1" x14ac:dyDescent="0.2">
      <c r="A3" s="155" t="s">
        <v>1944</v>
      </c>
      <c r="B3" s="156"/>
      <c r="C3" s="156"/>
      <c r="D3" s="157"/>
      <c r="I3" s="2027" t="s">
        <v>52</v>
      </c>
      <c r="J3" s="2026"/>
      <c r="K3" s="2026"/>
      <c r="L3" s="2026"/>
      <c r="M3" s="2026"/>
      <c r="N3" s="2026"/>
      <c r="O3" s="2026"/>
      <c r="P3" s="2026"/>
      <c r="Q3" s="2026"/>
      <c r="R3" s="2026"/>
      <c r="S3" s="2026"/>
    </row>
    <row r="4" spans="1:28" ht="12" customHeight="1" x14ac:dyDescent="0.2">
      <c r="A4" s="37"/>
      <c r="I4" s="2027" t="s">
        <v>523</v>
      </c>
      <c r="J4" s="2026"/>
      <c r="K4" s="2026"/>
      <c r="L4" s="2026"/>
      <c r="M4" s="2026"/>
      <c r="N4" s="2026"/>
      <c r="O4" s="2026"/>
      <c r="P4" s="2026"/>
      <c r="Q4" s="2026"/>
      <c r="R4" s="2026"/>
      <c r="S4" s="2026"/>
    </row>
    <row r="5" spans="1:28" ht="14.1" customHeight="1" x14ac:dyDescent="0.2">
      <c r="B5" s="104" t="s">
        <v>2063</v>
      </c>
      <c r="C5" s="26" t="s">
        <v>909</v>
      </c>
      <c r="D5" s="84"/>
      <c r="E5" s="84"/>
      <c r="H5" s="38"/>
      <c r="I5" s="2034" t="s">
        <v>679</v>
      </c>
      <c r="J5" s="1978"/>
      <c r="K5" s="1978"/>
      <c r="L5" s="1978"/>
      <c r="M5" s="1978"/>
      <c r="N5" s="1978"/>
      <c r="O5" s="1978"/>
      <c r="P5" s="1978"/>
      <c r="Q5" s="1978"/>
      <c r="R5" s="1978"/>
      <c r="S5" s="1978"/>
    </row>
    <row r="6" spans="1:28" ht="14.1" customHeight="1" x14ac:dyDescent="0.2">
      <c r="B6" s="104"/>
      <c r="C6" s="26" t="s">
        <v>910</v>
      </c>
      <c r="D6" s="84"/>
      <c r="E6" s="84"/>
      <c r="I6" s="2033" t="s">
        <v>882</v>
      </c>
      <c r="J6" s="1978"/>
      <c r="K6" s="1978"/>
      <c r="L6" s="1978"/>
      <c r="M6" s="1978"/>
      <c r="N6" s="1978"/>
      <c r="O6" s="1978"/>
      <c r="P6" s="1978"/>
      <c r="Q6" s="1978"/>
      <c r="R6" s="1978"/>
      <c r="S6" s="1978"/>
    </row>
    <row r="7" spans="1:28" ht="12.2" customHeight="1" x14ac:dyDescent="0.2">
      <c r="I7" s="2028">
        <v>43646</v>
      </c>
      <c r="J7" s="2029"/>
      <c r="K7" s="2029"/>
      <c r="L7" s="2029"/>
      <c r="M7" s="2029"/>
      <c r="N7" s="2029"/>
      <c r="O7" s="2029"/>
      <c r="P7" s="2029"/>
      <c r="Q7" s="2029"/>
      <c r="R7" s="2029"/>
      <c r="S7" s="202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0" t="s">
        <v>673</v>
      </c>
      <c r="J9" s="2031"/>
      <c r="K9" s="2031"/>
      <c r="L9" s="2031"/>
      <c r="M9" s="2031"/>
      <c r="N9" s="2031"/>
      <c r="O9" s="2031"/>
      <c r="P9" s="2031"/>
      <c r="Q9" s="2031"/>
      <c r="R9" s="2031"/>
      <c r="S9" s="2032"/>
      <c r="T9" s="1974" t="s">
        <v>532</v>
      </c>
      <c r="U9" s="1975"/>
      <c r="V9" s="1975"/>
      <c r="W9" s="1975"/>
      <c r="X9" s="1975"/>
      <c r="Y9" s="1975"/>
      <c r="Z9" s="1975"/>
      <c r="AA9" s="1976"/>
    </row>
    <row r="10" spans="1:28" ht="13.5" customHeight="1" x14ac:dyDescent="0.2">
      <c r="A10" s="1983" t="s">
        <v>674</v>
      </c>
      <c r="B10" s="1984"/>
      <c r="C10" s="1984"/>
      <c r="D10" s="1984"/>
      <c r="E10" s="1984"/>
      <c r="F10" s="1984"/>
      <c r="G10" s="1984"/>
      <c r="H10" s="1985"/>
      <c r="I10" s="29"/>
      <c r="J10" s="30"/>
      <c r="K10" s="28"/>
      <c r="R10" s="30"/>
      <c r="S10" s="30"/>
      <c r="T10" s="1977"/>
      <c r="U10" s="1978"/>
      <c r="V10" s="1978"/>
      <c r="W10" s="1978"/>
      <c r="X10" s="1978"/>
      <c r="Y10" s="1978"/>
      <c r="Z10" s="1978"/>
      <c r="AA10" s="1979"/>
    </row>
    <row r="11" spans="1:28" ht="14.25" customHeight="1" x14ac:dyDescent="0.2">
      <c r="A11" s="1986" t="s">
        <v>954</v>
      </c>
      <c r="B11" s="1987"/>
      <c r="C11" s="1987"/>
      <c r="D11" s="1987"/>
      <c r="E11" s="1987"/>
      <c r="F11" s="1987"/>
      <c r="G11" s="1987"/>
      <c r="H11" s="1988"/>
      <c r="I11" s="27"/>
      <c r="J11" s="74"/>
      <c r="K11" s="27"/>
      <c r="O11" s="148" t="s">
        <v>2063</v>
      </c>
      <c r="P11" s="100" t="s">
        <v>201</v>
      </c>
      <c r="Q11" s="30"/>
      <c r="R11" s="28"/>
      <c r="S11" s="27"/>
      <c r="T11" s="1980"/>
      <c r="U11" s="1981"/>
      <c r="V11" s="1981"/>
      <c r="W11" s="1981"/>
      <c r="X11" s="1981"/>
      <c r="Y11" s="1981"/>
      <c r="Z11" s="1981"/>
      <c r="AA11" s="1982"/>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1994">
        <v>50082009026</v>
      </c>
      <c r="B13" s="1995"/>
      <c r="C13" s="1995"/>
      <c r="D13" s="1995"/>
      <c r="E13" s="1995"/>
      <c r="F13" s="1995"/>
      <c r="G13" s="1995"/>
      <c r="H13" s="1996"/>
      <c r="I13" s="31"/>
      <c r="J13" s="30"/>
      <c r="K13" s="28"/>
      <c r="L13" s="30"/>
      <c r="M13" s="30"/>
      <c r="N13" s="30"/>
      <c r="O13" s="30"/>
      <c r="P13" s="30"/>
      <c r="Q13" s="30"/>
      <c r="R13" s="30"/>
      <c r="S13" s="30"/>
      <c r="T13" s="1999" t="s">
        <v>2064</v>
      </c>
      <c r="U13" s="2000"/>
      <c r="V13" s="2000"/>
      <c r="W13" s="2000"/>
      <c r="X13" s="2000"/>
      <c r="Y13" s="2001"/>
      <c r="Z13" s="2001"/>
      <c r="AA13" s="2002"/>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1992" t="s">
        <v>2078</v>
      </c>
      <c r="B15" s="1997"/>
      <c r="C15" s="1997"/>
      <c r="D15" s="1997"/>
      <c r="E15" s="1997"/>
      <c r="F15" s="1997"/>
      <c r="G15" s="1997"/>
      <c r="H15" s="1998"/>
      <c r="T15" s="1960" t="s">
        <v>2065</v>
      </c>
      <c r="U15" s="1961"/>
      <c r="V15" s="1961"/>
      <c r="W15" s="1961"/>
      <c r="X15" s="1961"/>
      <c r="Y15" s="2003"/>
      <c r="Z15" s="2003"/>
      <c r="AA15" s="2004"/>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2022" t="s">
        <v>2180</v>
      </c>
      <c r="B17" s="2023"/>
      <c r="C17" s="2023"/>
      <c r="D17" s="2023"/>
      <c r="E17" s="2023"/>
      <c r="F17" s="2023"/>
      <c r="G17" s="2023"/>
      <c r="H17" s="2024"/>
      <c r="T17" s="2009" t="s">
        <v>2066</v>
      </c>
      <c r="U17" s="2010"/>
      <c r="V17" s="2010"/>
      <c r="W17" s="2010"/>
      <c r="X17" s="2010"/>
      <c r="Y17" s="2010"/>
      <c r="Z17" s="2010"/>
      <c r="AA17" s="2011"/>
    </row>
    <row r="18" spans="1:27" ht="13.5" customHeight="1" x14ac:dyDescent="0.2">
      <c r="A18" s="85" t="s">
        <v>529</v>
      </c>
      <c r="B18" s="76"/>
      <c r="C18" s="72"/>
      <c r="D18" s="76"/>
      <c r="E18" s="76"/>
      <c r="F18" s="76"/>
      <c r="G18" s="76"/>
      <c r="H18" s="56"/>
      <c r="I18" s="2019" t="s">
        <v>675</v>
      </c>
      <c r="J18" s="2020"/>
      <c r="K18" s="2020"/>
      <c r="L18" s="2020"/>
      <c r="M18" s="2020"/>
      <c r="N18" s="2020"/>
      <c r="O18" s="2020"/>
      <c r="P18" s="2020"/>
      <c r="Q18" s="2020"/>
      <c r="R18" s="2020"/>
      <c r="S18" s="2021"/>
      <c r="T18" s="85" t="s">
        <v>710</v>
      </c>
      <c r="U18" s="51"/>
      <c r="V18" s="72"/>
      <c r="W18" s="50"/>
      <c r="X18" s="85" t="s">
        <v>265</v>
      </c>
      <c r="Y18" s="81"/>
      <c r="Z18" s="159" t="s">
        <v>676</v>
      </c>
      <c r="AA18" s="46"/>
    </row>
    <row r="19" spans="1:27" ht="13.5" customHeight="1" x14ac:dyDescent="0.2">
      <c r="A19" s="1992" t="s">
        <v>2079</v>
      </c>
      <c r="B19" s="1993"/>
      <c r="C19" s="1993"/>
      <c r="D19" s="1993"/>
      <c r="E19" s="1993"/>
      <c r="F19" s="1993"/>
      <c r="G19" s="1993"/>
      <c r="H19" s="1991"/>
      <c r="I19" s="30"/>
      <c r="J19" s="99"/>
      <c r="K19" s="40"/>
      <c r="L19" s="38"/>
      <c r="M19" s="112" t="s">
        <v>314</v>
      </c>
      <c r="P19" s="27"/>
      <c r="Q19" s="27"/>
      <c r="R19" s="27"/>
      <c r="S19" s="31"/>
      <c r="T19" s="1992" t="s">
        <v>2067</v>
      </c>
      <c r="U19" s="1990"/>
      <c r="V19" s="1990"/>
      <c r="W19" s="1991"/>
      <c r="X19" s="2007" t="s">
        <v>2068</v>
      </c>
      <c r="Y19" s="2008"/>
      <c r="Z19" s="2005">
        <v>62226</v>
      </c>
      <c r="AA19" s="2006"/>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89" t="s">
        <v>2080</v>
      </c>
      <c r="B21" s="1990"/>
      <c r="C21" s="1990"/>
      <c r="D21" s="1990"/>
      <c r="E21" s="1990"/>
      <c r="F21" s="1990"/>
      <c r="G21" s="1990"/>
      <c r="H21" s="1991"/>
      <c r="I21" s="2015" t="s">
        <v>677</v>
      </c>
      <c r="J21" s="1978"/>
      <c r="K21" s="1978"/>
      <c r="L21" s="1978"/>
      <c r="M21" s="1978"/>
      <c r="N21" s="1978"/>
      <c r="O21" s="1978"/>
      <c r="P21" s="1978"/>
      <c r="Q21" s="1978"/>
      <c r="R21" s="1978"/>
      <c r="S21" s="1979"/>
      <c r="T21" s="1957" t="s">
        <v>2069</v>
      </c>
      <c r="U21" s="1958"/>
      <c r="V21" s="1958"/>
      <c r="W21" s="1958"/>
      <c r="X21" s="1971" t="s">
        <v>2070</v>
      </c>
      <c r="Y21" s="1972"/>
      <c r="Z21" s="1972"/>
      <c r="AA21" s="1973"/>
    </row>
    <row r="22" spans="1:27" ht="13.5" customHeight="1" x14ac:dyDescent="0.2">
      <c r="A22" s="87" t="s">
        <v>530</v>
      </c>
      <c r="B22" s="59"/>
      <c r="C22" s="59"/>
      <c r="D22" s="59"/>
      <c r="E22" s="59"/>
      <c r="F22" s="59"/>
      <c r="G22" s="59"/>
      <c r="H22" s="60"/>
      <c r="I22" s="2016" t="s">
        <v>1428</v>
      </c>
      <c r="J22" s="2017"/>
      <c r="K22" s="2017"/>
      <c r="L22" s="2017"/>
      <c r="M22" s="2017"/>
      <c r="N22" s="2017"/>
      <c r="O22" s="2017"/>
      <c r="P22" s="2017"/>
      <c r="Q22" s="2017"/>
      <c r="R22" s="2017"/>
      <c r="S22" s="2018"/>
      <c r="T22" s="85" t="s">
        <v>1515</v>
      </c>
      <c r="U22" s="51"/>
      <c r="V22" s="72"/>
      <c r="W22" s="51"/>
      <c r="X22" s="160" t="s">
        <v>1317</v>
      </c>
      <c r="Z22" s="45"/>
      <c r="AA22" s="46"/>
    </row>
    <row r="23" spans="1:27" ht="13.5" customHeight="1" x14ac:dyDescent="0.2">
      <c r="A23" s="2012" t="s">
        <v>2081</v>
      </c>
      <c r="B23" s="2013"/>
      <c r="C23" s="2013"/>
      <c r="D23" s="2013"/>
      <c r="E23" s="2013"/>
      <c r="F23" s="2013"/>
      <c r="G23" s="2013"/>
      <c r="H23" s="2014"/>
      <c r="T23" s="1952" t="s">
        <v>2072</v>
      </c>
      <c r="U23" s="1953"/>
      <c r="V23" s="1953"/>
      <c r="W23" s="1953"/>
      <c r="X23" s="1968">
        <v>44530</v>
      </c>
      <c r="Y23" s="1969"/>
      <c r="Z23" s="1969"/>
      <c r="AA23" s="1970"/>
    </row>
    <row r="24" spans="1:27" ht="14.1" customHeight="1" x14ac:dyDescent="0.2">
      <c r="A24" s="88" t="s">
        <v>676</v>
      </c>
      <c r="B24" s="49"/>
      <c r="C24" s="49"/>
      <c r="D24" s="49"/>
      <c r="E24" s="49"/>
      <c r="F24" s="49"/>
      <c r="G24" s="49"/>
      <c r="H24" s="61"/>
      <c r="J24" s="2055" t="str">
        <f>IF(B5="x",IF(AUDITCHECK!D29="AFR form Incomplete.","",IF(AUDITCHECK!D29="Deficit reduction plan is required.","School District must complete a deficit reduction plan in the 2019-2020 Budget",)),"")</f>
        <v>School District must complete a deficit reduction plan in the 2019-2020 Budget</v>
      </c>
      <c r="K24" s="2055"/>
      <c r="L24" s="2055"/>
      <c r="M24" s="2055"/>
      <c r="N24" s="2055"/>
      <c r="O24" s="2055"/>
      <c r="P24" s="2055"/>
      <c r="Q24" s="2055"/>
      <c r="R24" s="2055"/>
      <c r="S24" s="2056"/>
      <c r="T24" s="105" t="s">
        <v>530</v>
      </c>
      <c r="U24" s="106"/>
      <c r="V24" s="106"/>
      <c r="W24" s="106"/>
      <c r="X24" s="107"/>
      <c r="Y24" s="107"/>
      <c r="Z24" s="107"/>
      <c r="AA24" s="108"/>
    </row>
    <row r="25" spans="1:27" ht="14.1" customHeight="1" x14ac:dyDescent="0.2">
      <c r="A25" s="1989">
        <v>62254</v>
      </c>
      <c r="B25" s="1990"/>
      <c r="C25" s="1990"/>
      <c r="D25" s="1990"/>
      <c r="E25" s="1990"/>
      <c r="F25" s="1990"/>
      <c r="G25" s="1990"/>
      <c r="H25" s="1991"/>
      <c r="I25" s="113"/>
      <c r="J25" s="2057"/>
      <c r="K25" s="2057"/>
      <c r="L25" s="2057"/>
      <c r="M25" s="2057"/>
      <c r="N25" s="2057"/>
      <c r="O25" s="2057"/>
      <c r="P25" s="2057"/>
      <c r="Q25" s="2057"/>
      <c r="R25" s="2057"/>
      <c r="S25" s="2058"/>
      <c r="T25" s="1949" t="s">
        <v>2071</v>
      </c>
      <c r="U25" s="1950"/>
      <c r="V25" s="1950"/>
      <c r="W25" s="1950"/>
      <c r="X25" s="1950"/>
      <c r="Y25" s="1950"/>
      <c r="Z25" s="1950"/>
      <c r="AA25" s="195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48" t="s">
        <v>1510</v>
      </c>
      <c r="J27" s="2020"/>
      <c r="K27" s="2020"/>
      <c r="L27" s="2020"/>
      <c r="M27" s="2020"/>
      <c r="N27" s="2020"/>
      <c r="O27" s="2020"/>
      <c r="P27" s="2020"/>
      <c r="Q27" s="2020"/>
      <c r="R27" s="2020"/>
      <c r="S27" s="2021"/>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02"/>
      <c r="K29" s="28" t="s">
        <v>575</v>
      </c>
      <c r="L29" s="148" t="s">
        <v>2063</v>
      </c>
      <c r="M29" s="40" t="s">
        <v>99</v>
      </c>
      <c r="N29" s="32" t="s">
        <v>1522</v>
      </c>
      <c r="O29" s="32"/>
      <c r="P29" s="32"/>
      <c r="Q29" s="32"/>
      <c r="R29" s="32"/>
      <c r="S29" s="123"/>
      <c r="T29" s="6"/>
      <c r="U29" s="6"/>
      <c r="V29" s="6"/>
      <c r="W29" s="6"/>
      <c r="X29" s="6"/>
      <c r="Y29" s="6"/>
      <c r="Z29" s="6"/>
      <c r="AA29" s="132"/>
    </row>
    <row r="30" spans="1:27" ht="13.5" customHeight="1" x14ac:dyDescent="0.2">
      <c r="A30" s="153"/>
      <c r="B30" s="136" t="s">
        <v>2063</v>
      </c>
      <c r="C30" s="124" t="s">
        <v>1163</v>
      </c>
      <c r="D30" s="28"/>
      <c r="E30" s="28"/>
      <c r="F30" s="140"/>
      <c r="G30" s="114"/>
      <c r="H30" s="114"/>
      <c r="I30" s="54"/>
      <c r="J30" s="102"/>
      <c r="K30" s="28" t="s">
        <v>575</v>
      </c>
      <c r="L30" s="148" t="s">
        <v>2063</v>
      </c>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2063</v>
      </c>
      <c r="K31" s="40" t="s">
        <v>884</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2063</v>
      </c>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93"/>
      <c r="Q35" s="1990"/>
      <c r="R35" s="199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2022" t="s">
        <v>2082</v>
      </c>
      <c r="B38" s="2023"/>
      <c r="C38" s="2023"/>
      <c r="D38" s="2023"/>
      <c r="E38" s="2023"/>
      <c r="F38" s="1990"/>
      <c r="G38" s="1990"/>
      <c r="H38" s="1991"/>
      <c r="I38" s="2042"/>
      <c r="J38" s="1961"/>
      <c r="K38" s="1961"/>
      <c r="L38" s="1961"/>
      <c r="M38" s="1961"/>
      <c r="N38" s="1961"/>
      <c r="O38" s="1961"/>
      <c r="P38" s="1962"/>
      <c r="Q38" s="1962"/>
      <c r="R38" s="1962"/>
      <c r="S38" s="1963"/>
      <c r="T38" s="1960"/>
      <c r="U38" s="1961"/>
      <c r="V38" s="1961"/>
      <c r="W38" s="1961"/>
      <c r="X38" s="1962"/>
      <c r="Y38" s="1962"/>
      <c r="Z38" s="1962"/>
      <c r="AA38" s="1963"/>
    </row>
    <row r="39" spans="1:27" ht="12" customHeight="1" x14ac:dyDescent="0.2">
      <c r="A39" s="2046" t="s">
        <v>530</v>
      </c>
      <c r="B39" s="2047"/>
      <c r="C39" s="72"/>
      <c r="D39" s="69"/>
      <c r="E39" s="69"/>
      <c r="F39" s="79"/>
      <c r="G39" s="69"/>
      <c r="H39" s="56"/>
      <c r="I39" s="2046" t="s">
        <v>530</v>
      </c>
      <c r="J39" s="2047"/>
      <c r="K39" s="2047"/>
      <c r="L39" s="2047"/>
      <c r="M39" s="2047"/>
      <c r="N39" s="67"/>
      <c r="O39" s="72"/>
      <c r="P39" s="72"/>
      <c r="Q39" s="78"/>
      <c r="R39" s="72"/>
      <c r="S39" s="56"/>
      <c r="T39" s="72" t="s">
        <v>530</v>
      </c>
      <c r="U39" s="51"/>
      <c r="V39" s="72"/>
      <c r="W39" s="50"/>
      <c r="X39" s="78"/>
      <c r="Y39" s="45"/>
      <c r="Z39" s="45"/>
      <c r="AA39" s="46"/>
    </row>
    <row r="40" spans="1:27" ht="13.5" customHeight="1" x14ac:dyDescent="0.2">
      <c r="A40" s="2049" t="s">
        <v>2081</v>
      </c>
      <c r="B40" s="2050"/>
      <c r="C40" s="2051"/>
      <c r="D40" s="2051"/>
      <c r="E40" s="2051"/>
      <c r="F40" s="2052"/>
      <c r="G40" s="2052"/>
      <c r="H40" s="2053"/>
      <c r="I40" s="1964"/>
      <c r="J40" s="1966"/>
      <c r="K40" s="1966"/>
      <c r="L40" s="1966"/>
      <c r="M40" s="1966"/>
      <c r="N40" s="1966"/>
      <c r="O40" s="1966"/>
      <c r="P40" s="1966"/>
      <c r="Q40" s="1966"/>
      <c r="R40" s="1966"/>
      <c r="S40" s="1967"/>
      <c r="T40" s="1964"/>
      <c r="U40" s="1965"/>
      <c r="V40" s="1966"/>
      <c r="W40" s="1966"/>
      <c r="X40" s="1966"/>
      <c r="Y40" s="1966"/>
      <c r="Z40" s="1966"/>
      <c r="AA40" s="1967"/>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39" t="s">
        <v>2083</v>
      </c>
      <c r="B42" s="2040"/>
      <c r="C42" s="2041"/>
      <c r="D42" s="2054" t="s">
        <v>2084</v>
      </c>
      <c r="E42" s="2040"/>
      <c r="F42" s="2040"/>
      <c r="G42" s="2040"/>
      <c r="H42" s="2041"/>
      <c r="I42" s="1959"/>
      <c r="J42" s="1955"/>
      <c r="K42" s="1955"/>
      <c r="L42" s="1955"/>
      <c r="M42" s="1955"/>
      <c r="N42" s="1955"/>
      <c r="O42" s="1956"/>
      <c r="P42" s="1954"/>
      <c r="Q42" s="1955"/>
      <c r="R42" s="1955"/>
      <c r="S42" s="1956"/>
      <c r="T42" s="1959"/>
      <c r="U42" s="1955"/>
      <c r="V42" s="1955"/>
      <c r="W42" s="1956"/>
      <c r="X42" s="1954"/>
      <c r="Y42" s="1955"/>
      <c r="Z42" s="1955"/>
      <c r="AA42" s="1956"/>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43"/>
      <c r="B44" s="2044"/>
      <c r="C44" s="2044"/>
      <c r="D44" s="2044"/>
      <c r="E44" s="2044"/>
      <c r="F44" s="2044"/>
      <c r="G44" s="2044"/>
      <c r="H44" s="2045"/>
      <c r="I44" s="2035"/>
      <c r="J44" s="2037"/>
      <c r="K44" s="2037"/>
      <c r="L44" s="2037"/>
      <c r="M44" s="2037"/>
      <c r="N44" s="2037"/>
      <c r="O44" s="2037"/>
      <c r="P44" s="2037"/>
      <c r="Q44" s="2037"/>
      <c r="R44" s="2037"/>
      <c r="S44" s="2038"/>
      <c r="T44" s="2035"/>
      <c r="U44" s="2036"/>
      <c r="V44" s="2036"/>
      <c r="W44" s="2036"/>
      <c r="X44" s="2036"/>
      <c r="Y44" s="2036"/>
      <c r="Z44" s="2037"/>
      <c r="AA44" s="2038"/>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1943</v>
      </c>
      <c r="D46" s="41"/>
      <c r="E46" s="41"/>
      <c r="F46" s="41"/>
      <c r="G46" s="41"/>
      <c r="Q46" s="29" t="s">
        <v>1419</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&amp;L&amp;8See Notes to Financial Statements.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C5" sqref="C5"/>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92" t="s">
        <v>1801</v>
      </c>
      <c r="B2" s="1525" t="s">
        <v>1950</v>
      </c>
      <c r="C2" s="714" t="s">
        <v>1951</v>
      </c>
      <c r="D2" s="714" t="s">
        <v>1952</v>
      </c>
      <c r="E2" s="714" t="s">
        <v>1953</v>
      </c>
      <c r="F2" s="714" t="s">
        <v>1954</v>
      </c>
    </row>
    <row r="3" spans="1:6" ht="12" customHeight="1" x14ac:dyDescent="0.2">
      <c r="A3" s="2193"/>
      <c r="B3" s="1522"/>
      <c r="C3" s="1523"/>
      <c r="D3" s="1524" t="s">
        <v>256</v>
      </c>
      <c r="E3" s="1523"/>
      <c r="F3" s="1524" t="s">
        <v>257</v>
      </c>
    </row>
    <row r="4" spans="1:6" ht="13.7" customHeight="1" x14ac:dyDescent="0.2">
      <c r="A4" s="715" t="s">
        <v>1154</v>
      </c>
      <c r="B4" s="1746">
        <f>'Revenues 9-14'!C5</f>
        <v>2545843</v>
      </c>
      <c r="C4" s="1521">
        <v>714881</v>
      </c>
      <c r="D4" s="1749">
        <f>B4-C4</f>
        <v>1830962</v>
      </c>
      <c r="E4" s="1521">
        <v>2596013</v>
      </c>
      <c r="F4" s="1749">
        <f>E4-C4</f>
        <v>1881132</v>
      </c>
    </row>
    <row r="5" spans="1:6" ht="13.7" customHeight="1" x14ac:dyDescent="0.2">
      <c r="A5" s="715" t="s">
        <v>869</v>
      </c>
      <c r="B5" s="1747">
        <f>'Revenues 9-14'!D5</f>
        <v>399034</v>
      </c>
      <c r="C5" s="585">
        <v>112051</v>
      </c>
      <c r="D5" s="1750">
        <f t="shared" ref="D5:D18" si="0">B5-C5</f>
        <v>286983</v>
      </c>
      <c r="E5" s="585">
        <v>406899</v>
      </c>
      <c r="F5" s="1750">
        <f>E5-C5</f>
        <v>294848</v>
      </c>
    </row>
    <row r="6" spans="1:6" ht="13.7" customHeight="1" x14ac:dyDescent="0.2">
      <c r="A6" s="715" t="s">
        <v>410</v>
      </c>
      <c r="B6" s="1747">
        <f>'Revenues 9-14'!E5</f>
        <v>1029904</v>
      </c>
      <c r="C6" s="585">
        <v>283801</v>
      </c>
      <c r="D6" s="1750">
        <f t="shared" si="0"/>
        <v>746103</v>
      </c>
      <c r="E6" s="585">
        <v>1030593</v>
      </c>
      <c r="F6" s="1750">
        <f t="shared" ref="F6:F18" si="1">E6-C6</f>
        <v>746792</v>
      </c>
    </row>
    <row r="7" spans="1:6" ht="13.7" customHeight="1" x14ac:dyDescent="0.2">
      <c r="A7" s="715" t="s">
        <v>155</v>
      </c>
      <c r="B7" s="1747">
        <f>'Revenues 9-14'!F5</f>
        <v>159615</v>
      </c>
      <c r="C7" s="585">
        <v>44820</v>
      </c>
      <c r="D7" s="1750">
        <f t="shared" si="0"/>
        <v>114795</v>
      </c>
      <c r="E7" s="585">
        <v>162759</v>
      </c>
      <c r="F7" s="1750">
        <f t="shared" si="1"/>
        <v>117939</v>
      </c>
    </row>
    <row r="8" spans="1:6" ht="13.7" customHeight="1" x14ac:dyDescent="0.2">
      <c r="A8" s="715" t="s">
        <v>1178</v>
      </c>
      <c r="B8" s="1747">
        <f>'Revenues 9-14'!G5</f>
        <v>156352</v>
      </c>
      <c r="C8" s="585">
        <v>43969</v>
      </c>
      <c r="D8" s="1750">
        <f t="shared" si="0"/>
        <v>112383</v>
      </c>
      <c r="E8" s="585">
        <v>159667</v>
      </c>
      <c r="F8" s="1750">
        <f t="shared" si="1"/>
        <v>115698</v>
      </c>
    </row>
    <row r="9" spans="1:6" ht="13.7" customHeight="1" x14ac:dyDescent="0.2">
      <c r="A9" s="715" t="s">
        <v>407</v>
      </c>
      <c r="B9" s="1747">
        <f>'Revenues 9-14'!H5</f>
        <v>0</v>
      </c>
      <c r="C9" s="585"/>
      <c r="D9" s="1750">
        <f t="shared" si="0"/>
        <v>0</v>
      </c>
      <c r="E9" s="585"/>
      <c r="F9" s="1750">
        <f t="shared" si="1"/>
        <v>0</v>
      </c>
    </row>
    <row r="10" spans="1:6" ht="13.7" customHeight="1" x14ac:dyDescent="0.2">
      <c r="A10" s="715" t="s">
        <v>406</v>
      </c>
      <c r="B10" s="1747">
        <f>'Revenues 9-14'!I5</f>
        <v>39901</v>
      </c>
      <c r="C10" s="585">
        <v>11205</v>
      </c>
      <c r="D10" s="1750">
        <f t="shared" si="0"/>
        <v>28696</v>
      </c>
      <c r="E10" s="585">
        <v>40690</v>
      </c>
      <c r="F10" s="1750">
        <f t="shared" si="1"/>
        <v>29485</v>
      </c>
    </row>
    <row r="11" spans="1:6" x14ac:dyDescent="0.2">
      <c r="A11" s="715" t="s">
        <v>408</v>
      </c>
      <c r="B11" s="1747">
        <f>'Revenues 9-14'!J5</f>
        <v>532397</v>
      </c>
      <c r="C11" s="585">
        <v>149676</v>
      </c>
      <c r="D11" s="1750">
        <f t="shared" si="0"/>
        <v>382721</v>
      </c>
      <c r="E11" s="585">
        <v>543535</v>
      </c>
      <c r="F11" s="1750">
        <f t="shared" si="1"/>
        <v>393859</v>
      </c>
    </row>
    <row r="12" spans="1:6" ht="13.7" customHeight="1" x14ac:dyDescent="0.2">
      <c r="A12" s="715" t="s">
        <v>157</v>
      </c>
      <c r="B12" s="1747">
        <f>'Revenues 9-14'!K5</f>
        <v>39901</v>
      </c>
      <c r="C12" s="585">
        <v>11205</v>
      </c>
      <c r="D12" s="1750">
        <f t="shared" si="0"/>
        <v>28696</v>
      </c>
      <c r="E12" s="585">
        <v>40690</v>
      </c>
      <c r="F12" s="1750">
        <f t="shared" si="1"/>
        <v>29485</v>
      </c>
    </row>
    <row r="13" spans="1:6" ht="13.7" customHeight="1" x14ac:dyDescent="0.2">
      <c r="A13" s="715" t="s">
        <v>935</v>
      </c>
      <c r="B13" s="1747">
        <f>SUM('Revenues 9-14'!C6:D6)</f>
        <v>23646</v>
      </c>
      <c r="C13" s="585">
        <v>6656</v>
      </c>
      <c r="D13" s="1750">
        <f t="shared" si="0"/>
        <v>16990</v>
      </c>
      <c r="E13" s="585">
        <v>24170</v>
      </c>
      <c r="F13" s="1750">
        <f t="shared" si="1"/>
        <v>17514</v>
      </c>
    </row>
    <row r="14" spans="1:6" ht="13.7" customHeight="1" x14ac:dyDescent="0.2">
      <c r="A14" s="715" t="s">
        <v>409</v>
      </c>
      <c r="B14" s="1747">
        <f>SUM('Revenues 9-14'!C7:D7,'Revenues 9-14'!F7:H7)</f>
        <v>31925</v>
      </c>
      <c r="C14" s="585">
        <v>8964</v>
      </c>
      <c r="D14" s="1750">
        <f t="shared" si="0"/>
        <v>22961</v>
      </c>
      <c r="E14" s="585">
        <v>32552</v>
      </c>
      <c r="F14" s="1750">
        <f t="shared" si="1"/>
        <v>23588</v>
      </c>
    </row>
    <row r="15" spans="1:6" ht="13.7" customHeight="1" x14ac:dyDescent="0.2">
      <c r="A15" s="715" t="s">
        <v>1157</v>
      </c>
      <c r="B15" s="1747">
        <f>SUM('Revenues 9-14'!D9:E9,'Revenues 9-14'!H9)</f>
        <v>0</v>
      </c>
      <c r="C15" s="585"/>
      <c r="D15" s="1750">
        <f t="shared" si="0"/>
        <v>0</v>
      </c>
      <c r="E15" s="585"/>
      <c r="F15" s="1750">
        <f t="shared" si="1"/>
        <v>0</v>
      </c>
    </row>
    <row r="16" spans="1:6" ht="13.7" customHeight="1" x14ac:dyDescent="0.2">
      <c r="A16" s="715" t="s">
        <v>1158</v>
      </c>
      <c r="B16" s="1747">
        <f>'Revenues 9-14'!G8</f>
        <v>193622</v>
      </c>
      <c r="C16" s="585">
        <v>54434</v>
      </c>
      <c r="D16" s="1750">
        <f t="shared" si="0"/>
        <v>139188</v>
      </c>
      <c r="E16" s="585">
        <v>197671</v>
      </c>
      <c r="F16" s="1750">
        <f t="shared" si="1"/>
        <v>143237</v>
      </c>
    </row>
    <row r="17" spans="1:6" ht="13.7" customHeight="1" x14ac:dyDescent="0.2">
      <c r="A17" s="715" t="s">
        <v>1159</v>
      </c>
      <c r="B17" s="1747">
        <f>'Revenues 9-14'!C10</f>
        <v>0</v>
      </c>
      <c r="C17" s="585"/>
      <c r="D17" s="1750">
        <f t="shared" si="0"/>
        <v>0</v>
      </c>
      <c r="E17" s="585"/>
      <c r="F17" s="1750">
        <f t="shared" si="1"/>
        <v>0</v>
      </c>
    </row>
    <row r="18" spans="1:6" ht="13.7" customHeight="1" x14ac:dyDescent="0.2">
      <c r="A18" s="715" t="s">
        <v>761</v>
      </c>
      <c r="B18" s="1747">
        <f>SUM('Revenues 9-14'!C11:K11)</f>
        <v>0</v>
      </c>
      <c r="C18" s="585"/>
      <c r="D18" s="1750">
        <f t="shared" si="0"/>
        <v>0</v>
      </c>
      <c r="E18" s="585"/>
      <c r="F18" s="1750">
        <f t="shared" si="1"/>
        <v>0</v>
      </c>
    </row>
    <row r="19" spans="1:6" ht="13.7" customHeight="1" thickBot="1" x14ac:dyDescent="0.25">
      <c r="A19" s="1751" t="s">
        <v>1160</v>
      </c>
      <c r="B19" s="1748">
        <f>SUM(B4:B18)</f>
        <v>5152140</v>
      </c>
      <c r="C19" s="1748">
        <f>SUM(C4:C18)</f>
        <v>1441662</v>
      </c>
      <c r="D19" s="1748">
        <f>SUM(D4:D18)</f>
        <v>3710478</v>
      </c>
      <c r="E19" s="1748">
        <f>SUM(E4:E18)</f>
        <v>5235239</v>
      </c>
      <c r="F19" s="1748">
        <f>SUM(F4:F18)</f>
        <v>3793577</v>
      </c>
    </row>
    <row r="20" spans="1:6" ht="13.5" thickTop="1" x14ac:dyDescent="0.2">
      <c r="B20" s="713"/>
      <c r="F20" s="716"/>
    </row>
    <row r="21" spans="1:6" x14ac:dyDescent="0.2">
      <c r="A21" s="717" t="s">
        <v>1807</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&amp;L&amp;8See Notes to Financial Statements.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activeCell="J42" sqref="J4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8" t="s">
        <v>628</v>
      </c>
      <c r="B1" s="2199"/>
      <c r="C1" s="721"/>
    </row>
    <row r="2" spans="1:7" ht="33.75" x14ac:dyDescent="0.2">
      <c r="A2" s="2207" t="s">
        <v>1801</v>
      </c>
      <c r="B2" s="2208"/>
      <c r="C2" s="1881" t="s">
        <v>1955</v>
      </c>
      <c r="D2" s="723" t="s">
        <v>1956</v>
      </c>
      <c r="E2" s="723" t="s">
        <v>1957</v>
      </c>
      <c r="F2" s="1881" t="s">
        <v>1958</v>
      </c>
    </row>
    <row r="3" spans="1:7" ht="15.75" customHeight="1" x14ac:dyDescent="0.2">
      <c r="A3" s="2211" t="s">
        <v>1113</v>
      </c>
      <c r="B3" s="2212"/>
      <c r="C3" s="2200"/>
      <c r="D3" s="2201"/>
      <c r="E3" s="2201"/>
      <c r="F3" s="2202"/>
    </row>
    <row r="4" spans="1:7" ht="12.75" customHeight="1" thickBot="1" x14ac:dyDescent="0.25">
      <c r="A4" s="2209" t="s">
        <v>629</v>
      </c>
      <c r="B4" s="2210"/>
      <c r="C4" s="581"/>
      <c r="D4" s="581"/>
      <c r="E4" s="581"/>
      <c r="F4" s="1752">
        <f>SUM(C4+D4)-E4</f>
        <v>0</v>
      </c>
    </row>
    <row r="5" spans="1:7" ht="15.75" customHeight="1" thickTop="1" x14ac:dyDescent="0.2">
      <c r="A5" s="2194" t="s">
        <v>1109</v>
      </c>
      <c r="B5" s="2195"/>
      <c r="C5" s="2203"/>
      <c r="D5" s="2204"/>
      <c r="E5" s="2204"/>
      <c r="F5" s="2205"/>
    </row>
    <row r="6" spans="1:7" ht="12.75" customHeight="1" thickBot="1" x14ac:dyDescent="0.25">
      <c r="A6" s="724" t="s">
        <v>64</v>
      </c>
      <c r="B6" s="725"/>
      <c r="C6" s="726"/>
      <c r="D6" s="585"/>
      <c r="E6" s="726"/>
      <c r="F6" s="1752">
        <f t="shared" ref="F6:F14" si="0">SUM(C6+D6)-E6</f>
        <v>0</v>
      </c>
    </row>
    <row r="7" spans="1:7" ht="12.75" customHeight="1" thickTop="1" thickBot="1" x14ac:dyDescent="0.25">
      <c r="A7" s="724" t="s">
        <v>6</v>
      </c>
      <c r="B7" s="725"/>
      <c r="C7" s="726"/>
      <c r="D7" s="585"/>
      <c r="E7" s="726"/>
      <c r="F7" s="1752">
        <f t="shared" si="0"/>
        <v>0</v>
      </c>
    </row>
    <row r="8" spans="1:7" ht="12.75" customHeight="1" thickTop="1" thickBot="1" x14ac:dyDescent="0.25">
      <c r="A8" s="724" t="s">
        <v>507</v>
      </c>
      <c r="B8" s="725"/>
      <c r="C8" s="726"/>
      <c r="D8" s="585"/>
      <c r="E8" s="726"/>
      <c r="F8" s="1752">
        <f t="shared" si="0"/>
        <v>0</v>
      </c>
    </row>
    <row r="9" spans="1:7" ht="12.75" customHeight="1" thickTop="1" thickBot="1" x14ac:dyDescent="0.25">
      <c r="A9" s="724" t="s">
        <v>508</v>
      </c>
      <c r="B9" s="725"/>
      <c r="C9" s="726"/>
      <c r="D9" s="585"/>
      <c r="E9" s="726"/>
      <c r="F9" s="1752">
        <f t="shared" si="0"/>
        <v>0</v>
      </c>
    </row>
    <row r="10" spans="1:7" ht="12.75" customHeight="1" thickTop="1" thickBot="1" x14ac:dyDescent="0.25">
      <c r="A10" s="724" t="s">
        <v>509</v>
      </c>
      <c r="B10" s="725"/>
      <c r="C10" s="726"/>
      <c r="D10" s="585"/>
      <c r="E10" s="726"/>
      <c r="F10" s="1752">
        <f t="shared" si="0"/>
        <v>0</v>
      </c>
    </row>
    <row r="11" spans="1:7" ht="12.75" customHeight="1" thickTop="1" thickBot="1" x14ac:dyDescent="0.25">
      <c r="A11" s="724" t="s">
        <v>340</v>
      </c>
      <c r="B11" s="725"/>
      <c r="C11" s="726"/>
      <c r="D11" s="585"/>
      <c r="E11" s="726"/>
      <c r="F11" s="1752">
        <f t="shared" si="0"/>
        <v>0</v>
      </c>
    </row>
    <row r="12" spans="1:7" ht="12.75" customHeight="1" thickTop="1" thickBot="1" x14ac:dyDescent="0.25">
      <c r="A12" s="724" t="s">
        <v>1156</v>
      </c>
      <c r="B12" s="725"/>
      <c r="C12" s="726"/>
      <c r="D12" s="585"/>
      <c r="E12" s="726"/>
      <c r="F12" s="1752">
        <f t="shared" si="0"/>
        <v>0</v>
      </c>
    </row>
    <row r="13" spans="1:7" ht="12.75" customHeight="1" thickTop="1" thickBot="1" x14ac:dyDescent="0.25">
      <c r="A13" s="724" t="s">
        <v>387</v>
      </c>
      <c r="B13" s="725"/>
      <c r="C13" s="726"/>
      <c r="D13" s="585"/>
      <c r="E13" s="726"/>
      <c r="F13" s="1752">
        <f t="shared" si="0"/>
        <v>0</v>
      </c>
    </row>
    <row r="14" spans="1:7" ht="12.75" customHeight="1" thickTop="1" thickBot="1" x14ac:dyDescent="0.25">
      <c r="A14" s="724" t="s">
        <v>447</v>
      </c>
      <c r="B14" s="725"/>
      <c r="C14" s="726"/>
      <c r="D14" s="585"/>
      <c r="E14" s="726"/>
      <c r="F14" s="1752">
        <f t="shared" si="0"/>
        <v>0</v>
      </c>
    </row>
    <row r="15" spans="1:7" ht="14.25" thickTop="1" thickBot="1" x14ac:dyDescent="0.25">
      <c r="A15" s="2196" t="s">
        <v>630</v>
      </c>
      <c r="B15" s="2197"/>
      <c r="C15" s="1752">
        <f>SUM(C6:C14)</f>
        <v>0</v>
      </c>
      <c r="D15" s="1752">
        <f>SUM(D6:D14)</f>
        <v>0</v>
      </c>
      <c r="E15" s="1752">
        <f>SUM(E6:E14)</f>
        <v>0</v>
      </c>
      <c r="F15" s="1752">
        <f>SUM(F6:F14)</f>
        <v>0</v>
      </c>
      <c r="G15" s="552"/>
    </row>
    <row r="16" spans="1:7" s="202" customFormat="1" ht="15.75" customHeight="1" thickTop="1" x14ac:dyDescent="0.2">
      <c r="A16" s="2206" t="s">
        <v>1110</v>
      </c>
      <c r="B16" s="2195"/>
      <c r="C16" s="2203"/>
      <c r="D16" s="2204"/>
      <c r="E16" s="2204"/>
      <c r="F16" s="2205"/>
    </row>
    <row r="17" spans="1:11" ht="12.75" customHeight="1" thickBot="1" x14ac:dyDescent="0.25">
      <c r="A17" s="2219" t="s">
        <v>64</v>
      </c>
      <c r="B17" s="2220"/>
      <c r="C17" s="726">
        <v>520000</v>
      </c>
      <c r="D17" s="585">
        <v>400000</v>
      </c>
      <c r="E17" s="726">
        <v>520000</v>
      </c>
      <c r="F17" s="1752">
        <f>SUM(C17+D17)-E17</f>
        <v>400000</v>
      </c>
    </row>
    <row r="18" spans="1:11" ht="12.75" customHeight="1" thickTop="1" thickBot="1" x14ac:dyDescent="0.25">
      <c r="A18" s="2219" t="s">
        <v>6</v>
      </c>
      <c r="B18" s="2220"/>
      <c r="C18" s="726">
        <v>80000</v>
      </c>
      <c r="D18" s="585">
        <v>100000</v>
      </c>
      <c r="E18" s="726">
        <v>80000</v>
      </c>
      <c r="F18" s="1752">
        <f>SUM(C18+D18)-E18</f>
        <v>100000</v>
      </c>
    </row>
    <row r="19" spans="1:11" ht="12.75" customHeight="1" thickTop="1" thickBot="1" x14ac:dyDescent="0.25">
      <c r="A19" s="2219" t="s">
        <v>387</v>
      </c>
      <c r="B19" s="2220"/>
      <c r="C19" s="726"/>
      <c r="D19" s="585"/>
      <c r="E19" s="726"/>
      <c r="F19" s="1752">
        <f>SUM(C19+D19)-E19</f>
        <v>0</v>
      </c>
    </row>
    <row r="20" spans="1:11" ht="12.75" customHeight="1" thickTop="1" thickBot="1" x14ac:dyDescent="0.25">
      <c r="A20" s="2219" t="s">
        <v>447</v>
      </c>
      <c r="B20" s="2220"/>
      <c r="C20" s="726"/>
      <c r="D20" s="585"/>
      <c r="E20" s="726"/>
      <c r="F20" s="1752">
        <f>SUM(C20+D20)-E20</f>
        <v>0</v>
      </c>
    </row>
    <row r="21" spans="1:11" ht="14.25" thickTop="1" thickBot="1" x14ac:dyDescent="0.25">
      <c r="A21" s="2196" t="s">
        <v>631</v>
      </c>
      <c r="B21" s="2197"/>
      <c r="C21" s="1752">
        <f>SUM(C17:C20)</f>
        <v>600000</v>
      </c>
      <c r="D21" s="1752">
        <f>SUM(D17:D20)</f>
        <v>500000</v>
      </c>
      <c r="E21" s="1752">
        <f>SUM(E17:E20)</f>
        <v>600000</v>
      </c>
      <c r="F21" s="1752">
        <f>SUM(F17:F20)</f>
        <v>500000</v>
      </c>
      <c r="G21" s="552"/>
    </row>
    <row r="22" spans="1:11" ht="15.75" customHeight="1" thickTop="1" x14ac:dyDescent="0.2">
      <c r="A22" s="2221" t="s">
        <v>1111</v>
      </c>
      <c r="B22" s="2195"/>
      <c r="C22" s="2203"/>
      <c r="D22" s="2204"/>
      <c r="E22" s="2204"/>
      <c r="F22" s="2205"/>
    </row>
    <row r="23" spans="1:11" ht="13.5" thickBot="1" x14ac:dyDescent="0.25">
      <c r="A23" s="2209" t="s">
        <v>632</v>
      </c>
      <c r="B23" s="2210"/>
      <c r="C23" s="581"/>
      <c r="D23" s="581"/>
      <c r="E23" s="581"/>
      <c r="F23" s="1752">
        <f>SUM(C23+D23)-E23</f>
        <v>0</v>
      </c>
      <c r="G23" s="552"/>
    </row>
    <row r="24" spans="1:11" ht="15.75" customHeight="1" thickTop="1" x14ac:dyDescent="0.2">
      <c r="A24" s="2221" t="s">
        <v>1112</v>
      </c>
      <c r="B24" s="2195"/>
      <c r="C24" s="2203"/>
      <c r="D24" s="2204"/>
      <c r="E24" s="2204"/>
      <c r="F24" s="2205"/>
    </row>
    <row r="25" spans="1:11" ht="13.5" thickBot="1" x14ac:dyDescent="0.25">
      <c r="A25" s="2209" t="s">
        <v>633</v>
      </c>
      <c r="B25" s="2210"/>
      <c r="C25" s="581"/>
      <c r="D25" s="581"/>
      <c r="E25" s="581"/>
      <c r="F25" s="1752">
        <f>SUM(C25+D25)-E25</f>
        <v>0</v>
      </c>
      <c r="G25" s="552"/>
    </row>
    <row r="26" spans="1:11" ht="15.75" customHeight="1" thickTop="1" x14ac:dyDescent="0.2">
      <c r="A26" s="2194" t="s">
        <v>656</v>
      </c>
      <c r="B26" s="2195"/>
      <c r="C26" s="727"/>
      <c r="D26" s="727"/>
      <c r="E26" s="727"/>
      <c r="F26" s="728"/>
    </row>
    <row r="27" spans="1:11" ht="13.5" thickBot="1" x14ac:dyDescent="0.25">
      <c r="A27" s="2196" t="s">
        <v>1069</v>
      </c>
      <c r="B27" s="2197"/>
      <c r="C27" s="585"/>
      <c r="D27" s="585"/>
      <c r="E27" s="585"/>
      <c r="F27" s="1752">
        <f>SUM(C27+D27)-E27</f>
        <v>0</v>
      </c>
      <c r="G27" s="552"/>
    </row>
    <row r="28" spans="1:11" ht="7.5" customHeight="1" thickTop="1" x14ac:dyDescent="0.2">
      <c r="A28" s="593"/>
    </row>
    <row r="29" spans="1:11" ht="23.25" customHeight="1" x14ac:dyDescent="0.2">
      <c r="A29" s="2222" t="s">
        <v>581</v>
      </c>
      <c r="B29" s="2199"/>
      <c r="C29" s="729"/>
      <c r="D29" s="729"/>
      <c r="E29" s="729"/>
      <c r="F29" s="729"/>
      <c r="G29" s="729"/>
      <c r="H29" s="729"/>
      <c r="I29" s="729"/>
      <c r="J29" s="729"/>
    </row>
    <row r="30" spans="1:11" ht="33.75" x14ac:dyDescent="0.2">
      <c r="A30" s="1526" t="s">
        <v>1070</v>
      </c>
      <c r="B30" s="730" t="s">
        <v>1123</v>
      </c>
      <c r="C30" s="1882" t="s">
        <v>582</v>
      </c>
      <c r="D30" s="1882" t="s">
        <v>1672</v>
      </c>
      <c r="E30" s="1882" t="s">
        <v>1959</v>
      </c>
      <c r="F30" s="1882" t="s">
        <v>1960</v>
      </c>
      <c r="G30" s="1882" t="s">
        <v>1910</v>
      </c>
      <c r="H30" s="1882" t="s">
        <v>1961</v>
      </c>
      <c r="I30" s="1882" t="s">
        <v>1962</v>
      </c>
      <c r="J30" s="1883" t="s">
        <v>2</v>
      </c>
      <c r="K30" s="731"/>
    </row>
    <row r="31" spans="1:11" ht="12" customHeight="1" x14ac:dyDescent="0.2">
      <c r="A31" s="732" t="s">
        <v>2087</v>
      </c>
      <c r="B31" s="733">
        <v>39904</v>
      </c>
      <c r="C31" s="734">
        <v>2285000</v>
      </c>
      <c r="D31" s="735">
        <v>4</v>
      </c>
      <c r="E31" s="734">
        <v>585000</v>
      </c>
      <c r="F31" s="734"/>
      <c r="G31" s="734"/>
      <c r="H31" s="734">
        <v>285000</v>
      </c>
      <c r="I31" s="1753">
        <f>((E31+F31)-H31)+G31</f>
        <v>300000</v>
      </c>
      <c r="J31" s="734">
        <v>285828</v>
      </c>
      <c r="K31" s="736"/>
    </row>
    <row r="32" spans="1:11" ht="12" customHeight="1" x14ac:dyDescent="0.2">
      <c r="A32" s="732" t="s">
        <v>2088</v>
      </c>
      <c r="B32" s="733">
        <v>41100</v>
      </c>
      <c r="C32" s="734">
        <v>1905000</v>
      </c>
      <c r="D32" s="735">
        <v>4</v>
      </c>
      <c r="E32" s="734">
        <v>1905000</v>
      </c>
      <c r="F32" s="734"/>
      <c r="G32" s="734"/>
      <c r="H32" s="734"/>
      <c r="I32" s="1753">
        <f>((E32+F32)-H32)+G32</f>
        <v>1905000</v>
      </c>
      <c r="J32" s="734">
        <v>1815011</v>
      </c>
      <c r="K32" s="736"/>
    </row>
    <row r="33" spans="1:11" ht="12" customHeight="1" x14ac:dyDescent="0.2">
      <c r="A33" s="732" t="s">
        <v>2088</v>
      </c>
      <c r="B33" s="733">
        <v>41709</v>
      </c>
      <c r="C33" s="734">
        <v>7500000</v>
      </c>
      <c r="D33" s="735">
        <v>6</v>
      </c>
      <c r="E33" s="734">
        <v>7255000</v>
      </c>
      <c r="F33" s="734"/>
      <c r="G33" s="734"/>
      <c r="H33" s="734">
        <v>100000</v>
      </c>
      <c r="I33" s="1753">
        <f t="shared" ref="I33:I48" si="1">((E33+F33)-H33)+G33</f>
        <v>7155000</v>
      </c>
      <c r="J33" s="734">
        <v>6817008</v>
      </c>
      <c r="K33" s="736"/>
    </row>
    <row r="34" spans="1:11" ht="12" customHeight="1" x14ac:dyDescent="0.2">
      <c r="A34" s="732" t="s">
        <v>2088</v>
      </c>
      <c r="B34" s="733">
        <v>42179</v>
      </c>
      <c r="C34" s="734">
        <v>1570000</v>
      </c>
      <c r="D34" s="735">
        <v>1</v>
      </c>
      <c r="E34" s="734">
        <v>1260000</v>
      </c>
      <c r="F34" s="734"/>
      <c r="G34" s="734"/>
      <c r="H34" s="734">
        <v>155000</v>
      </c>
      <c r="I34" s="1753">
        <f t="shared" si="1"/>
        <v>1105000</v>
      </c>
      <c r="J34" s="734">
        <v>1052801</v>
      </c>
      <c r="K34" s="737"/>
    </row>
    <row r="35" spans="1:11" ht="12" customHeight="1" x14ac:dyDescent="0.2">
      <c r="A35" s="732"/>
      <c r="B35" s="733"/>
      <c r="C35" s="738"/>
      <c r="D35" s="735"/>
      <c r="E35" s="738"/>
      <c r="F35" s="738"/>
      <c r="G35" s="738"/>
      <c r="H35" s="738"/>
      <c r="I35" s="1753">
        <f t="shared" si="1"/>
        <v>0</v>
      </c>
      <c r="J35" s="738"/>
      <c r="K35" s="737"/>
    </row>
    <row r="36" spans="1:11" ht="12" customHeight="1" x14ac:dyDescent="0.2">
      <c r="A36" s="732"/>
      <c r="B36" s="733"/>
      <c r="C36" s="734"/>
      <c r="D36" s="735"/>
      <c r="E36" s="734"/>
      <c r="F36" s="734"/>
      <c r="G36" s="734"/>
      <c r="H36" s="734"/>
      <c r="I36" s="1753">
        <f t="shared" si="1"/>
        <v>0</v>
      </c>
      <c r="J36" s="734"/>
      <c r="K36" s="739"/>
    </row>
    <row r="37" spans="1:11" ht="12" customHeight="1" x14ac:dyDescent="0.2">
      <c r="A37" s="732" t="s">
        <v>2089</v>
      </c>
      <c r="B37" s="733">
        <v>42312</v>
      </c>
      <c r="C37" s="467">
        <v>112928</v>
      </c>
      <c r="D37" s="740">
        <v>7</v>
      </c>
      <c r="E37" s="467">
        <v>45956</v>
      </c>
      <c r="F37" s="467"/>
      <c r="G37" s="467">
        <v>-22555</v>
      </c>
      <c r="H37" s="467"/>
      <c r="I37" s="1753">
        <f t="shared" si="1"/>
        <v>23401</v>
      </c>
      <c r="J37" s="467">
        <v>22296</v>
      </c>
      <c r="K37" s="737"/>
    </row>
    <row r="38" spans="1:11" ht="12" customHeight="1" x14ac:dyDescent="0.2">
      <c r="A38" s="732" t="s">
        <v>2089</v>
      </c>
      <c r="B38" s="733">
        <v>42712</v>
      </c>
      <c r="C38" s="734">
        <v>197020</v>
      </c>
      <c r="D38" s="741">
        <v>7</v>
      </c>
      <c r="E38" s="742">
        <v>118145</v>
      </c>
      <c r="F38" s="742"/>
      <c r="G38" s="742">
        <v>-38242</v>
      </c>
      <c r="H38" s="742"/>
      <c r="I38" s="1753">
        <f t="shared" si="1"/>
        <v>79903</v>
      </c>
      <c r="J38" s="743">
        <v>76129</v>
      </c>
      <c r="K38" s="744"/>
    </row>
    <row r="39" spans="1:11" ht="12" customHeight="1" x14ac:dyDescent="0.2">
      <c r="A39" s="732" t="s">
        <v>2090</v>
      </c>
      <c r="B39" s="733">
        <v>43430</v>
      </c>
      <c r="C39" s="734">
        <v>74784</v>
      </c>
      <c r="D39" s="741">
        <v>7</v>
      </c>
      <c r="E39" s="742"/>
      <c r="F39" s="742">
        <v>74784</v>
      </c>
      <c r="G39" s="742">
        <v>-16212</v>
      </c>
      <c r="H39" s="742"/>
      <c r="I39" s="1753">
        <f t="shared" si="1"/>
        <v>58572</v>
      </c>
      <c r="J39" s="743">
        <v>55805</v>
      </c>
      <c r="K39" s="744"/>
    </row>
    <row r="40" spans="1:11" ht="12" customHeight="1" x14ac:dyDescent="0.2">
      <c r="A40" s="732" t="s">
        <v>2090</v>
      </c>
      <c r="B40" s="733">
        <v>43430</v>
      </c>
      <c r="C40" s="734">
        <v>78092</v>
      </c>
      <c r="D40" s="741">
        <v>7</v>
      </c>
      <c r="E40" s="742"/>
      <c r="F40" s="742">
        <v>78092</v>
      </c>
      <c r="G40" s="742">
        <v>-16930</v>
      </c>
      <c r="H40" s="742"/>
      <c r="I40" s="1753">
        <f t="shared" si="1"/>
        <v>61162</v>
      </c>
      <c r="J40" s="743">
        <v>58273</v>
      </c>
      <c r="K40" s="744"/>
    </row>
    <row r="41" spans="1:11" ht="12" customHeight="1" x14ac:dyDescent="0.2">
      <c r="A41" s="732" t="s">
        <v>2090</v>
      </c>
      <c r="B41" s="733">
        <v>43479</v>
      </c>
      <c r="C41" s="734">
        <v>77892</v>
      </c>
      <c r="D41" s="741">
        <v>7</v>
      </c>
      <c r="E41" s="742"/>
      <c r="F41" s="742">
        <v>77892</v>
      </c>
      <c r="G41" s="742">
        <v>-16886</v>
      </c>
      <c r="H41" s="742"/>
      <c r="I41" s="1753">
        <f t="shared" si="1"/>
        <v>61006</v>
      </c>
      <c r="J41" s="743">
        <v>58124</v>
      </c>
      <c r="K41" s="744"/>
    </row>
    <row r="42" spans="1:11" ht="12" customHeight="1" x14ac:dyDescent="0.2">
      <c r="A42" s="732"/>
      <c r="B42" s="733"/>
      <c r="C42" s="734"/>
      <c r="D42" s="741"/>
      <c r="E42" s="742"/>
      <c r="F42" s="742"/>
      <c r="G42" s="742"/>
      <c r="H42" s="742"/>
      <c r="I42" s="1753">
        <f t="shared" si="1"/>
        <v>0</v>
      </c>
      <c r="J42" s="743"/>
      <c r="K42" s="744"/>
    </row>
    <row r="43" spans="1:11" ht="12" customHeight="1" x14ac:dyDescent="0.2">
      <c r="A43" s="732"/>
      <c r="B43" s="733"/>
      <c r="C43" s="734"/>
      <c r="D43" s="741"/>
      <c r="E43" s="742"/>
      <c r="F43" s="742"/>
      <c r="G43" s="742"/>
      <c r="H43" s="742"/>
      <c r="I43" s="1753">
        <f t="shared" si="1"/>
        <v>0</v>
      </c>
      <c r="J43" s="743"/>
      <c r="K43" s="744"/>
    </row>
    <row r="44" spans="1:11" ht="12" customHeight="1" x14ac:dyDescent="0.2">
      <c r="A44" s="732"/>
      <c r="B44" s="733"/>
      <c r="C44" s="734"/>
      <c r="D44" s="735"/>
      <c r="E44" s="734"/>
      <c r="F44" s="734"/>
      <c r="G44" s="734"/>
      <c r="H44" s="734"/>
      <c r="I44" s="1753">
        <f t="shared" si="1"/>
        <v>0</v>
      </c>
      <c r="J44" s="734"/>
      <c r="K44" s="737"/>
    </row>
    <row r="45" spans="1:11" ht="12" customHeight="1" x14ac:dyDescent="0.2">
      <c r="A45" s="732"/>
      <c r="B45" s="733"/>
      <c r="C45" s="734"/>
      <c r="D45" s="735"/>
      <c r="E45" s="734"/>
      <c r="F45" s="734"/>
      <c r="G45" s="734"/>
      <c r="H45" s="734"/>
      <c r="I45" s="1753">
        <f t="shared" si="1"/>
        <v>0</v>
      </c>
      <c r="J45" s="734"/>
      <c r="K45" s="737"/>
    </row>
    <row r="46" spans="1:11" ht="12" customHeight="1" x14ac:dyDescent="0.2">
      <c r="A46" s="732"/>
      <c r="B46" s="733"/>
      <c r="C46" s="734"/>
      <c r="D46" s="735"/>
      <c r="E46" s="734"/>
      <c r="F46" s="734"/>
      <c r="G46" s="734"/>
      <c r="H46" s="734"/>
      <c r="I46" s="1753">
        <f t="shared" si="1"/>
        <v>0</v>
      </c>
      <c r="J46" s="734"/>
      <c r="K46" s="737"/>
    </row>
    <row r="47" spans="1:11" ht="12" customHeight="1" x14ac:dyDescent="0.2">
      <c r="A47" s="732"/>
      <c r="B47" s="733"/>
      <c r="C47" s="738"/>
      <c r="D47" s="735"/>
      <c r="E47" s="738"/>
      <c r="F47" s="738"/>
      <c r="G47" s="738"/>
      <c r="H47" s="738"/>
      <c r="I47" s="1753">
        <f t="shared" si="1"/>
        <v>0</v>
      </c>
      <c r="J47" s="738"/>
      <c r="K47" s="737"/>
    </row>
    <row r="48" spans="1:11" ht="12" customHeight="1" x14ac:dyDescent="0.2">
      <c r="A48" s="732"/>
      <c r="B48" s="733"/>
      <c r="C48" s="734"/>
      <c r="D48" s="735"/>
      <c r="E48" s="734"/>
      <c r="F48" s="734"/>
      <c r="G48" s="734"/>
      <c r="H48" s="734"/>
      <c r="I48" s="1753">
        <f t="shared" si="1"/>
        <v>0</v>
      </c>
      <c r="J48" s="734"/>
      <c r="K48" s="737"/>
    </row>
    <row r="49" spans="1:11" ht="12" customHeight="1" x14ac:dyDescent="0.2">
      <c r="A49" s="732"/>
      <c r="B49" s="733"/>
      <c r="C49" s="1753">
        <f>SUM(C31:C48)</f>
        <v>13800716</v>
      </c>
      <c r="D49" s="745"/>
      <c r="E49" s="1753">
        <f t="shared" ref="E49:J49" si="2">SUM(E31:E48)</f>
        <v>11169101</v>
      </c>
      <c r="F49" s="1753">
        <f t="shared" si="2"/>
        <v>230768</v>
      </c>
      <c r="G49" s="1753">
        <f t="shared" si="2"/>
        <v>-110825</v>
      </c>
      <c r="H49" s="1753">
        <f t="shared" si="2"/>
        <v>540000</v>
      </c>
      <c r="I49" s="1753">
        <f t="shared" si="2"/>
        <v>10749044</v>
      </c>
      <c r="J49" s="1753">
        <f t="shared" si="2"/>
        <v>10241275</v>
      </c>
      <c r="K49" s="737"/>
    </row>
    <row r="50" spans="1:11" ht="6" customHeight="1" x14ac:dyDescent="0.2">
      <c r="A50" s="746"/>
      <c r="B50" s="736"/>
      <c r="C50" s="736"/>
      <c r="D50" s="736"/>
      <c r="E50" s="736"/>
      <c r="F50" s="736"/>
      <c r="G50" s="736"/>
      <c r="H50" s="736"/>
      <c r="I50" s="736"/>
      <c r="J50" s="746"/>
    </row>
    <row r="51" spans="1:11" x14ac:dyDescent="0.2">
      <c r="A51" s="747" t="s">
        <v>1806</v>
      </c>
      <c r="B51" s="746"/>
      <c r="C51" s="737"/>
      <c r="D51" s="737"/>
      <c r="E51" s="737"/>
      <c r="F51" s="737"/>
      <c r="G51" s="737"/>
      <c r="H51" s="736"/>
      <c r="I51" s="736"/>
      <c r="J51" s="746"/>
    </row>
    <row r="52" spans="1:11" ht="11.25" customHeight="1" x14ac:dyDescent="0.2">
      <c r="A52" s="748" t="s">
        <v>911</v>
      </c>
      <c r="B52" s="2213" t="s">
        <v>583</v>
      </c>
      <c r="C52" s="2214"/>
      <c r="D52" s="2214"/>
      <c r="E52" s="749" t="s">
        <v>844</v>
      </c>
      <c r="F52" s="2215" t="s">
        <v>2086</v>
      </c>
      <c r="G52" s="2216"/>
      <c r="H52" s="736"/>
      <c r="I52" s="736"/>
      <c r="J52" s="746"/>
    </row>
    <row r="53" spans="1:11" ht="11.25" customHeight="1" x14ac:dyDescent="0.2">
      <c r="A53" s="750" t="s">
        <v>912</v>
      </c>
      <c r="B53" s="751" t="s">
        <v>950</v>
      </c>
      <c r="C53" s="746"/>
      <c r="D53" s="737"/>
      <c r="E53" s="749" t="s">
        <v>496</v>
      </c>
      <c r="F53" s="2217"/>
      <c r="G53" s="2218"/>
      <c r="H53" s="736"/>
      <c r="I53" s="736"/>
      <c r="J53" s="746"/>
    </row>
    <row r="54" spans="1:11" ht="11.25" customHeight="1" x14ac:dyDescent="0.2">
      <c r="A54" s="752" t="s">
        <v>913</v>
      </c>
      <c r="B54" s="747" t="s">
        <v>951</v>
      </c>
      <c r="C54" s="746"/>
      <c r="D54" s="737"/>
      <c r="E54" s="749" t="s">
        <v>497</v>
      </c>
      <c r="F54" s="2217"/>
      <c r="G54" s="221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&amp;L&amp;8See Notes to Financial Statements.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7" t="s">
        <v>855</v>
      </c>
      <c r="B1" s="2248"/>
      <c r="C1" s="2248"/>
      <c r="D1" s="2248"/>
      <c r="E1" s="2248"/>
      <c r="F1" s="2248"/>
      <c r="G1" s="2249"/>
      <c r="H1" s="1527"/>
      <c r="I1" s="760"/>
      <c r="J1" s="433"/>
    </row>
    <row r="2" spans="1:11" ht="26.25" x14ac:dyDescent="0.2">
      <c r="A2" s="2226" t="s">
        <v>1676</v>
      </c>
      <c r="B2" s="2227"/>
      <c r="C2" s="2227"/>
      <c r="D2" s="2227"/>
      <c r="E2" s="2228"/>
      <c r="F2" s="761" t="s">
        <v>903</v>
      </c>
      <c r="G2" s="762" t="s">
        <v>1673</v>
      </c>
      <c r="H2" s="762" t="s">
        <v>409</v>
      </c>
      <c r="I2" s="762" t="s">
        <v>1157</v>
      </c>
      <c r="J2" s="762" t="s">
        <v>1811</v>
      </c>
      <c r="K2" s="762" t="s">
        <v>138</v>
      </c>
    </row>
    <row r="3" spans="1:11" x14ac:dyDescent="0.2">
      <c r="A3" s="2229" t="s">
        <v>1963</v>
      </c>
      <c r="B3" s="2230"/>
      <c r="C3" s="2230"/>
      <c r="D3" s="2230"/>
      <c r="E3" s="2231"/>
      <c r="F3" s="763"/>
      <c r="G3" s="764"/>
      <c r="H3" s="764">
        <v>0</v>
      </c>
      <c r="I3" s="764"/>
      <c r="J3" s="765"/>
      <c r="K3" s="765"/>
    </row>
    <row r="4" spans="1:11" x14ac:dyDescent="0.2">
      <c r="A4" s="2232" t="s">
        <v>368</v>
      </c>
      <c r="B4" s="2233"/>
      <c r="C4" s="2233"/>
      <c r="D4" s="2233"/>
      <c r="E4" s="2214"/>
      <c r="F4" s="766"/>
      <c r="G4" s="767"/>
      <c r="H4" s="768"/>
      <c r="I4" s="767"/>
      <c r="J4" s="769"/>
      <c r="K4" s="769"/>
    </row>
    <row r="5" spans="1:11" x14ac:dyDescent="0.2">
      <c r="A5" s="2250" t="s">
        <v>1068</v>
      </c>
      <c r="B5" s="2223"/>
      <c r="C5" s="2223"/>
      <c r="D5" s="2223"/>
      <c r="E5" s="2251"/>
      <c r="F5" s="770" t="s">
        <v>847</v>
      </c>
      <c r="G5" s="771"/>
      <c r="H5" s="764">
        <v>31925</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row>
    <row r="10" spans="1:11" x14ac:dyDescent="0.2">
      <c r="A10" s="2250" t="s">
        <v>1812</v>
      </c>
      <c r="B10" s="2223"/>
      <c r="C10" s="2223"/>
      <c r="D10" s="2223"/>
      <c r="E10" s="2252"/>
      <c r="F10" s="783" t="s">
        <v>861</v>
      </c>
      <c r="G10" s="782"/>
      <c r="H10" s="784"/>
      <c r="I10" s="764"/>
      <c r="J10" s="765"/>
      <c r="K10" s="765"/>
    </row>
    <row r="11" spans="1:11" x14ac:dyDescent="0.2">
      <c r="A11" s="2250" t="s">
        <v>160</v>
      </c>
      <c r="B11" s="2223"/>
      <c r="C11" s="2223"/>
      <c r="D11" s="2223"/>
      <c r="E11" s="2251"/>
      <c r="F11" s="770" t="s">
        <v>851</v>
      </c>
      <c r="G11" s="771"/>
      <c r="H11" s="764"/>
      <c r="I11" s="764"/>
      <c r="J11" s="765"/>
      <c r="K11" s="773"/>
    </row>
    <row r="12" spans="1:11" ht="13.5" thickBot="1" x14ac:dyDescent="0.25">
      <c r="A12" s="2240" t="s">
        <v>904</v>
      </c>
      <c r="B12" s="2241"/>
      <c r="C12" s="2241"/>
      <c r="D12" s="2241"/>
      <c r="E12" s="2242"/>
      <c r="F12" s="1754"/>
      <c r="G12" s="1755">
        <f>SUM(G5:G11)</f>
        <v>0</v>
      </c>
      <c r="H12" s="1755">
        <f>SUM(H5:H11)</f>
        <v>31925</v>
      </c>
      <c r="I12" s="1755">
        <f>SUM(I5:I11)</f>
        <v>0</v>
      </c>
      <c r="J12" s="1755">
        <f>SUM(J5:J11)</f>
        <v>0</v>
      </c>
      <c r="K12" s="1755">
        <f>SUM(K5:K11)</f>
        <v>0</v>
      </c>
    </row>
    <row r="13" spans="1:11" ht="13.5" thickTop="1" x14ac:dyDescent="0.2">
      <c r="A13" s="2234" t="s">
        <v>369</v>
      </c>
      <c r="B13" s="2235"/>
      <c r="C13" s="2235"/>
      <c r="D13" s="2235"/>
      <c r="E13" s="2236"/>
      <c r="F13" s="785"/>
      <c r="G13" s="786"/>
      <c r="H13" s="787"/>
      <c r="I13" s="788"/>
      <c r="J13" s="788"/>
      <c r="K13" s="788"/>
    </row>
    <row r="14" spans="1:11" x14ac:dyDescent="0.2">
      <c r="A14" s="2256" t="s">
        <v>455</v>
      </c>
      <c r="B14" s="2256"/>
      <c r="C14" s="2256"/>
      <c r="D14" s="2256"/>
      <c r="E14" s="2257"/>
      <c r="F14" s="789" t="s">
        <v>853</v>
      </c>
      <c r="G14" s="782"/>
      <c r="H14" s="764">
        <v>31925</v>
      </c>
      <c r="I14" s="771"/>
      <c r="J14" s="773"/>
      <c r="K14" s="765"/>
    </row>
    <row r="15" spans="1:11" x14ac:dyDescent="0.2">
      <c r="A15" s="2223" t="s">
        <v>4</v>
      </c>
      <c r="B15" s="2223"/>
      <c r="C15" s="2223"/>
      <c r="D15" s="2223"/>
      <c r="E15" s="2251"/>
      <c r="F15" s="789" t="s">
        <v>854</v>
      </c>
      <c r="G15" s="771"/>
      <c r="H15" s="764"/>
      <c r="I15" s="764"/>
      <c r="J15" s="765"/>
      <c r="K15" s="765"/>
    </row>
    <row r="16" spans="1:11" x14ac:dyDescent="0.2">
      <c r="A16" s="2223" t="s">
        <v>297</v>
      </c>
      <c r="B16" s="2223"/>
      <c r="C16" s="2223"/>
      <c r="D16" s="2223"/>
      <c r="E16" s="2251"/>
      <c r="F16" s="789" t="s">
        <v>922</v>
      </c>
      <c r="G16" s="772"/>
      <c r="H16" s="767"/>
      <c r="I16" s="767"/>
      <c r="J16" s="769"/>
      <c r="K16" s="769"/>
    </row>
    <row r="17" spans="1:11" x14ac:dyDescent="0.2">
      <c r="A17" s="2245" t="s">
        <v>934</v>
      </c>
      <c r="B17" s="2245"/>
      <c r="C17" s="2245"/>
      <c r="D17" s="2245"/>
      <c r="E17" s="2246"/>
      <c r="F17" s="790"/>
      <c r="G17" s="791"/>
      <c r="H17" s="792"/>
      <c r="I17" s="792"/>
      <c r="J17" s="793"/>
      <c r="K17" s="794"/>
    </row>
    <row r="18" spans="1:11" x14ac:dyDescent="0.2">
      <c r="A18" s="2237" t="s">
        <v>367</v>
      </c>
      <c r="B18" s="2238"/>
      <c r="C18" s="2238"/>
      <c r="D18" s="2238"/>
      <c r="E18" s="2239"/>
      <c r="F18" s="789" t="s">
        <v>931</v>
      </c>
      <c r="G18" s="782"/>
      <c r="H18" s="782"/>
      <c r="I18" s="782"/>
      <c r="J18" s="765"/>
      <c r="K18" s="795"/>
    </row>
    <row r="19" spans="1:11" ht="21.75" customHeight="1" x14ac:dyDescent="0.2">
      <c r="A19" s="2258" t="s">
        <v>1808</v>
      </c>
      <c r="B19" s="2258"/>
      <c r="C19" s="2258"/>
      <c r="D19" s="2258"/>
      <c r="E19" s="2259"/>
      <c r="F19" s="789" t="s">
        <v>932</v>
      </c>
      <c r="G19" s="782"/>
      <c r="H19" s="782"/>
      <c r="I19" s="782"/>
      <c r="J19" s="765"/>
      <c r="K19" s="795"/>
    </row>
    <row r="20" spans="1:11" x14ac:dyDescent="0.2">
      <c r="A20" s="2237" t="s">
        <v>1813</v>
      </c>
      <c r="B20" s="2238"/>
      <c r="C20" s="2238"/>
      <c r="D20" s="2238"/>
      <c r="E20" s="2239"/>
      <c r="F20" s="789" t="s">
        <v>933</v>
      </c>
      <c r="G20" s="782"/>
      <c r="H20" s="782"/>
      <c r="I20" s="782"/>
      <c r="J20" s="765"/>
      <c r="K20" s="795"/>
    </row>
    <row r="21" spans="1:11" ht="13.5" thickBot="1" x14ac:dyDescent="0.25">
      <c r="A21" s="2243" t="s">
        <v>637</v>
      </c>
      <c r="B21" s="2243"/>
      <c r="C21" s="2243"/>
      <c r="D21" s="2243"/>
      <c r="E21" s="2243"/>
      <c r="F21" s="1756"/>
      <c r="G21" s="792"/>
      <c r="H21" s="796"/>
      <c r="I21" s="796"/>
      <c r="J21" s="1757">
        <f>SUM(J18:J20)</f>
        <v>0</v>
      </c>
      <c r="K21" s="793"/>
    </row>
    <row r="22" spans="1:11" ht="13.5" thickTop="1" x14ac:dyDescent="0.2">
      <c r="A22" s="2223" t="s">
        <v>1814</v>
      </c>
      <c r="B22" s="2223"/>
      <c r="C22" s="2223"/>
      <c r="D22" s="2223"/>
      <c r="E22" s="2251"/>
      <c r="F22" s="789" t="s">
        <v>861</v>
      </c>
      <c r="G22" s="782"/>
      <c r="H22" s="764"/>
      <c r="I22" s="764"/>
      <c r="J22" s="797"/>
      <c r="K22" s="765"/>
    </row>
    <row r="23" spans="1:11" ht="13.5" thickBot="1" x14ac:dyDescent="0.25">
      <c r="A23" s="2244" t="s">
        <v>905</v>
      </c>
      <c r="B23" s="2243"/>
      <c r="C23" s="2243"/>
      <c r="D23" s="2243"/>
      <c r="E23" s="2243"/>
      <c r="F23" s="1758"/>
      <c r="G23" s="1755">
        <f>SUM(G14:G16,G21,G22)</f>
        <v>0</v>
      </c>
      <c r="H23" s="1755">
        <f>SUM(H14:H16,H21,H22)</f>
        <v>31925</v>
      </c>
      <c r="I23" s="1755">
        <f>SUM(I14:I16,I21,I22)</f>
        <v>0</v>
      </c>
      <c r="J23" s="1755">
        <f>SUM(J14:J16,J21,J22)</f>
        <v>0</v>
      </c>
      <c r="K23" s="1755">
        <f>SUM(K14:K16,K21,K22)</f>
        <v>0</v>
      </c>
    </row>
    <row r="24" spans="1:11" ht="14.25" thickTop="1" thickBot="1" x14ac:dyDescent="0.25">
      <c r="A24" s="2244" t="s">
        <v>1964</v>
      </c>
      <c r="B24" s="2243"/>
      <c r="C24" s="2243"/>
      <c r="D24" s="2243"/>
      <c r="E24" s="2243"/>
      <c r="F24" s="1759"/>
      <c r="G24" s="1760">
        <f>SUM(G3,G12)-G23</f>
        <v>0</v>
      </c>
      <c r="H24" s="1760">
        <f>SUM(H3,H12)-H23</f>
        <v>0</v>
      </c>
      <c r="I24" s="1760">
        <f>SUM(I3,I12)-I23</f>
        <v>0</v>
      </c>
      <c r="J24" s="1760">
        <f>SUM(J3,J12)-J23</f>
        <v>0</v>
      </c>
      <c r="K24" s="1760">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1909</v>
      </c>
      <c r="B28" s="1878"/>
      <c r="C28" s="1878"/>
      <c r="D28" s="1878"/>
      <c r="E28" s="1879"/>
      <c r="F28" s="803"/>
      <c r="G28" s="804"/>
    </row>
    <row r="29" spans="1:11" x14ac:dyDescent="0.2">
      <c r="B29" s="501"/>
      <c r="C29" s="501"/>
      <c r="D29" s="501"/>
      <c r="F29" s="202"/>
      <c r="G29" s="805"/>
    </row>
    <row r="30" spans="1:11" x14ac:dyDescent="0.2">
      <c r="A30" s="806" t="s">
        <v>571</v>
      </c>
      <c r="B30" s="807"/>
      <c r="C30" s="806" t="s">
        <v>382</v>
      </c>
      <c r="D30" s="807"/>
      <c r="E30" s="808" t="s">
        <v>767</v>
      </c>
      <c r="F30" s="202"/>
      <c r="G30" s="805"/>
    </row>
    <row r="31" spans="1:11" x14ac:dyDescent="0.2">
      <c r="A31" s="809"/>
      <c r="D31" s="237"/>
      <c r="E31" s="810" t="s">
        <v>768</v>
      </c>
      <c r="F31" s="811" t="s">
        <v>538</v>
      </c>
      <c r="G31" s="764"/>
      <c r="H31" s="2253"/>
      <c r="I31" s="2254"/>
      <c r="J31" s="2254"/>
      <c r="K31" s="2254"/>
    </row>
    <row r="32" spans="1:11" x14ac:dyDescent="0.2">
      <c r="A32" s="809"/>
      <c r="B32" s="237"/>
      <c r="C32" s="237"/>
      <c r="D32" s="237"/>
      <c r="E32" s="805"/>
      <c r="F32" s="811" t="s">
        <v>539</v>
      </c>
      <c r="G32" s="764"/>
      <c r="H32" s="2255"/>
      <c r="I32" s="2254"/>
      <c r="J32" s="2254"/>
      <c r="K32" s="2254"/>
    </row>
    <row r="33" spans="1:11" ht="1.5" customHeight="1" x14ac:dyDescent="0.2">
      <c r="A33" s="812" t="s">
        <v>1168</v>
      </c>
      <c r="B33" s="364"/>
      <c r="C33" s="364"/>
      <c r="D33" s="364"/>
      <c r="E33" s="364"/>
      <c r="F33" s="364"/>
      <c r="G33" s="813"/>
      <c r="H33" s="2255"/>
      <c r="I33" s="2254"/>
      <c r="J33" s="2254"/>
      <c r="K33" s="2254"/>
    </row>
    <row r="34" spans="1:11" x14ac:dyDescent="0.2">
      <c r="A34" s="814" t="s">
        <v>1815</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23" t="s">
        <v>540</v>
      </c>
      <c r="B41" s="2224"/>
      <c r="C41" s="2224"/>
      <c r="D41" s="2224"/>
      <c r="E41" s="2224"/>
      <c r="F41" s="2225"/>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28" t="s">
        <v>1809</v>
      </c>
      <c r="B46" s="408" t="s">
        <v>1674</v>
      </c>
    </row>
    <row r="47" spans="1:11" s="823" customFormat="1" ht="12.75" customHeight="1" x14ac:dyDescent="0.2">
      <c r="A47" s="821"/>
      <c r="B47" s="822" t="s">
        <v>1675</v>
      </c>
      <c r="E47" s="822"/>
      <c r="K47" s="824"/>
    </row>
    <row r="48" spans="1:11" ht="12.75" customHeight="1" x14ac:dyDescent="0.2">
      <c r="A48" s="1529" t="s">
        <v>1810</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&amp;L&amp;8See Notes to Financial Statements.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E21" sqref="E2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2" t="s">
        <v>1908</v>
      </c>
      <c r="B1" s="2263"/>
      <c r="C1" s="2264"/>
      <c r="D1" s="826"/>
      <c r="E1" s="827"/>
      <c r="F1" s="827"/>
      <c r="G1" s="828"/>
      <c r="H1" s="829"/>
      <c r="I1" s="830"/>
      <c r="J1" s="2260"/>
      <c r="K1" s="2261"/>
      <c r="L1" s="2261"/>
    </row>
    <row r="2" spans="1:14" ht="69.75" customHeight="1" x14ac:dyDescent="0.2">
      <c r="A2" s="831" t="s">
        <v>1677</v>
      </c>
      <c r="B2" s="832" t="s">
        <v>377</v>
      </c>
      <c r="C2" s="833" t="s">
        <v>1965</v>
      </c>
      <c r="D2" s="833" t="s">
        <v>1966</v>
      </c>
      <c r="E2" s="833" t="s">
        <v>1967</v>
      </c>
      <c r="F2" s="833" t="s">
        <v>1968</v>
      </c>
      <c r="G2" s="833" t="s">
        <v>604</v>
      </c>
      <c r="H2" s="833" t="s">
        <v>1969</v>
      </c>
      <c r="I2" s="833" t="s">
        <v>1970</v>
      </c>
      <c r="J2" s="833" t="s">
        <v>1971</v>
      </c>
      <c r="K2" s="833" t="s">
        <v>1972</v>
      </c>
      <c r="L2" s="833" t="s">
        <v>1973</v>
      </c>
      <c r="M2" s="834"/>
      <c r="N2" s="834"/>
    </row>
    <row r="3" spans="1:14" ht="13.5" thickBot="1" x14ac:dyDescent="0.25">
      <c r="A3" s="1626" t="s">
        <v>891</v>
      </c>
      <c r="B3" s="1627">
        <v>210</v>
      </c>
      <c r="C3" s="835"/>
      <c r="D3" s="835"/>
      <c r="E3" s="835"/>
      <c r="F3" s="1757">
        <f>(C3+D3)-E3</f>
        <v>0</v>
      </c>
      <c r="G3" s="836"/>
      <c r="H3" s="835"/>
      <c r="I3" s="835"/>
      <c r="J3" s="835"/>
      <c r="K3" s="1766">
        <f>(H3+I3)-J3</f>
        <v>0</v>
      </c>
      <c r="L3" s="1766">
        <f>F3-K3</f>
        <v>0</v>
      </c>
      <c r="M3" s="834"/>
      <c r="N3" s="834"/>
    </row>
    <row r="4" spans="1:14" ht="15" customHeight="1" thickTop="1" x14ac:dyDescent="0.2">
      <c r="A4" s="1628" t="s">
        <v>158</v>
      </c>
      <c r="B4" s="1627">
        <v>220</v>
      </c>
      <c r="C4" s="781"/>
      <c r="D4" s="781"/>
      <c r="E4" s="781"/>
      <c r="F4" s="773"/>
      <c r="G4" s="837"/>
      <c r="H4" s="838"/>
      <c r="I4" s="838"/>
      <c r="J4" s="838"/>
      <c r="K4" s="839"/>
      <c r="L4" s="773"/>
    </row>
    <row r="5" spans="1:14" ht="13.5" thickBot="1" x14ac:dyDescent="0.25">
      <c r="A5" s="778" t="s">
        <v>892</v>
      </c>
      <c r="B5" s="840">
        <v>221</v>
      </c>
      <c r="C5" s="841">
        <v>1359576</v>
      </c>
      <c r="D5" s="841"/>
      <c r="E5" s="841"/>
      <c r="F5" s="1757">
        <f>(C5+D5)-E5</f>
        <v>1359576</v>
      </c>
      <c r="G5" s="837"/>
      <c r="H5" s="842"/>
      <c r="I5" s="842"/>
      <c r="J5" s="842"/>
      <c r="K5" s="793"/>
      <c r="L5" s="1766">
        <f>F5-K5</f>
        <v>1359576</v>
      </c>
    </row>
    <row r="6" spans="1:14" ht="14.25" thickTop="1" thickBot="1" x14ac:dyDescent="0.25">
      <c r="A6" s="778" t="s">
        <v>1116</v>
      </c>
      <c r="B6" s="840">
        <v>222</v>
      </c>
      <c r="C6" s="765"/>
      <c r="D6" s="765"/>
      <c r="E6" s="765"/>
      <c r="F6" s="1757">
        <f>(C6+D6)-E6</f>
        <v>0</v>
      </c>
      <c r="G6" s="837">
        <v>50</v>
      </c>
      <c r="H6" s="765"/>
      <c r="I6" s="765"/>
      <c r="J6" s="765"/>
      <c r="K6" s="1766">
        <f>(H6+I6)-J6</f>
        <v>0</v>
      </c>
      <c r="L6" s="1766">
        <f>F6-K6</f>
        <v>0</v>
      </c>
    </row>
    <row r="7" spans="1:14" ht="15" customHeight="1" thickTop="1" x14ac:dyDescent="0.2">
      <c r="A7" s="1628" t="s">
        <v>159</v>
      </c>
      <c r="B7" s="1627">
        <v>230</v>
      </c>
      <c r="C7" s="781"/>
      <c r="D7" s="781"/>
      <c r="E7" s="781"/>
      <c r="F7" s="773"/>
      <c r="G7" s="843"/>
      <c r="H7" s="781"/>
      <c r="I7" s="781"/>
      <c r="J7" s="781"/>
      <c r="K7" s="773"/>
      <c r="L7" s="773"/>
    </row>
    <row r="8" spans="1:14" ht="13.5" thickBot="1" x14ac:dyDescent="0.25">
      <c r="A8" s="778" t="s">
        <v>1117</v>
      </c>
      <c r="B8" s="840">
        <v>231</v>
      </c>
      <c r="C8" s="844">
        <v>16143493</v>
      </c>
      <c r="D8" s="844"/>
      <c r="E8" s="844"/>
      <c r="F8" s="1757">
        <f>(C8+D8)-E8</f>
        <v>16143493</v>
      </c>
      <c r="G8" s="843">
        <v>50</v>
      </c>
      <c r="H8" s="765">
        <v>5808849</v>
      </c>
      <c r="I8" s="765">
        <v>322869</v>
      </c>
      <c r="J8" s="765"/>
      <c r="K8" s="1766">
        <f>(H8+I8)-J8</f>
        <v>6131718</v>
      </c>
      <c r="L8" s="1766">
        <f>F8-K8</f>
        <v>10011775</v>
      </c>
    </row>
    <row r="9" spans="1:14" ht="14.25" thickTop="1" thickBot="1" x14ac:dyDescent="0.25">
      <c r="A9" s="778" t="s">
        <v>1118</v>
      </c>
      <c r="B9" s="840">
        <v>232</v>
      </c>
      <c r="C9" s="765"/>
      <c r="D9" s="765"/>
      <c r="E9" s="765"/>
      <c r="F9" s="1757">
        <f>(C9+D9)-E9</f>
        <v>0</v>
      </c>
      <c r="G9" s="843">
        <v>20</v>
      </c>
      <c r="H9" s="765"/>
      <c r="I9" s="765"/>
      <c r="J9" s="765"/>
      <c r="K9" s="1766">
        <f>(H9+I9)-J9</f>
        <v>0</v>
      </c>
      <c r="L9" s="1766">
        <f>F9-K9</f>
        <v>0</v>
      </c>
    </row>
    <row r="10" spans="1:14" ht="24" thickTop="1" thickBot="1" x14ac:dyDescent="0.25">
      <c r="A10" s="845" t="s">
        <v>1119</v>
      </c>
      <c r="B10" s="840">
        <v>240</v>
      </c>
      <c r="C10" s="846">
        <v>2621392</v>
      </c>
      <c r="D10" s="846"/>
      <c r="E10" s="846"/>
      <c r="F10" s="1761">
        <f>(C10+D10)-E10</f>
        <v>2621392</v>
      </c>
      <c r="G10" s="843">
        <v>20</v>
      </c>
      <c r="H10" s="847">
        <v>958740</v>
      </c>
      <c r="I10" s="847">
        <v>124618</v>
      </c>
      <c r="J10" s="847"/>
      <c r="K10" s="1766">
        <f>(H10+I10)-J10</f>
        <v>1083358</v>
      </c>
      <c r="L10" s="1766">
        <f>F10-K10</f>
        <v>1538034</v>
      </c>
    </row>
    <row r="11" spans="1:14" ht="13.5" thickTop="1" x14ac:dyDescent="0.2">
      <c r="A11" s="1629" t="s">
        <v>1135</v>
      </c>
      <c r="B11" s="1627">
        <v>250</v>
      </c>
      <c r="C11" s="781"/>
      <c r="D11" s="781"/>
      <c r="E11" s="781"/>
      <c r="F11" s="773"/>
      <c r="G11" s="843"/>
      <c r="H11" s="781"/>
      <c r="I11" s="781"/>
      <c r="J11" s="781"/>
      <c r="K11" s="773"/>
      <c r="L11" s="773"/>
    </row>
    <row r="12" spans="1:14" ht="13.5" thickBot="1" x14ac:dyDescent="0.25">
      <c r="A12" s="848" t="s">
        <v>1120</v>
      </c>
      <c r="B12" s="840">
        <v>251</v>
      </c>
      <c r="C12" s="844">
        <f>1957902-31880</f>
        <v>1926022</v>
      </c>
      <c r="D12" s="844"/>
      <c r="E12" s="844"/>
      <c r="F12" s="1757">
        <f>(C12+D12)-E12</f>
        <v>1926022</v>
      </c>
      <c r="G12" s="843">
        <v>10</v>
      </c>
      <c r="H12" s="765">
        <v>1683792</v>
      </c>
      <c r="I12" s="765">
        <v>61591</v>
      </c>
      <c r="J12" s="765"/>
      <c r="K12" s="1766">
        <f>(H12+I12)-J12</f>
        <v>1745383</v>
      </c>
      <c r="L12" s="1766">
        <f>F12-K12</f>
        <v>180639</v>
      </c>
    </row>
    <row r="13" spans="1:14" ht="14.25" thickTop="1" thickBot="1" x14ac:dyDescent="0.25">
      <c r="A13" s="848" t="s">
        <v>1121</v>
      </c>
      <c r="B13" s="840">
        <v>252</v>
      </c>
      <c r="C13" s="844">
        <f>1270112+31880</f>
        <v>1301992</v>
      </c>
      <c r="D13" s="844">
        <v>241879</v>
      </c>
      <c r="E13" s="844"/>
      <c r="F13" s="1757">
        <f>(C13+D13)-E13</f>
        <v>1543871</v>
      </c>
      <c r="G13" s="843">
        <v>5</v>
      </c>
      <c r="H13" s="765">
        <v>1005969</v>
      </c>
      <c r="I13" s="765">
        <v>110393</v>
      </c>
      <c r="J13" s="765"/>
      <c r="K13" s="1766">
        <f>(H13+I13)-J13</f>
        <v>1116362</v>
      </c>
      <c r="L13" s="1766">
        <f>F13-K13</f>
        <v>427509</v>
      </c>
    </row>
    <row r="14" spans="1:14" ht="14.25" thickTop="1" thickBot="1" x14ac:dyDescent="0.25">
      <c r="A14" s="848" t="s">
        <v>1122</v>
      </c>
      <c r="B14" s="840">
        <v>253</v>
      </c>
      <c r="C14" s="765"/>
      <c r="D14" s="765"/>
      <c r="E14" s="765"/>
      <c r="F14" s="1757">
        <f>(C14+D14)-E14</f>
        <v>0</v>
      </c>
      <c r="G14" s="843">
        <v>3</v>
      </c>
      <c r="H14" s="765"/>
      <c r="I14" s="765"/>
      <c r="J14" s="765"/>
      <c r="K14" s="1766">
        <f>(H14+I14)-J14</f>
        <v>0</v>
      </c>
      <c r="L14" s="1766">
        <f>F14-K14</f>
        <v>0</v>
      </c>
    </row>
    <row r="15" spans="1:14" ht="15" customHeight="1" thickTop="1" thickBot="1" x14ac:dyDescent="0.25">
      <c r="A15" s="1628" t="s">
        <v>527</v>
      </c>
      <c r="B15" s="1627">
        <v>260</v>
      </c>
      <c r="C15" s="844"/>
      <c r="D15" s="844"/>
      <c r="E15" s="844"/>
      <c r="F15" s="1757">
        <f>(C15+D15)-E15</f>
        <v>0</v>
      </c>
      <c r="G15" s="849" t="s">
        <v>861</v>
      </c>
      <c r="H15" s="781"/>
      <c r="I15" s="781"/>
      <c r="J15" s="781"/>
      <c r="K15" s="781"/>
      <c r="L15" s="1766">
        <f>F15-K15</f>
        <v>0</v>
      </c>
    </row>
    <row r="16" spans="1:14" ht="15" customHeight="1" thickTop="1" thickBot="1" x14ac:dyDescent="0.25">
      <c r="A16" s="1762" t="s">
        <v>642</v>
      </c>
      <c r="B16" s="1763">
        <v>200</v>
      </c>
      <c r="C16" s="1757">
        <f>SUM(C3,C5:C6,C8:C10,C12:C15)</f>
        <v>23352475</v>
      </c>
      <c r="D16" s="1757">
        <f>SUM(D3,D5:D6,D8:D10,D12:D15)</f>
        <v>241879</v>
      </c>
      <c r="E16" s="1757">
        <f>SUM(E3,E5:E6,E8:E10,E12:E15)</f>
        <v>0</v>
      </c>
      <c r="F16" s="1757">
        <f>SUM(F3,F5:F6,F8:F10,F12:F15)</f>
        <v>23594354</v>
      </c>
      <c r="G16" s="843"/>
      <c r="H16" s="1757">
        <f>SUM(H3,H6,H8:H10,H12:H14,)</f>
        <v>9457350</v>
      </c>
      <c r="I16" s="1757">
        <f>SUM(I3,I6,I8:I10,I12:I14,)</f>
        <v>619471</v>
      </c>
      <c r="J16" s="1757">
        <f>SUM(J3,J6,J8:J10,J12:J14,)</f>
        <v>0</v>
      </c>
      <c r="K16" s="1757">
        <f>(H16+I16)-J16</f>
        <v>10076821</v>
      </c>
      <c r="L16" s="1757">
        <f>F16-K16</f>
        <v>13517533</v>
      </c>
    </row>
    <row r="17" spans="1:12" ht="15" customHeight="1" thickTop="1" thickBot="1" x14ac:dyDescent="0.25">
      <c r="A17" s="1630" t="s">
        <v>290</v>
      </c>
      <c r="B17" s="1627">
        <v>700</v>
      </c>
      <c r="C17" s="769"/>
      <c r="D17" s="769"/>
      <c r="E17" s="769"/>
      <c r="F17" s="1757">
        <f>SUM('Expenditures 15-22'!I114,'Expenditures 15-22'!I151,'Expenditures 15-22'!I210,'Expenditures 15-22'!I312,'Expenditures 15-22'!I342,'Expenditures 15-22'!I367)</f>
        <v>0</v>
      </c>
      <c r="G17" s="837">
        <v>10</v>
      </c>
      <c r="H17" s="769"/>
      <c r="I17" s="1766">
        <f>F17/G17</f>
        <v>0</v>
      </c>
      <c r="J17" s="769"/>
      <c r="K17" s="795"/>
      <c r="L17" s="795"/>
    </row>
    <row r="18" spans="1:12" ht="14.25" thickTop="1" thickBot="1" x14ac:dyDescent="0.25">
      <c r="A18" s="1764" t="s">
        <v>684</v>
      </c>
      <c r="B18" s="1765"/>
      <c r="C18" s="771"/>
      <c r="D18" s="771"/>
      <c r="E18" s="771"/>
      <c r="F18" s="850"/>
      <c r="G18" s="851"/>
      <c r="H18" s="773"/>
      <c r="I18" s="1757">
        <f>SUM(I16,I17)</f>
        <v>619471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&amp;L&amp;8See Notes to Financial Statements.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60" activePane="bottomLeft" state="frozen"/>
      <selection activeCell="A47" sqref="A47"/>
      <selection pane="bottomLeft" activeCell="M165" sqref="M165"/>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8" t="s">
        <v>1974</v>
      </c>
      <c r="B1" s="2269"/>
      <c r="C1" s="2269"/>
      <c r="D1" s="2269"/>
      <c r="E1" s="2269"/>
      <c r="F1" s="2270"/>
      <c r="G1" s="855"/>
    </row>
    <row r="2" spans="1:7" ht="15" customHeight="1" thickBot="1" x14ac:dyDescent="0.25">
      <c r="A2" s="2271" t="s">
        <v>476</v>
      </c>
      <c r="B2" s="2272"/>
      <c r="C2" s="2272"/>
      <c r="D2" s="2272"/>
      <c r="E2" s="2272"/>
      <c r="F2" s="2273"/>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74"/>
      <c r="B5" s="2275"/>
      <c r="C5" s="2275"/>
      <c r="D5" s="2275"/>
      <c r="E5" s="2275"/>
      <c r="F5" s="2275"/>
    </row>
    <row r="6" spans="1:7" ht="13.5" customHeight="1" thickBot="1" x14ac:dyDescent="0.25">
      <c r="A6" s="2265" t="s">
        <v>1103</v>
      </c>
      <c r="B6" s="2266"/>
      <c r="C6" s="2266"/>
      <c r="D6" s="2266"/>
      <c r="E6" s="2266"/>
      <c r="F6" s="2267"/>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5">
        <f>'Expenditures 15-22'!K114</f>
        <v>5533466</v>
      </c>
      <c r="G8" s="865"/>
    </row>
    <row r="9" spans="1:7" x14ac:dyDescent="0.2">
      <c r="A9" s="869" t="s">
        <v>459</v>
      </c>
      <c r="B9" s="870" t="s">
        <v>1876</v>
      </c>
      <c r="C9" s="871"/>
      <c r="D9" s="869" t="s">
        <v>500</v>
      </c>
      <c r="E9" s="868"/>
      <c r="F9" s="1906">
        <f>'Expenditures 15-22'!K151</f>
        <v>501844</v>
      </c>
      <c r="G9" s="872"/>
    </row>
    <row r="10" spans="1:7" x14ac:dyDescent="0.2">
      <c r="A10" s="869" t="s">
        <v>498</v>
      </c>
      <c r="B10" s="870" t="s">
        <v>1877</v>
      </c>
      <c r="C10" s="871"/>
      <c r="D10" s="869" t="s">
        <v>500</v>
      </c>
      <c r="E10" s="868"/>
      <c r="F10" s="1906">
        <f>'Expenditures 15-22'!K174</f>
        <v>1022335</v>
      </c>
      <c r="G10" s="872"/>
    </row>
    <row r="11" spans="1:7" x14ac:dyDescent="0.2">
      <c r="A11" s="869" t="s">
        <v>460</v>
      </c>
      <c r="B11" s="870" t="s">
        <v>1878</v>
      </c>
      <c r="C11" s="871"/>
      <c r="D11" s="869" t="s">
        <v>500</v>
      </c>
      <c r="E11" s="868"/>
      <c r="F11" s="1906">
        <f>'Expenditures 15-22'!K210</f>
        <v>557941</v>
      </c>
      <c r="G11" s="872"/>
    </row>
    <row r="12" spans="1:7" x14ac:dyDescent="0.2">
      <c r="A12" s="869" t="s">
        <v>461</v>
      </c>
      <c r="B12" s="870" t="s">
        <v>1879</v>
      </c>
      <c r="C12" s="871"/>
      <c r="D12" s="869" t="s">
        <v>500</v>
      </c>
      <c r="E12" s="868"/>
      <c r="F12" s="1906">
        <f>'Expenditures 15-22'!K295</f>
        <v>196120</v>
      </c>
      <c r="G12" s="872"/>
    </row>
    <row r="13" spans="1:7" x14ac:dyDescent="0.2">
      <c r="A13" s="869" t="s">
        <v>106</v>
      </c>
      <c r="B13" s="870" t="s">
        <v>1880</v>
      </c>
      <c r="C13" s="871"/>
      <c r="D13" s="869" t="s">
        <v>500</v>
      </c>
      <c r="E13" s="868"/>
      <c r="F13" s="1906">
        <f>'Expenditures 15-22'!K342</f>
        <v>407786</v>
      </c>
      <c r="G13" s="873"/>
    </row>
    <row r="14" spans="1:7" ht="12" customHeight="1" thickBot="1" x14ac:dyDescent="0.25">
      <c r="A14" s="1767"/>
      <c r="B14" s="1768"/>
      <c r="C14" s="1769"/>
      <c r="D14" s="1770" t="s">
        <v>500</v>
      </c>
      <c r="E14" s="1771" t="s">
        <v>957</v>
      </c>
      <c r="F14" s="1772">
        <f>SUM(F8:F13)</f>
        <v>8219492</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07">
        <f>'Revenues 9-14'!F43</f>
        <v>0</v>
      </c>
      <c r="G18" s="865"/>
    </row>
    <row r="19" spans="1:7" x14ac:dyDescent="0.2">
      <c r="A19" s="869" t="s">
        <v>460</v>
      </c>
      <c r="B19" s="870" t="s">
        <v>1010</v>
      </c>
      <c r="C19" s="877">
        <f>'Revenues 9-14'!B47</f>
        <v>1421</v>
      </c>
      <c r="D19" s="878" t="str">
        <f>'Revenues 9-14'!A47</f>
        <v>Summer Sch - Transp. Fees from Pupils or Parents (In State)</v>
      </c>
      <c r="E19" s="879"/>
      <c r="F19" s="1908">
        <f>'Revenues 9-14'!F47</f>
        <v>0</v>
      </c>
      <c r="G19" s="865"/>
    </row>
    <row r="20" spans="1:7" x14ac:dyDescent="0.2">
      <c r="A20" s="869" t="s">
        <v>460</v>
      </c>
      <c r="B20" s="870" t="s">
        <v>1011</v>
      </c>
      <c r="C20" s="875">
        <f>'Revenues 9-14'!B48</f>
        <v>1422</v>
      </c>
      <c r="D20" s="876" t="str">
        <f>'Revenues 9-14'!A48</f>
        <v>Summer Sch - Transp. Fees from Other Districts (In State)</v>
      </c>
      <c r="E20" s="868"/>
      <c r="F20" s="1909">
        <f>'Revenues 9-14'!F48</f>
        <v>0</v>
      </c>
      <c r="G20" s="865"/>
    </row>
    <row r="21" spans="1:7" x14ac:dyDescent="0.2">
      <c r="A21" s="869" t="s">
        <v>460</v>
      </c>
      <c r="B21" s="870" t="s">
        <v>1012</v>
      </c>
      <c r="C21" s="877">
        <f>'Revenues 9-14'!B49</f>
        <v>1423</v>
      </c>
      <c r="D21" s="876" t="str">
        <f>'Revenues 9-14'!A49</f>
        <v>Summer Sch - Transp. Fees from Other Sources (In State)</v>
      </c>
      <c r="E21" s="868"/>
      <c r="F21" s="1910">
        <f>'Revenues 9-14'!F49</f>
        <v>0</v>
      </c>
      <c r="G21" s="865"/>
    </row>
    <row r="22" spans="1:7" x14ac:dyDescent="0.2">
      <c r="A22" s="869" t="s">
        <v>460</v>
      </c>
      <c r="B22" s="870" t="s">
        <v>1013</v>
      </c>
      <c r="C22" s="877">
        <f>'Revenues 9-14'!B50</f>
        <v>1424</v>
      </c>
      <c r="D22" s="876" t="str">
        <f>'Revenues 9-14'!A50</f>
        <v>Summer Sch - Transp. Fees from Other Sources (Out of State)</v>
      </c>
      <c r="E22" s="868"/>
      <c r="F22" s="1910">
        <f>'Revenues 9-14'!F50</f>
        <v>0</v>
      </c>
      <c r="G22" s="865"/>
    </row>
    <row r="23" spans="1:7" x14ac:dyDescent="0.2">
      <c r="A23" s="869" t="s">
        <v>460</v>
      </c>
      <c r="B23" s="870" t="s">
        <v>1014</v>
      </c>
      <c r="C23" s="875">
        <f>'Revenues 9-14'!B52</f>
        <v>1432</v>
      </c>
      <c r="D23" s="876" t="str">
        <f>'Revenues 9-14'!A52</f>
        <v>CTE - Transp Fees from Other Districts (In State)</v>
      </c>
      <c r="E23" s="868"/>
      <c r="F23" s="1910">
        <f>'Revenues 9-14'!F52</f>
        <v>0</v>
      </c>
      <c r="G23" s="865"/>
    </row>
    <row r="24" spans="1:7" x14ac:dyDescent="0.2">
      <c r="A24" s="869" t="s">
        <v>460</v>
      </c>
      <c r="B24" s="870" t="s">
        <v>1015</v>
      </c>
      <c r="C24" s="875">
        <f>'Revenues 9-14'!B56</f>
        <v>1442</v>
      </c>
      <c r="D24" s="876" t="str">
        <f>'Revenues 9-14'!A56</f>
        <v>Special Ed - Transp Fees from Other Districts (In State)</v>
      </c>
      <c r="E24" s="868"/>
      <c r="F24" s="1910">
        <f>'Revenues 9-14'!F56</f>
        <v>0</v>
      </c>
      <c r="G24" s="865"/>
    </row>
    <row r="25" spans="1:7" x14ac:dyDescent="0.2">
      <c r="A25" s="869" t="s">
        <v>460</v>
      </c>
      <c r="B25" s="870" t="s">
        <v>1016</v>
      </c>
      <c r="C25" s="875">
        <f>'Revenues 9-14'!B59</f>
        <v>1451</v>
      </c>
      <c r="D25" s="876" t="str">
        <f>'Revenues 9-14'!A59</f>
        <v>Adult - Transp Fees from Pupils or Parents (In State)</v>
      </c>
      <c r="E25" s="868"/>
      <c r="F25" s="1910">
        <f>'Revenues 9-14'!F59</f>
        <v>0</v>
      </c>
      <c r="G25" s="865"/>
    </row>
    <row r="26" spans="1:7" x14ac:dyDescent="0.2">
      <c r="A26" s="869" t="s">
        <v>460</v>
      </c>
      <c r="B26" s="870" t="s">
        <v>1017</v>
      </c>
      <c r="C26" s="875">
        <f>'Revenues 9-14'!B60</f>
        <v>1452</v>
      </c>
      <c r="D26" s="876" t="str">
        <f>'Revenues 9-14'!A60</f>
        <v>Adult - Transp Fees from Other Districts (In State)</v>
      </c>
      <c r="E26" s="868"/>
      <c r="F26" s="1910">
        <f>'Revenues 9-14'!F60</f>
        <v>0</v>
      </c>
      <c r="G26" s="865"/>
    </row>
    <row r="27" spans="1:7" x14ac:dyDescent="0.2">
      <c r="A27" s="869" t="s">
        <v>460</v>
      </c>
      <c r="B27" s="870" t="s">
        <v>1018</v>
      </c>
      <c r="C27" s="875">
        <f>'Revenues 9-14'!B61</f>
        <v>1453</v>
      </c>
      <c r="D27" s="876" t="str">
        <f>'Revenues 9-14'!A61</f>
        <v>Adult - Transp Fees from Other Sources (In State)</v>
      </c>
      <c r="E27" s="868"/>
      <c r="F27" s="1910">
        <f>'Revenues 9-14'!F61</f>
        <v>0</v>
      </c>
      <c r="G27" s="865"/>
    </row>
    <row r="28" spans="1:7" x14ac:dyDescent="0.2">
      <c r="A28" s="869" t="s">
        <v>460</v>
      </c>
      <c r="B28" s="870" t="s">
        <v>1019</v>
      </c>
      <c r="C28" s="875">
        <f>'Revenues 9-14'!B62</f>
        <v>1454</v>
      </c>
      <c r="D28" s="876" t="str">
        <f>'Revenues 9-14'!A62</f>
        <v>Adult - Transp Fees from Other Sources (Out of State)</v>
      </c>
      <c r="E28" s="868"/>
      <c r="F28" s="1910">
        <f>'Revenues 9-14'!F62</f>
        <v>0</v>
      </c>
      <c r="G28" s="865"/>
    </row>
    <row r="29" spans="1:7" x14ac:dyDescent="0.2">
      <c r="A29" s="869" t="s">
        <v>1096</v>
      </c>
      <c r="B29" s="870" t="s">
        <v>809</v>
      </c>
      <c r="C29" s="880">
        <f>'Revenues 9-14'!B149</f>
        <v>3410</v>
      </c>
      <c r="D29" s="881" t="str">
        <f>'Revenues 9-14'!A149</f>
        <v>Adult Ed (from ICCB)</v>
      </c>
      <c r="E29" s="868"/>
      <c r="F29" s="1910">
        <f>SUM('Revenues 9-14'!D149,'Revenues 9-14'!F149)</f>
        <v>0</v>
      </c>
      <c r="G29" s="865"/>
    </row>
    <row r="30" spans="1:7" x14ac:dyDescent="0.2">
      <c r="A30" s="869" t="s">
        <v>1096</v>
      </c>
      <c r="B30" s="870" t="s">
        <v>1998</v>
      </c>
      <c r="C30" s="880">
        <f>'Revenues 9-14'!B150</f>
        <v>3499</v>
      </c>
      <c r="D30" s="881" t="str">
        <f>'Revenues 9-14'!A150</f>
        <v>Adult Ed - Other (Describe &amp; Itemize)</v>
      </c>
      <c r="E30" s="868"/>
      <c r="F30" s="1911">
        <f>('Revenues 9-14'!D150+'Revenues 9-14'!F150)</f>
        <v>0</v>
      </c>
      <c r="G30" s="865"/>
    </row>
    <row r="31" spans="1:7" x14ac:dyDescent="0.2">
      <c r="A31" s="869" t="s">
        <v>1096</v>
      </c>
      <c r="B31" s="870" t="s">
        <v>1999</v>
      </c>
      <c r="C31" s="875">
        <f>'Revenues 9-14'!B211</f>
        <v>4600</v>
      </c>
      <c r="D31" s="883" t="str">
        <f>'Revenues 9-14'!A211</f>
        <v>Fed - Spec Education - Preschool Flow-Through</v>
      </c>
      <c r="E31" s="884"/>
      <c r="F31" s="1910">
        <f>SUM('Revenues 9-14'!D211,'Revenues 9-14'!F211)</f>
        <v>0</v>
      </c>
      <c r="G31" s="865"/>
    </row>
    <row r="32" spans="1:7" x14ac:dyDescent="0.2">
      <c r="A32" s="869" t="s">
        <v>1096</v>
      </c>
      <c r="B32" s="870" t="s">
        <v>2000</v>
      </c>
      <c r="C32" s="875">
        <f>'Revenues 9-14'!B212</f>
        <v>4605</v>
      </c>
      <c r="D32" s="885" t="str">
        <f>'Revenues 9-14'!A212</f>
        <v>Fed - Spec Education - Preschool Discretionary</v>
      </c>
      <c r="E32" s="884"/>
      <c r="F32" s="1910">
        <f>SUM('Revenues 9-14'!D212,'Revenues 9-14'!F212)</f>
        <v>0</v>
      </c>
      <c r="G32" s="865"/>
    </row>
    <row r="33" spans="1:7" x14ac:dyDescent="0.2">
      <c r="A33" s="869" t="s">
        <v>459</v>
      </c>
      <c r="B33" s="870" t="s">
        <v>2001</v>
      </c>
      <c r="C33" s="875">
        <f>'Revenues 9-14'!B222</f>
        <v>4810</v>
      </c>
      <c r="D33" s="883" t="str">
        <f>'Revenues 9-14'!A222</f>
        <v>Federal - Adult Education</v>
      </c>
      <c r="E33" s="868"/>
      <c r="F33" s="1910">
        <f>'Revenues 9-14'!D222</f>
        <v>0</v>
      </c>
      <c r="G33" s="865"/>
    </row>
    <row r="34" spans="1:7" x14ac:dyDescent="0.2">
      <c r="A34" s="869" t="s">
        <v>458</v>
      </c>
      <c r="B34" s="869" t="s">
        <v>1468</v>
      </c>
      <c r="C34" s="886" t="str">
        <f>'Expenditures 15-22'!B7</f>
        <v>1125</v>
      </c>
      <c r="D34" s="887" t="str">
        <f>'Expenditures 15-22'!A7</f>
        <v>Pre-K Programs</v>
      </c>
      <c r="E34" s="868"/>
      <c r="F34" s="1910">
        <f>'Expenditures 15-22'!K7-SUM('Expenditures 15-22'!G7,'Expenditures 15-22'!I7)</f>
        <v>36472</v>
      </c>
      <c r="G34" s="865"/>
    </row>
    <row r="35" spans="1:7" x14ac:dyDescent="0.2">
      <c r="A35" s="869" t="s">
        <v>458</v>
      </c>
      <c r="B35" s="869" t="s">
        <v>1469</v>
      </c>
      <c r="C35" s="886" t="str">
        <f>'Expenditures 15-22'!B9</f>
        <v>1225</v>
      </c>
      <c r="D35" s="887" t="str">
        <f>'Expenditures 15-22'!A9</f>
        <v>Special Education Programs Pre-K</v>
      </c>
      <c r="E35" s="868"/>
      <c r="F35" s="1910">
        <f>'Expenditures 15-22'!K9-SUM('Expenditures 15-22'!G9+'Expenditures 15-22'!I9)</f>
        <v>35099</v>
      </c>
      <c r="G35" s="865"/>
    </row>
    <row r="36" spans="1:7" x14ac:dyDescent="0.2">
      <c r="A36" s="869" t="s">
        <v>458</v>
      </c>
      <c r="B36" s="869" t="s">
        <v>116</v>
      </c>
      <c r="C36" s="886" t="str">
        <f>'Expenditures 15-22'!B11</f>
        <v>1275</v>
      </c>
      <c r="D36" s="887" t="str">
        <f>'Expenditures 15-22'!A11</f>
        <v>Remedial and Supplemental Programs Pre-K</v>
      </c>
      <c r="E36" s="868"/>
      <c r="F36" s="1910">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910">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910">
        <f>'Expenditures 15-22'!K15-SUM('Expenditures 15-22'!G15,'Expenditures 15-22'!I15)</f>
        <v>0</v>
      </c>
      <c r="G38" s="865"/>
    </row>
    <row r="39" spans="1:7" x14ac:dyDescent="0.2">
      <c r="A39" s="869" t="s">
        <v>458</v>
      </c>
      <c r="B39" s="869" t="s">
        <v>117</v>
      </c>
      <c r="C39" s="886" t="str">
        <f>'Expenditures 15-22'!B20</f>
        <v>1910</v>
      </c>
      <c r="D39" s="888" t="str">
        <f>'Expenditures 15-22'!A20</f>
        <v>Pre-K Programs - Private Tuition</v>
      </c>
      <c r="E39" s="868"/>
      <c r="F39" s="1910">
        <f>'Expenditures 15-22'!K20</f>
        <v>0</v>
      </c>
      <c r="G39" s="865"/>
    </row>
    <row r="40" spans="1:7" x14ac:dyDescent="0.2">
      <c r="A40" s="869" t="s">
        <v>458</v>
      </c>
      <c r="B40" s="869" t="s">
        <v>118</v>
      </c>
      <c r="C40" s="886" t="str">
        <f>'Expenditures 15-22'!B21</f>
        <v>1911</v>
      </c>
      <c r="D40" s="888" t="str">
        <f>'Expenditures 15-22'!A21</f>
        <v>Regular K-12 Programs - Private Tuition</v>
      </c>
      <c r="E40" s="868"/>
      <c r="F40" s="1910">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10">
        <f>'Expenditures 15-22'!K22</f>
        <v>0</v>
      </c>
      <c r="G41" s="865"/>
    </row>
    <row r="42" spans="1:7" x14ac:dyDescent="0.2">
      <c r="A42" s="869" t="s">
        <v>458</v>
      </c>
      <c r="B42" s="869" t="s">
        <v>120</v>
      </c>
      <c r="C42" s="889" t="str">
        <f>'Expenditures 15-22'!B23</f>
        <v>1913</v>
      </c>
      <c r="D42" s="888" t="str">
        <f>'Expenditures 15-22'!A23</f>
        <v>Special Education Programs Pre-K - Tuition</v>
      </c>
      <c r="E42" s="868"/>
      <c r="F42" s="1910">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10">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10">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10">
        <f>'Expenditures 15-22'!K26</f>
        <v>0</v>
      </c>
      <c r="G45" s="865"/>
    </row>
    <row r="46" spans="1:7" x14ac:dyDescent="0.2">
      <c r="A46" s="869" t="s">
        <v>458</v>
      </c>
      <c r="B46" s="869" t="s">
        <v>124</v>
      </c>
      <c r="C46" s="886" t="str">
        <f>'Expenditures 15-22'!B27</f>
        <v>1917</v>
      </c>
      <c r="D46" s="888" t="str">
        <f>'Expenditures 15-22'!A27</f>
        <v>CTE Programs - Private Tuition</v>
      </c>
      <c r="E46" s="868"/>
      <c r="F46" s="1910">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10">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10">
        <f>'Expenditures 15-22'!K29</f>
        <v>0</v>
      </c>
      <c r="G48" s="865"/>
    </row>
    <row r="49" spans="1:7" x14ac:dyDescent="0.2">
      <c r="A49" s="869" t="s">
        <v>458</v>
      </c>
      <c r="B49" s="869" t="s">
        <v>127</v>
      </c>
      <c r="C49" s="886" t="str">
        <f>'Expenditures 15-22'!B30</f>
        <v>1920</v>
      </c>
      <c r="D49" s="888" t="str">
        <f>'Expenditures 15-22'!A30</f>
        <v>Gifted Programs - Private Tuition</v>
      </c>
      <c r="E49" s="868"/>
      <c r="F49" s="1910">
        <f>'Expenditures 15-22'!K30</f>
        <v>0</v>
      </c>
      <c r="G49" s="865"/>
    </row>
    <row r="50" spans="1:7" x14ac:dyDescent="0.2">
      <c r="A50" s="869" t="s">
        <v>458</v>
      </c>
      <c r="B50" s="869" t="s">
        <v>128</v>
      </c>
      <c r="C50" s="886" t="str">
        <f>'Expenditures 15-22'!B31</f>
        <v>1921</v>
      </c>
      <c r="D50" s="888" t="str">
        <f>'Expenditures 15-22'!A31</f>
        <v>Bilingual Programs - Private Tuition</v>
      </c>
      <c r="E50" s="868"/>
      <c r="F50" s="1910">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10">
        <f>'Expenditures 15-22'!K32</f>
        <v>0</v>
      </c>
      <c r="G51" s="865"/>
    </row>
    <row r="52" spans="1:7" x14ac:dyDescent="0.2">
      <c r="A52" s="869" t="s">
        <v>458</v>
      </c>
      <c r="B52" s="869" t="s">
        <v>1473</v>
      </c>
      <c r="C52" s="889" t="str">
        <f>'Expenditures 15-22'!B75</f>
        <v>3000</v>
      </c>
      <c r="D52" s="888" t="s">
        <v>448</v>
      </c>
      <c r="E52" s="868"/>
      <c r="F52" s="1910">
        <f>'Expenditures 15-22'!K75-SUM('Expenditures 15-22'!G75,'Expenditures 15-22'!I75)</f>
        <v>1063</v>
      </c>
      <c r="G52" s="865"/>
    </row>
    <row r="53" spans="1:7" x14ac:dyDescent="0.2">
      <c r="A53" s="869" t="s">
        <v>458</v>
      </c>
      <c r="B53" s="869" t="s">
        <v>1474</v>
      </c>
      <c r="C53" s="889">
        <f>'Expenditures 15-22'!B102</f>
        <v>4000</v>
      </c>
      <c r="D53" s="888" t="str">
        <f>'Expenditures 15-22'!A102</f>
        <v>Total Payments to Other Govt Units</v>
      </c>
      <c r="E53" s="868"/>
      <c r="F53" s="1910">
        <f>'Expenditures 15-22'!K102</f>
        <v>425959</v>
      </c>
      <c r="G53" s="865"/>
    </row>
    <row r="54" spans="1:7" x14ac:dyDescent="0.2">
      <c r="A54" s="869" t="s">
        <v>458</v>
      </c>
      <c r="B54" s="869" t="s">
        <v>1475</v>
      </c>
      <c r="C54" s="889" t="s">
        <v>981</v>
      </c>
      <c r="D54" s="885" t="s">
        <v>1094</v>
      </c>
      <c r="E54" s="868"/>
      <c r="F54" s="1910">
        <f>'Expenditures 15-22'!G114</f>
        <v>679</v>
      </c>
      <c r="G54" s="865"/>
    </row>
    <row r="55" spans="1:7" x14ac:dyDescent="0.2">
      <c r="A55" s="869" t="s">
        <v>458</v>
      </c>
      <c r="B55" s="869" t="s">
        <v>1476</v>
      </c>
      <c r="C55" s="889" t="s">
        <v>981</v>
      </c>
      <c r="D55" s="885" t="s">
        <v>290</v>
      </c>
      <c r="E55" s="868"/>
      <c r="F55" s="1910">
        <f>'Expenditures 15-22'!I114</f>
        <v>0</v>
      </c>
      <c r="G55" s="865"/>
    </row>
    <row r="56" spans="1:7" x14ac:dyDescent="0.2">
      <c r="A56" s="869" t="s">
        <v>459</v>
      </c>
      <c r="B56" s="869" t="s">
        <v>1477</v>
      </c>
      <c r="C56" s="886" t="str">
        <f>'Expenditures 15-22'!B130</f>
        <v>3000</v>
      </c>
      <c r="D56" s="892" t="s">
        <v>448</v>
      </c>
      <c r="E56" s="868"/>
      <c r="F56" s="1910">
        <f>'Expenditures 15-22'!K130-SUM('Expenditures 15-22'!G130+'Expenditures 15-22'!I130)</f>
        <v>0</v>
      </c>
      <c r="G56" s="865"/>
    </row>
    <row r="57" spans="1:7" x14ac:dyDescent="0.2">
      <c r="A57" s="869" t="s">
        <v>459</v>
      </c>
      <c r="B57" s="869" t="s">
        <v>1881</v>
      </c>
      <c r="C57" s="889">
        <f>'Expenditures 15-22'!B139</f>
        <v>4000</v>
      </c>
      <c r="D57" s="887" t="str">
        <f>'Expenditures 15-22'!A139</f>
        <v>Total Payments to Other Govt Units</v>
      </c>
      <c r="E57" s="868"/>
      <c r="F57" s="1910">
        <f>'Expenditures 15-22'!K139</f>
        <v>0</v>
      </c>
      <c r="G57" s="865"/>
    </row>
    <row r="58" spans="1:7" x14ac:dyDescent="0.2">
      <c r="A58" s="869" t="s">
        <v>459</v>
      </c>
      <c r="B58" s="869" t="s">
        <v>1882</v>
      </c>
      <c r="C58" s="886" t="s">
        <v>981</v>
      </c>
      <c r="D58" s="885" t="s">
        <v>1094</v>
      </c>
      <c r="E58" s="868"/>
      <c r="F58" s="1912">
        <f>'Expenditures 15-22'!G151</f>
        <v>4432</v>
      </c>
      <c r="G58" s="865"/>
    </row>
    <row r="59" spans="1:7" x14ac:dyDescent="0.2">
      <c r="A59" s="893" t="s">
        <v>459</v>
      </c>
      <c r="B59" s="856" t="s">
        <v>1883</v>
      </c>
      <c r="C59" s="894" t="s">
        <v>981</v>
      </c>
      <c r="D59" s="856" t="s">
        <v>290</v>
      </c>
      <c r="F59" s="1913">
        <f>'Expenditures 15-22'!I151</f>
        <v>0</v>
      </c>
      <c r="G59" s="865"/>
    </row>
    <row r="60" spans="1:7" x14ac:dyDescent="0.2">
      <c r="A60" s="893" t="s">
        <v>498</v>
      </c>
      <c r="B60" s="856" t="s">
        <v>1884</v>
      </c>
      <c r="C60" s="894">
        <v>4000</v>
      </c>
      <c r="D60" s="856" t="s">
        <v>311</v>
      </c>
      <c r="F60" s="1911">
        <f>'Expenditures 15-22'!K160</f>
        <v>0</v>
      </c>
      <c r="G60" s="865"/>
    </row>
    <row r="61" spans="1:7" x14ac:dyDescent="0.2">
      <c r="A61" s="895" t="s">
        <v>498</v>
      </c>
      <c r="B61" s="895" t="s">
        <v>1885</v>
      </c>
      <c r="C61" s="896" t="str">
        <f>'Expenditures 15-22'!B170</f>
        <v>5300</v>
      </c>
      <c r="D61" s="897" t="s">
        <v>310</v>
      </c>
      <c r="E61" s="879"/>
      <c r="F61" s="1910">
        <f>'Expenditures 15-22'!K170</f>
        <v>540000</v>
      </c>
      <c r="G61" s="865"/>
    </row>
    <row r="62" spans="1:7" x14ac:dyDescent="0.2">
      <c r="A62" s="869" t="s">
        <v>460</v>
      </c>
      <c r="B62" s="869" t="s">
        <v>1886</v>
      </c>
      <c r="C62" s="886">
        <f>'Expenditures 15-22'!B185</f>
        <v>3000</v>
      </c>
      <c r="D62" s="876" t="s">
        <v>448</v>
      </c>
      <c r="E62" s="868"/>
      <c r="F62" s="1910">
        <f>'Expenditures 15-22'!K185-SUM('Expenditures 15-22'!G185,'Expenditures 15-22'!I185)</f>
        <v>0</v>
      </c>
      <c r="G62" s="865"/>
    </row>
    <row r="63" spans="1:7" x14ac:dyDescent="0.2">
      <c r="A63" s="869" t="s">
        <v>460</v>
      </c>
      <c r="B63" s="869" t="s">
        <v>1887</v>
      </c>
      <c r="C63" s="886" t="str">
        <f>'Expenditures 15-22'!B196</f>
        <v>4000</v>
      </c>
      <c r="D63" s="887" t="str">
        <f>'Expenditures 15-22'!A196</f>
        <v>Total Payments to Other Govt Units</v>
      </c>
      <c r="E63" s="868"/>
      <c r="F63" s="1910">
        <f>'Expenditures 15-22'!K196</f>
        <v>0</v>
      </c>
      <c r="G63" s="865"/>
    </row>
    <row r="64" spans="1:7" x14ac:dyDescent="0.2">
      <c r="A64" s="895" t="s">
        <v>460</v>
      </c>
      <c r="B64" s="895" t="s">
        <v>1888</v>
      </c>
      <c r="C64" s="896" t="str">
        <f>'Expenditures 15-22'!B206</f>
        <v>5300</v>
      </c>
      <c r="D64" s="892" t="s">
        <v>310</v>
      </c>
      <c r="E64" s="868"/>
      <c r="F64" s="1910">
        <f>'Expenditures 15-22'!K206</f>
        <v>110826</v>
      </c>
      <c r="G64" s="865"/>
    </row>
    <row r="65" spans="1:8" x14ac:dyDescent="0.2">
      <c r="A65" s="869" t="s">
        <v>460</v>
      </c>
      <c r="B65" s="869" t="s">
        <v>1889</v>
      </c>
      <c r="C65" s="886" t="s">
        <v>981</v>
      </c>
      <c r="D65" s="885" t="s">
        <v>1094</v>
      </c>
      <c r="E65" s="868"/>
      <c r="F65" s="1910">
        <f>'Expenditures 15-22'!G210</f>
        <v>230768</v>
      </c>
      <c r="G65" s="865"/>
    </row>
    <row r="66" spans="1:8" x14ac:dyDescent="0.2">
      <c r="A66" s="869" t="s">
        <v>460</v>
      </c>
      <c r="B66" s="869" t="s">
        <v>1890</v>
      </c>
      <c r="C66" s="886" t="s">
        <v>981</v>
      </c>
      <c r="D66" s="885" t="s">
        <v>290</v>
      </c>
      <c r="E66" s="868"/>
      <c r="F66" s="1910">
        <f>'Expenditures 15-22'!I210</f>
        <v>0</v>
      </c>
      <c r="G66" s="865"/>
    </row>
    <row r="67" spans="1:8" x14ac:dyDescent="0.2">
      <c r="A67" s="869" t="s">
        <v>461</v>
      </c>
      <c r="B67" s="869" t="s">
        <v>1891</v>
      </c>
      <c r="C67" s="886" t="str">
        <f>'Expenditures 15-22'!B216</f>
        <v>1125</v>
      </c>
      <c r="D67" s="892" t="str">
        <f>'Expenditures 15-22'!A216</f>
        <v>Pre-K Programs</v>
      </c>
      <c r="E67" s="868"/>
      <c r="F67" s="1910">
        <f>'Expenditures 15-22'!K216</f>
        <v>1308</v>
      </c>
      <c r="G67" s="865"/>
    </row>
    <row r="68" spans="1:8" x14ac:dyDescent="0.2">
      <c r="A68" s="869" t="s">
        <v>461</v>
      </c>
      <c r="B68" s="869" t="s">
        <v>1478</v>
      </c>
      <c r="C68" s="886" t="str">
        <f>'Expenditures 15-22'!B218</f>
        <v>1225</v>
      </c>
      <c r="D68" s="892" t="str">
        <f>'Expenditures 15-22'!A218</f>
        <v>Special Education Programs - Pre-K</v>
      </c>
      <c r="E68" s="868"/>
      <c r="F68" s="1910">
        <f>'Expenditures 15-22'!K218</f>
        <v>1346</v>
      </c>
      <c r="G68" s="865"/>
    </row>
    <row r="69" spans="1:8" x14ac:dyDescent="0.2">
      <c r="A69" s="869" t="s">
        <v>461</v>
      </c>
      <c r="B69" s="869" t="s">
        <v>1892</v>
      </c>
      <c r="C69" s="886" t="str">
        <f>'Expenditures 15-22'!B220</f>
        <v>1275</v>
      </c>
      <c r="D69" s="892" t="str">
        <f>'Expenditures 15-22'!A220</f>
        <v>Remedial and Supplemental Programs - Pre-K</v>
      </c>
      <c r="E69" s="868"/>
      <c r="F69" s="1910">
        <f>'Expenditures 15-22'!K220</f>
        <v>0</v>
      </c>
      <c r="G69" s="865"/>
    </row>
    <row r="70" spans="1:8" x14ac:dyDescent="0.2">
      <c r="A70" s="869" t="s">
        <v>461</v>
      </c>
      <c r="B70" s="869" t="s">
        <v>1893</v>
      </c>
      <c r="C70" s="886">
        <f>'Expenditures 15-22'!B221</f>
        <v>1300</v>
      </c>
      <c r="D70" s="887" t="str">
        <f>'Expenditures 15-22'!A221</f>
        <v>Adult/Continuing Education Programs</v>
      </c>
      <c r="E70" s="868"/>
      <c r="F70" s="1910">
        <f>'Expenditures 15-22'!K221</f>
        <v>0</v>
      </c>
      <c r="G70" s="865"/>
    </row>
    <row r="71" spans="1:8" x14ac:dyDescent="0.2">
      <c r="A71" s="869" t="s">
        <v>461</v>
      </c>
      <c r="B71" s="869" t="s">
        <v>1894</v>
      </c>
      <c r="C71" s="886">
        <f>'Expenditures 15-22'!B224</f>
        <v>1600</v>
      </c>
      <c r="D71" s="887" t="str">
        <f>'Expenditures 15-22'!A224</f>
        <v>Summer School Programs</v>
      </c>
      <c r="E71" s="868"/>
      <c r="F71" s="1910">
        <f>'Expenditures 15-22'!K224</f>
        <v>0</v>
      </c>
      <c r="G71" s="865"/>
    </row>
    <row r="72" spans="1:8" x14ac:dyDescent="0.2">
      <c r="A72" s="869" t="s">
        <v>461</v>
      </c>
      <c r="B72" s="869" t="s">
        <v>1895</v>
      </c>
      <c r="C72" s="886">
        <f>'Expenditures 15-22'!B280</f>
        <v>3000</v>
      </c>
      <c r="D72" s="876" t="s">
        <v>448</v>
      </c>
      <c r="E72" s="868"/>
      <c r="F72" s="1910">
        <f>'Expenditures 15-22'!K280</f>
        <v>0</v>
      </c>
      <c r="G72" s="865"/>
    </row>
    <row r="73" spans="1:8" x14ac:dyDescent="0.2">
      <c r="A73" s="869" t="s">
        <v>461</v>
      </c>
      <c r="B73" s="869" t="s">
        <v>1896</v>
      </c>
      <c r="C73" s="886" t="str">
        <f>'Expenditures 15-22'!B285</f>
        <v>4000</v>
      </c>
      <c r="D73" s="887" t="str">
        <f>'Expenditures 15-22'!A285</f>
        <v>Total Payments to Other Govt Units</v>
      </c>
      <c r="E73" s="868"/>
      <c r="F73" s="1910">
        <f>'Expenditures 15-22'!K285</f>
        <v>3296</v>
      </c>
      <c r="G73" s="865"/>
    </row>
    <row r="74" spans="1:8" x14ac:dyDescent="0.2">
      <c r="A74" s="869" t="s">
        <v>435</v>
      </c>
      <c r="B74" s="869" t="s">
        <v>1897</v>
      </c>
      <c r="C74" s="886" t="s">
        <v>859</v>
      </c>
      <c r="D74" s="887" t="s">
        <v>1486</v>
      </c>
      <c r="E74" s="868"/>
      <c r="F74" s="1914">
        <f>'Expenditures 15-22'!K334</f>
        <v>0</v>
      </c>
      <c r="G74" s="865"/>
    </row>
    <row r="75" spans="1:8" ht="5.25" customHeight="1" x14ac:dyDescent="0.2">
      <c r="A75" s="865"/>
      <c r="B75" s="875"/>
      <c r="C75" s="875"/>
      <c r="D75" s="865"/>
      <c r="E75" s="868"/>
      <c r="F75" s="882"/>
      <c r="G75" s="867"/>
    </row>
    <row r="76" spans="1:8" ht="12" thickBot="1" x14ac:dyDescent="0.25">
      <c r="A76" s="1767"/>
      <c r="B76" s="1773"/>
      <c r="C76" s="1769"/>
      <c r="D76" s="1774" t="s">
        <v>1898</v>
      </c>
      <c r="E76" s="1771" t="s">
        <v>957</v>
      </c>
      <c r="F76" s="1775">
        <f>SUM(F18:F74)</f>
        <v>1391248</v>
      </c>
      <c r="G76" s="865"/>
    </row>
    <row r="77" spans="1:8" s="893" customFormat="1" ht="12" customHeight="1" thickTop="1" thickBot="1" x14ac:dyDescent="0.25">
      <c r="A77" s="1776"/>
      <c r="B77" s="1773"/>
      <c r="C77" s="1769"/>
      <c r="D77" s="1774" t="s">
        <v>1899</v>
      </c>
      <c r="E77" s="1771"/>
      <c r="F77" s="1777">
        <f>(F14-F76)</f>
        <v>6828244</v>
      </c>
      <c r="G77" s="869"/>
    </row>
    <row r="78" spans="1:8" s="893" customFormat="1" ht="12" customHeight="1" thickTop="1" x14ac:dyDescent="0.2">
      <c r="A78" s="1778"/>
      <c r="B78" s="1773"/>
      <c r="C78" s="1769"/>
      <c r="D78" s="1774" t="s">
        <v>2061</v>
      </c>
      <c r="E78" s="1771"/>
      <c r="F78" s="898">
        <v>520</v>
      </c>
      <c r="G78" s="899"/>
      <c r="H78" s="869"/>
    </row>
    <row r="79" spans="1:8" s="893" customFormat="1" ht="12" customHeight="1" thickBot="1" x14ac:dyDescent="0.25">
      <c r="A79" s="1779"/>
      <c r="B79" s="1773"/>
      <c r="C79" s="1769"/>
      <c r="D79" s="1774" t="s">
        <v>1900</v>
      </c>
      <c r="E79" s="1771" t="s">
        <v>957</v>
      </c>
      <c r="F79" s="1780">
        <f>IF(F78&gt;0,F77/F78," Complete Line 78")</f>
        <v>13131.238461538462</v>
      </c>
      <c r="G79" s="869"/>
    </row>
    <row r="80" spans="1:8" s="893" customFormat="1" ht="8.25" customHeight="1" thickTop="1" x14ac:dyDescent="0.2">
      <c r="A80" s="900"/>
      <c r="B80" s="869"/>
      <c r="C80" s="871"/>
      <c r="D80" s="901"/>
      <c r="E80" s="868"/>
      <c r="F80" s="902"/>
      <c r="G80" s="869"/>
    </row>
    <row r="81" spans="1:7" s="893" customFormat="1" ht="12" thickBot="1" x14ac:dyDescent="0.25">
      <c r="A81" s="2265" t="s">
        <v>1104</v>
      </c>
      <c r="B81" s="2266"/>
      <c r="C81" s="2266"/>
      <c r="D81" s="2266"/>
      <c r="E81" s="2266"/>
      <c r="F81" s="2267"/>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4">
        <f>'Revenues 9-14'!F42</f>
        <v>10591</v>
      </c>
      <c r="G84" s="912"/>
    </row>
    <row r="85" spans="1:7" x14ac:dyDescent="0.2">
      <c r="A85" s="908" t="s">
        <v>460</v>
      </c>
      <c r="B85" s="908" t="s">
        <v>183</v>
      </c>
      <c r="C85" s="913">
        <f>'Revenues 9-14'!B44</f>
        <v>1413</v>
      </c>
      <c r="D85" s="911" t="str">
        <f>'Revenues 9-14'!A44</f>
        <v>Regular - Transp Fees from Other Sources (In State)</v>
      </c>
      <c r="E85" s="906"/>
      <c r="F85" s="1786">
        <f>'Revenues 9-14'!F44</f>
        <v>0</v>
      </c>
      <c r="G85" s="914"/>
    </row>
    <row r="86" spans="1:7" x14ac:dyDescent="0.2">
      <c r="A86" s="908" t="s">
        <v>460</v>
      </c>
      <c r="B86" s="908" t="s">
        <v>166</v>
      </c>
      <c r="C86" s="910">
        <f>'Revenues 9-14'!B45</f>
        <v>1415</v>
      </c>
      <c r="D86" s="911" t="str">
        <f>'Revenues 9-14'!A45</f>
        <v>Regular - Transp Fees from Co-curricular Activities (In State)</v>
      </c>
      <c r="E86" s="906"/>
      <c r="F86" s="1786">
        <f>'Revenues 9-14'!F45</f>
        <v>0</v>
      </c>
      <c r="G86" s="914"/>
    </row>
    <row r="87" spans="1:7" x14ac:dyDescent="0.2">
      <c r="A87" s="908" t="s">
        <v>460</v>
      </c>
      <c r="B87" s="908" t="s">
        <v>167</v>
      </c>
      <c r="C87" s="910">
        <v>1416</v>
      </c>
      <c r="D87" s="911" t="str">
        <f>'Revenues 9-14'!A46</f>
        <v>Regular Transp Fees from Other Sources (Out of State)</v>
      </c>
      <c r="E87" s="906"/>
      <c r="F87" s="1786">
        <f>'Revenues 9-14'!F46</f>
        <v>0</v>
      </c>
      <c r="G87" s="914"/>
    </row>
    <row r="88" spans="1:7" x14ac:dyDescent="0.2">
      <c r="A88" s="908" t="s">
        <v>460</v>
      </c>
      <c r="B88" s="908" t="s">
        <v>168</v>
      </c>
      <c r="C88" s="910">
        <f>'Revenues 9-14'!B51</f>
        <v>1431</v>
      </c>
      <c r="D88" s="911" t="str">
        <f>'Revenues 9-14'!A51</f>
        <v>CTE - Transp Fees from Pupils or Parents (In State)</v>
      </c>
      <c r="E88" s="906"/>
      <c r="F88" s="1786">
        <f>'Revenues 9-14'!F51</f>
        <v>0</v>
      </c>
      <c r="G88" s="914"/>
    </row>
    <row r="89" spans="1:7" x14ac:dyDescent="0.2">
      <c r="A89" s="908" t="s">
        <v>460</v>
      </c>
      <c r="B89" s="908" t="s">
        <v>169</v>
      </c>
      <c r="C89" s="910">
        <f>'Revenues 9-14'!B53</f>
        <v>1433</v>
      </c>
      <c r="D89" s="911" t="str">
        <f>'Revenues 9-14'!A53</f>
        <v>CTE - Transp Fees from Other Sources (In State)</v>
      </c>
      <c r="E89" s="906"/>
      <c r="F89" s="1786">
        <f>'Revenues 9-14'!F53</f>
        <v>0</v>
      </c>
      <c r="G89" s="914"/>
    </row>
    <row r="90" spans="1:7" x14ac:dyDescent="0.2">
      <c r="A90" s="908" t="s">
        <v>460</v>
      </c>
      <c r="B90" s="908" t="s">
        <v>170</v>
      </c>
      <c r="C90" s="910">
        <f>'Revenues 9-14'!B54</f>
        <v>1434</v>
      </c>
      <c r="D90" s="911" t="str">
        <f>'Revenues 9-14'!A54</f>
        <v>CTE - Transp Fees from Other Sources (Out of State)</v>
      </c>
      <c r="E90" s="906"/>
      <c r="F90" s="1786">
        <f>'Revenues 9-14'!F54</f>
        <v>0</v>
      </c>
      <c r="G90" s="914"/>
    </row>
    <row r="91" spans="1:7" x14ac:dyDescent="0.2">
      <c r="A91" s="908" t="s">
        <v>460</v>
      </c>
      <c r="B91" s="908" t="s">
        <v>171</v>
      </c>
      <c r="C91" s="915">
        <f>'Revenues 9-14'!B55</f>
        <v>1441</v>
      </c>
      <c r="D91" s="911" t="str">
        <f>'Revenues 9-14'!A55</f>
        <v>Special Ed - Transp Fees from Pupils or Parents (In State)</v>
      </c>
      <c r="E91" s="906"/>
      <c r="F91" s="1786">
        <f>'Revenues 9-14'!F55</f>
        <v>0</v>
      </c>
      <c r="G91" s="914"/>
    </row>
    <row r="92" spans="1:7" x14ac:dyDescent="0.2">
      <c r="A92" s="908" t="s">
        <v>460</v>
      </c>
      <c r="B92" s="908" t="s">
        <v>172</v>
      </c>
      <c r="C92" s="910">
        <f>'Revenues 9-14'!B57</f>
        <v>1443</v>
      </c>
      <c r="D92" s="911" t="str">
        <f>'Revenues 9-14'!A57</f>
        <v>Special Ed - Transp Fees from Other Sources (In State)</v>
      </c>
      <c r="E92" s="906"/>
      <c r="F92" s="1786">
        <f>'Revenues 9-14'!F57</f>
        <v>0</v>
      </c>
      <c r="G92" s="916"/>
    </row>
    <row r="93" spans="1:7" x14ac:dyDescent="0.2">
      <c r="A93" s="908" t="s">
        <v>460</v>
      </c>
      <c r="B93" s="908" t="s">
        <v>173</v>
      </c>
      <c r="C93" s="910">
        <f>'Revenues 9-14'!B58</f>
        <v>1444</v>
      </c>
      <c r="D93" s="911" t="str">
        <f>'Revenues 9-14'!A58</f>
        <v>Special Ed - Transp Fees from Other Sources (Out of State)</v>
      </c>
      <c r="E93" s="906"/>
      <c r="F93" s="1786">
        <f>'Revenues 9-14'!F58</f>
        <v>0</v>
      </c>
      <c r="G93" s="916"/>
    </row>
    <row r="94" spans="1:7" x14ac:dyDescent="0.2">
      <c r="A94" s="908" t="s">
        <v>458</v>
      </c>
      <c r="B94" s="908" t="s">
        <v>174</v>
      </c>
      <c r="C94" s="910">
        <v>1600</v>
      </c>
      <c r="D94" s="917" t="str">
        <f>'Revenues 9-14'!A75</f>
        <v>Total Food Service</v>
      </c>
      <c r="E94" s="906"/>
      <c r="F94" s="1786">
        <f>'Revenues 9-14'!C75</f>
        <v>66462</v>
      </c>
      <c r="G94" s="912"/>
    </row>
    <row r="95" spans="1:7" x14ac:dyDescent="0.2">
      <c r="A95" s="908" t="s">
        <v>140</v>
      </c>
      <c r="B95" s="908" t="s">
        <v>175</v>
      </c>
      <c r="C95" s="910">
        <v>1700</v>
      </c>
      <c r="D95" s="918" t="str">
        <f>'Revenues 9-14'!A82</f>
        <v>Total District/School Activity Income</v>
      </c>
      <c r="E95" s="906"/>
      <c r="F95" s="1786">
        <f>SUM('Revenues 9-14'!C82,'Revenues 9-14'!D82)</f>
        <v>43129</v>
      </c>
      <c r="G95" s="912"/>
    </row>
    <row r="96" spans="1:7" x14ac:dyDescent="0.2">
      <c r="A96" s="908" t="s">
        <v>458</v>
      </c>
      <c r="B96" s="908" t="s">
        <v>176</v>
      </c>
      <c r="C96" s="910">
        <f>'Revenues 9-14'!B84</f>
        <v>1811</v>
      </c>
      <c r="D96" s="911" t="str">
        <f>'Revenues 9-14'!A84</f>
        <v>Rentals - Regular Textbooks</v>
      </c>
      <c r="E96" s="906"/>
      <c r="F96" s="1786">
        <f>'Revenues 9-14'!C84</f>
        <v>26351</v>
      </c>
      <c r="G96" s="912"/>
    </row>
    <row r="97" spans="1:7" x14ac:dyDescent="0.2">
      <c r="A97" s="908" t="s">
        <v>458</v>
      </c>
      <c r="B97" s="908" t="s">
        <v>177</v>
      </c>
      <c r="C97" s="910">
        <f>'Revenues 9-14'!B87</f>
        <v>1819</v>
      </c>
      <c r="D97" s="911" t="str">
        <f>'Revenues 9-14'!A87</f>
        <v>Rentals - Other (Describe &amp; Itemize)</v>
      </c>
      <c r="E97" s="906"/>
      <c r="F97" s="1786">
        <f>'Revenues 9-14'!C87</f>
        <v>0</v>
      </c>
      <c r="G97" s="912"/>
    </row>
    <row r="98" spans="1:7" x14ac:dyDescent="0.2">
      <c r="A98" s="908" t="s">
        <v>458</v>
      </c>
      <c r="B98" s="908" t="s">
        <v>178</v>
      </c>
      <c r="C98" s="910">
        <f>'Revenues 9-14'!B88</f>
        <v>1821</v>
      </c>
      <c r="D98" s="911" t="str">
        <f>'Revenues 9-14'!A88</f>
        <v>Sales - Regular Textbooks</v>
      </c>
      <c r="E98" s="906"/>
      <c r="F98" s="1786">
        <f>'Revenues 9-14'!C88</f>
        <v>0</v>
      </c>
      <c r="G98" s="912"/>
    </row>
    <row r="99" spans="1:7" x14ac:dyDescent="0.2">
      <c r="A99" s="908" t="s">
        <v>458</v>
      </c>
      <c r="B99" s="908" t="s">
        <v>179</v>
      </c>
      <c r="C99" s="910">
        <f>'Revenues 9-14'!B91</f>
        <v>1829</v>
      </c>
      <c r="D99" s="911" t="str">
        <f>'Revenues 9-14'!A91</f>
        <v>Sales - Other (Describe &amp; Itemize)</v>
      </c>
      <c r="E99" s="906"/>
      <c r="F99" s="1786">
        <f>'Revenues 9-14'!C91</f>
        <v>0</v>
      </c>
      <c r="G99" s="912"/>
    </row>
    <row r="100" spans="1:7" x14ac:dyDescent="0.2">
      <c r="A100" s="908" t="s">
        <v>458</v>
      </c>
      <c r="B100" s="908" t="s">
        <v>180</v>
      </c>
      <c r="C100" s="910">
        <f>'Revenues 9-14'!B92</f>
        <v>1890</v>
      </c>
      <c r="D100" s="911" t="str">
        <f>'Revenues 9-14'!A92</f>
        <v>Other (Describe &amp; Itemize)</v>
      </c>
      <c r="E100" s="906"/>
      <c r="F100" s="1786">
        <f>'Revenues 9-14'!C92</f>
        <v>0</v>
      </c>
      <c r="G100" s="912"/>
    </row>
    <row r="101" spans="1:7" x14ac:dyDescent="0.2">
      <c r="A101" s="908" t="s">
        <v>140</v>
      </c>
      <c r="B101" s="908" t="s">
        <v>181</v>
      </c>
      <c r="C101" s="910">
        <f>'Revenues 9-14'!B95</f>
        <v>1910</v>
      </c>
      <c r="D101" s="911" t="str">
        <f>'Revenues 9-14'!A95</f>
        <v>Rentals</v>
      </c>
      <c r="E101" s="906"/>
      <c r="F101" s="1786">
        <f>SUM('Revenues 9-14'!C95:D95)</f>
        <v>0</v>
      </c>
      <c r="G101" s="912"/>
    </row>
    <row r="102" spans="1:7" x14ac:dyDescent="0.2">
      <c r="A102" s="908" t="s">
        <v>502</v>
      </c>
      <c r="B102" s="908" t="s">
        <v>182</v>
      </c>
      <c r="C102" s="910">
        <f>'Revenues 9-14'!B98</f>
        <v>1940</v>
      </c>
      <c r="D102" s="911" t="str">
        <f>'Revenues 9-14'!A98</f>
        <v>Services Provided Other Districts</v>
      </c>
      <c r="E102" s="906"/>
      <c r="F102" s="1786">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86">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86">
        <f>('Revenues 9-14'!C106)</f>
        <v>0</v>
      </c>
      <c r="G104" s="912"/>
    </row>
    <row r="105" spans="1:7" x14ac:dyDescent="0.2">
      <c r="A105" s="908" t="s">
        <v>502</v>
      </c>
      <c r="B105" s="908" t="s">
        <v>2002</v>
      </c>
      <c r="C105" s="913">
        <v>3100</v>
      </c>
      <c r="D105" s="919" t="str">
        <f>'Revenues 9-14'!A132</f>
        <v>Total Special Education</v>
      </c>
      <c r="E105" s="906"/>
      <c r="F105" s="1786">
        <f>SUM('Revenues 9-14'!C132:D132,'Revenues 9-14'!F132)</f>
        <v>42661</v>
      </c>
      <c r="G105" s="912"/>
    </row>
    <row r="106" spans="1:7" x14ac:dyDescent="0.2">
      <c r="A106" s="908" t="s">
        <v>672</v>
      </c>
      <c r="B106" s="908" t="s">
        <v>2003</v>
      </c>
      <c r="C106" s="920">
        <v>3200</v>
      </c>
      <c r="D106" s="911" t="str">
        <f>'Revenues 9-14'!A141</f>
        <v>Total Career and Technical Education</v>
      </c>
      <c r="E106" s="906"/>
      <c r="F106" s="1786">
        <f>SUM('Revenues 9-14'!C141,'Revenues 9-14'!D141,'Revenues 9-14'!G141)</f>
        <v>4842</v>
      </c>
      <c r="G106" s="912"/>
    </row>
    <row r="107" spans="1:7" x14ac:dyDescent="0.2">
      <c r="A107" s="921" t="s">
        <v>663</v>
      </c>
      <c r="B107" s="908" t="s">
        <v>2004</v>
      </c>
      <c r="C107" s="920">
        <v>3300</v>
      </c>
      <c r="D107" s="911" t="str">
        <f>'Revenues 9-14'!A145</f>
        <v>Total Bilingual Ed</v>
      </c>
      <c r="E107" s="906"/>
      <c r="F107" s="1786">
        <f>SUM('Revenues 9-14'!C145,'Revenues 9-14'!G145)</f>
        <v>0</v>
      </c>
      <c r="G107" s="912"/>
    </row>
    <row r="108" spans="1:7" x14ac:dyDescent="0.2">
      <c r="A108" s="908" t="s">
        <v>458</v>
      </c>
      <c r="B108" s="908" t="s">
        <v>2005</v>
      </c>
      <c r="C108" s="920">
        <f>'Revenues 9-14'!B146</f>
        <v>3360</v>
      </c>
      <c r="D108" s="911" t="str">
        <f>'Revenues 9-14'!A146</f>
        <v>State Free Lunch &amp; Breakfast</v>
      </c>
      <c r="E108" s="906"/>
      <c r="F108" s="1786">
        <f>'Revenues 9-14'!C146</f>
        <v>2464</v>
      </c>
      <c r="G108" s="912"/>
    </row>
    <row r="109" spans="1:7" x14ac:dyDescent="0.2">
      <c r="A109" s="908" t="s">
        <v>672</v>
      </c>
      <c r="B109" s="908" t="s">
        <v>2006</v>
      </c>
      <c r="C109" s="920">
        <f>'Revenues 9-14'!B147</f>
        <v>3365</v>
      </c>
      <c r="D109" s="911" t="str">
        <f>'Revenues 9-14'!A147</f>
        <v>School Breakfast Initiative</v>
      </c>
      <c r="E109" s="906"/>
      <c r="F109" s="1786">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86">
        <f>SUM('Revenues 9-14'!C148,'Revenues 9-14'!D148)</f>
        <v>6935</v>
      </c>
      <c r="G110" s="912"/>
    </row>
    <row r="111" spans="1:7" x14ac:dyDescent="0.2">
      <c r="A111" s="908" t="s">
        <v>667</v>
      </c>
      <c r="B111" s="908" t="s">
        <v>2008</v>
      </c>
      <c r="C111" s="922">
        <v>3500</v>
      </c>
      <c r="D111" s="911" t="str">
        <f>'Revenues 9-14'!A155</f>
        <v>Total Transportation</v>
      </c>
      <c r="E111" s="906"/>
      <c r="F111" s="1786">
        <f>SUM('Revenues 9-14'!C155,'Revenues 9-14'!D155,'Revenues 9-14'!F155,'Revenues 9-14'!G155)</f>
        <v>127309</v>
      </c>
      <c r="G111" s="912"/>
    </row>
    <row r="112" spans="1:7" x14ac:dyDescent="0.2">
      <c r="A112" s="908" t="s">
        <v>458</v>
      </c>
      <c r="B112" s="908" t="s">
        <v>2009</v>
      </c>
      <c r="C112" s="920">
        <f>'Revenues 9-14'!B156</f>
        <v>3610</v>
      </c>
      <c r="D112" s="911" t="str">
        <f>'Revenues 9-14'!A156</f>
        <v>Learning Improvement - Change Grants</v>
      </c>
      <c r="E112" s="906"/>
      <c r="F112" s="1786">
        <f>'Revenues 9-14'!C156</f>
        <v>0</v>
      </c>
      <c r="G112" s="912"/>
    </row>
    <row r="113" spans="1:7" x14ac:dyDescent="0.2">
      <c r="A113" s="908" t="s">
        <v>667</v>
      </c>
      <c r="B113" s="908" t="s">
        <v>2010</v>
      </c>
      <c r="C113" s="920">
        <f>'Revenues 9-14'!B157</f>
        <v>3660</v>
      </c>
      <c r="D113" s="911" t="str">
        <f>'Revenues 9-14'!A157</f>
        <v>Scientific Literacy</v>
      </c>
      <c r="E113" s="906"/>
      <c r="F113" s="1786">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86">
        <f>SUM('Revenues 9-14'!C158,'Revenues 9-14'!F158,'Revenues 9-14'!G158)</f>
        <v>0</v>
      </c>
      <c r="G114" s="912"/>
    </row>
    <row r="115" spans="1:7" x14ac:dyDescent="0.2">
      <c r="A115" s="908" t="s">
        <v>667</v>
      </c>
      <c r="B115" s="908" t="s">
        <v>2012</v>
      </c>
      <c r="C115" s="920">
        <f>'Revenues 9-14'!B160</f>
        <v>3766</v>
      </c>
      <c r="D115" s="911" t="str">
        <f>'Revenues 9-14'!A160</f>
        <v>Chicago General Education Block Grant</v>
      </c>
      <c r="E115" s="906"/>
      <c r="F115" s="1786">
        <f>SUM('Revenues 9-14'!C160,'Revenues 9-14'!D160,'Revenues 9-14'!F160,'Revenues 9-14'!G160)</f>
        <v>0</v>
      </c>
      <c r="G115" s="912"/>
    </row>
    <row r="116" spans="1:7" x14ac:dyDescent="0.2">
      <c r="A116" s="908" t="s">
        <v>667</v>
      </c>
      <c r="B116" s="908" t="s">
        <v>2013</v>
      </c>
      <c r="C116" s="920">
        <f>'Revenues 9-14'!B161</f>
        <v>3767</v>
      </c>
      <c r="D116" s="911" t="str">
        <f>'Revenues 9-14'!A161</f>
        <v>Chicago Educational Services Block Grant</v>
      </c>
      <c r="E116" s="906"/>
      <c r="F116" s="1786">
        <f>SUM('Revenues 9-14'!C161,'Revenues 9-14'!D161,'Revenues 9-14'!F161,'Revenues 9-14'!G161)</f>
        <v>0</v>
      </c>
      <c r="G116" s="912"/>
    </row>
    <row r="117" spans="1:7" x14ac:dyDescent="0.2">
      <c r="A117" s="923" t="s">
        <v>1008</v>
      </c>
      <c r="B117" s="923" t="s">
        <v>2014</v>
      </c>
      <c r="C117" s="924">
        <f>'Revenues 9-14'!B162</f>
        <v>3775</v>
      </c>
      <c r="D117" s="925" t="str">
        <f>'Revenues 9-14'!A162</f>
        <v>School Safety &amp; Educational Improvement Block Grant</v>
      </c>
      <c r="E117" s="906"/>
      <c r="F117" s="1904">
        <f>SUM('Revenues 9-14'!C162,'Revenues 9-14'!D162,'Revenues 9-14'!E162,'Revenues 9-14'!F162,'Revenues 9-14'!G162)</f>
        <v>0</v>
      </c>
      <c r="G117" s="912"/>
    </row>
    <row r="118" spans="1:7" x14ac:dyDescent="0.2">
      <c r="A118" s="923" t="s">
        <v>1008</v>
      </c>
      <c r="B118" s="923" t="s">
        <v>2015</v>
      </c>
      <c r="C118" s="924">
        <f>'Revenues 9-14'!B163</f>
        <v>3780</v>
      </c>
      <c r="D118" s="925" t="str">
        <f>'Revenues 9-14'!A163</f>
        <v>Technology - Technology for Success</v>
      </c>
      <c r="E118" s="906"/>
      <c r="F118" s="1904">
        <f>SUM('Revenues 9-14'!C163:G163)</f>
        <v>0</v>
      </c>
      <c r="G118" s="912"/>
    </row>
    <row r="119" spans="1:7" x14ac:dyDescent="0.2">
      <c r="A119" s="923" t="s">
        <v>503</v>
      </c>
      <c r="B119" s="923" t="s">
        <v>2016</v>
      </c>
      <c r="C119" s="924">
        <f>'Revenues 9-14'!B164</f>
        <v>3815</v>
      </c>
      <c r="D119" s="925" t="str">
        <f>'Revenues 9-14'!A164</f>
        <v>State Charter Schools</v>
      </c>
      <c r="E119" s="906"/>
      <c r="F119" s="1904">
        <f>SUM('Revenues 9-14'!C164,'Revenues 9-14'!F164)</f>
        <v>0</v>
      </c>
      <c r="G119" s="912"/>
    </row>
    <row r="120" spans="1:7" x14ac:dyDescent="0.2">
      <c r="A120" s="927" t="s">
        <v>459</v>
      </c>
      <c r="B120" s="927" t="s">
        <v>2017</v>
      </c>
      <c r="C120" s="928">
        <f>'Revenues 9-14'!B167</f>
        <v>3925</v>
      </c>
      <c r="D120" s="929" t="str">
        <f>'Revenues 9-14'!A167</f>
        <v>School Infrastructure - Maintenance Projects</v>
      </c>
      <c r="E120" s="906"/>
      <c r="F120" s="1786">
        <f>'Revenues 9-14'!D167</f>
        <v>0</v>
      </c>
      <c r="G120" s="930"/>
    </row>
    <row r="121" spans="1:7" x14ac:dyDescent="0.2">
      <c r="A121" s="927" t="s">
        <v>499</v>
      </c>
      <c r="B121" s="927" t="s">
        <v>2018</v>
      </c>
      <c r="C121" s="928">
        <f>'Revenues 9-14'!B168</f>
        <v>3999</v>
      </c>
      <c r="D121" s="929" t="s">
        <v>542</v>
      </c>
      <c r="E121" s="931"/>
      <c r="F121" s="1786">
        <f>SUM('Revenues 9-14'!C168:G168,'Revenues 9-14'!J168)</f>
        <v>750</v>
      </c>
      <c r="G121" s="930"/>
    </row>
    <row r="122" spans="1:7" x14ac:dyDescent="0.2">
      <c r="A122" s="927" t="s">
        <v>458</v>
      </c>
      <c r="B122" s="927" t="s">
        <v>2019</v>
      </c>
      <c r="C122" s="932">
        <f>'Revenues 9-14'!B177</f>
        <v>4045</v>
      </c>
      <c r="D122" s="929" t="str">
        <f>'Revenues 9-14'!A177 &amp; " (Subtract)"</f>
        <v>Head Start (Subtract)</v>
      </c>
      <c r="E122" s="906"/>
      <c r="F122" s="1786">
        <f>SUM(-'Revenues 9-14'!C177)</f>
        <v>0</v>
      </c>
      <c r="G122" s="930"/>
    </row>
    <row r="123" spans="1:7" x14ac:dyDescent="0.2">
      <c r="A123" s="927" t="s">
        <v>667</v>
      </c>
      <c r="B123" s="927" t="s">
        <v>2020</v>
      </c>
      <c r="C123" s="932" t="s">
        <v>981</v>
      </c>
      <c r="D123" s="929" t="str">
        <f>('Revenues 9-14'!A181)</f>
        <v>Total Restricted Grants-In-Aid Received Directly from Federal Govt</v>
      </c>
      <c r="E123" s="906"/>
      <c r="F123" s="1786">
        <f>SUM('Revenues 9-14'!C181,'Revenues 9-14'!D181,'Revenues 9-14'!F181,'Revenues 9-14'!G181)</f>
        <v>0</v>
      </c>
      <c r="G123" s="930"/>
    </row>
    <row r="124" spans="1:7" x14ac:dyDescent="0.2">
      <c r="A124" s="927" t="s">
        <v>667</v>
      </c>
      <c r="B124" s="927" t="s">
        <v>2021</v>
      </c>
      <c r="C124" s="932">
        <v>4100</v>
      </c>
      <c r="D124" s="933" t="str">
        <f>'Revenues 9-14'!A188</f>
        <v>Total Title V</v>
      </c>
      <c r="E124" s="906"/>
      <c r="F124" s="1786">
        <f>SUM('Revenues 9-14'!C188,'Revenues 9-14'!D188,'Revenues 9-14'!F188,'Revenues 9-14'!G188)</f>
        <v>0</v>
      </c>
      <c r="G124" s="930"/>
    </row>
    <row r="125" spans="1:7" x14ac:dyDescent="0.2">
      <c r="A125" s="927" t="s">
        <v>663</v>
      </c>
      <c r="B125" s="927" t="s">
        <v>2022</v>
      </c>
      <c r="C125" s="932">
        <v>4200</v>
      </c>
      <c r="D125" s="929" t="str">
        <f>'Revenues 9-14'!A198</f>
        <v>Total Food Service</v>
      </c>
      <c r="E125" s="906"/>
      <c r="F125" s="1786">
        <f>SUM('Revenues 9-14'!C198,'Revenues 9-14'!G198)</f>
        <v>121818</v>
      </c>
      <c r="G125" s="930"/>
    </row>
    <row r="126" spans="1:7" x14ac:dyDescent="0.2">
      <c r="A126" s="927" t="s">
        <v>667</v>
      </c>
      <c r="B126" s="927" t="s">
        <v>2023</v>
      </c>
      <c r="C126" s="932">
        <v>4300</v>
      </c>
      <c r="D126" s="933" t="str">
        <f>'Revenues 9-14'!A204</f>
        <v>Total Title I</v>
      </c>
      <c r="E126" s="906"/>
      <c r="F126" s="1786">
        <f>SUM('Revenues 9-14'!C204,'Revenues 9-14'!D204,'Revenues 9-14'!F204,'Revenues 9-14'!G204)</f>
        <v>246502</v>
      </c>
      <c r="G126" s="930"/>
    </row>
    <row r="127" spans="1:7" x14ac:dyDescent="0.2">
      <c r="A127" s="927" t="s">
        <v>667</v>
      </c>
      <c r="B127" s="927" t="s">
        <v>2024</v>
      </c>
      <c r="C127" s="932">
        <v>4400</v>
      </c>
      <c r="D127" s="933" t="str">
        <f>'Revenues 9-14'!A209</f>
        <v>Total Title IV</v>
      </c>
      <c r="E127" s="906"/>
      <c r="F127" s="1786">
        <f>SUM('Revenues 9-14'!C209,'Revenues 9-14'!D209,'Revenues 9-14'!F209,'Revenues 9-14'!G209)</f>
        <v>0</v>
      </c>
      <c r="G127" s="930"/>
    </row>
    <row r="128" spans="1:7" x14ac:dyDescent="0.2">
      <c r="A128" s="927" t="s">
        <v>667</v>
      </c>
      <c r="B128" s="927" t="s">
        <v>2025</v>
      </c>
      <c r="C128" s="932">
        <f>'Revenues 9-14'!B213</f>
        <v>4620</v>
      </c>
      <c r="D128" s="933" t="str">
        <f>'Revenues 9-14'!A213</f>
        <v>Fed - Spec Education - IDEA - Flow Through</v>
      </c>
      <c r="E128" s="906"/>
      <c r="F128" s="1786">
        <f>SUM('Revenues 9-14'!C213:D213,'Revenues 9-14'!F213:G213)</f>
        <v>125698</v>
      </c>
      <c r="G128" s="930"/>
    </row>
    <row r="129" spans="1:7" x14ac:dyDescent="0.2">
      <c r="A129" s="927" t="s">
        <v>667</v>
      </c>
      <c r="B129" s="927" t="s">
        <v>2026</v>
      </c>
      <c r="C129" s="932">
        <f>'Revenues 9-14'!B214</f>
        <v>4625</v>
      </c>
      <c r="D129" s="933" t="str">
        <f>'Revenues 9-14'!A214</f>
        <v>Fed - Spec Education - IDEA - Room &amp; Board</v>
      </c>
      <c r="E129" s="906"/>
      <c r="F129" s="1786">
        <f>SUM('Revenues 9-14'!C214,'Revenues 9-14'!D214,'Revenues 9-14'!F214,'Revenues 9-14'!G214)</f>
        <v>0</v>
      </c>
      <c r="G129" s="930"/>
    </row>
    <row r="130" spans="1:7" x14ac:dyDescent="0.2">
      <c r="A130" s="927" t="s">
        <v>667</v>
      </c>
      <c r="B130" s="927" t="s">
        <v>2027</v>
      </c>
      <c r="C130" s="932">
        <f>'Revenues 9-14'!B215</f>
        <v>4630</v>
      </c>
      <c r="D130" s="933" t="str">
        <f>'Revenues 9-14'!A215</f>
        <v>Fed - Spec Education - IDEA - Discretionary</v>
      </c>
      <c r="E130" s="906"/>
      <c r="F130" s="1786">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6">
        <f>SUM('Revenues 9-14'!C216:D216,'Revenues 9-14'!F216:G216)</f>
        <v>0</v>
      </c>
      <c r="G131" s="930"/>
    </row>
    <row r="132" spans="1:7" x14ac:dyDescent="0.2">
      <c r="A132" s="927" t="s">
        <v>672</v>
      </c>
      <c r="B132" s="927" t="s">
        <v>2028</v>
      </c>
      <c r="C132" s="932">
        <v>4700</v>
      </c>
      <c r="D132" s="929" t="str">
        <f>'Revenues 9-14'!A221</f>
        <v>Total CTE - Perkins</v>
      </c>
      <c r="E132" s="906"/>
      <c r="F132" s="1786">
        <f>SUM('Revenues 9-14'!C221,'Revenues 9-14'!D221,'Revenues 9-14'!G221)</f>
        <v>11034</v>
      </c>
      <c r="G132" s="930">
        <v>6303</v>
      </c>
    </row>
    <row r="133" spans="1:7" s="867" customFormat="1" hidden="1" x14ac:dyDescent="0.2">
      <c r="A133" s="934" t="s">
        <v>206</v>
      </c>
      <c r="B133" s="934" t="s">
        <v>2029</v>
      </c>
      <c r="C133" s="935" t="s">
        <v>207</v>
      </c>
      <c r="D133" s="936" t="str">
        <f>'Revenues 9-14'!A224</f>
        <v>ARRA - Title I - Low Income</v>
      </c>
      <c r="E133" s="937"/>
      <c r="F133" s="1904">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86">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86">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86">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86">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86">
        <v>0</v>
      </c>
      <c r="G138" s="905"/>
    </row>
    <row r="139" spans="1:7" s="867" customFormat="1" hidden="1" x14ac:dyDescent="0.2">
      <c r="A139" s="934" t="s">
        <v>206</v>
      </c>
      <c r="B139" s="934" t="s">
        <v>2035</v>
      </c>
      <c r="C139" s="935" t="s">
        <v>213</v>
      </c>
      <c r="D139" s="936" t="str">
        <f>'Revenues 9-14'!A230</f>
        <v>ARRA - IDEA - Part B - Flow-Through</v>
      </c>
      <c r="E139" s="937"/>
      <c r="F139" s="1786">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86">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86">
        <f>SUM('Revenues 9-14'!C232:G232,'Revenues 9-14'!J232)</f>
        <v>0</v>
      </c>
      <c r="G141" s="905"/>
    </row>
    <row r="142" spans="1:7" s="867" customFormat="1" hidden="1" x14ac:dyDescent="0.2">
      <c r="A142" s="934" t="s">
        <v>667</v>
      </c>
      <c r="B142" s="934" t="s">
        <v>2038</v>
      </c>
      <c r="C142" s="935" t="s">
        <v>217</v>
      </c>
      <c r="D142" s="936" t="str">
        <f>'Revenues 9-14'!A233</f>
        <v>ARRA - McKinney - Vento Homeless Education</v>
      </c>
      <c r="E142" s="937"/>
      <c r="F142" s="1786">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6">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6">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6">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86">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86">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86">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6">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6">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6">
        <v>0</v>
      </c>
      <c r="G151" s="905"/>
    </row>
    <row r="152" spans="1:7" s="867" customFormat="1" hidden="1" x14ac:dyDescent="0.2">
      <c r="A152" s="934" t="s">
        <v>206</v>
      </c>
      <c r="B152" s="934" t="s">
        <v>1416</v>
      </c>
      <c r="C152" s="935" t="s">
        <v>233</v>
      </c>
      <c r="D152" s="936" t="str">
        <f>'Revenues 9-14'!A247</f>
        <v>Other ARRA Funds VII</v>
      </c>
      <c r="E152" s="937"/>
      <c r="F152" s="1786">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86">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6">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6">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6">
        <f>SUM('Revenues 9-14'!C251:G251,'Revenues 9-14'!J251)</f>
        <v>0</v>
      </c>
      <c r="G156" s="905"/>
    </row>
    <row r="157" spans="1:7" s="867" customFormat="1" x14ac:dyDescent="0.2">
      <c r="A157" s="938" t="s">
        <v>499</v>
      </c>
      <c r="B157" s="939" t="s">
        <v>2043</v>
      </c>
      <c r="C157" s="940" t="s">
        <v>840</v>
      </c>
      <c r="D157" s="941" t="s">
        <v>776</v>
      </c>
      <c r="E157" s="942"/>
      <c r="F157" s="1786">
        <f>SUM(F133:F156)</f>
        <v>0</v>
      </c>
      <c r="G157" s="905"/>
    </row>
    <row r="158" spans="1:7" s="867" customFormat="1" x14ac:dyDescent="0.2">
      <c r="A158" s="938" t="s">
        <v>458</v>
      </c>
      <c r="B158" s="939" t="s">
        <v>2044</v>
      </c>
      <c r="C158" s="940" t="s">
        <v>1426</v>
      </c>
      <c r="D158" s="941" t="s">
        <v>1427</v>
      </c>
      <c r="E158" s="942"/>
      <c r="F158" s="1786">
        <f>SUM('Revenues 9-14'!C253)</f>
        <v>0</v>
      </c>
      <c r="G158" s="905"/>
    </row>
    <row r="159" spans="1:7" s="867" customFormat="1" x14ac:dyDescent="0.2">
      <c r="A159" s="938" t="s">
        <v>499</v>
      </c>
      <c r="B159" s="939" t="s">
        <v>2045</v>
      </c>
      <c r="C159" s="940" t="s">
        <v>1465</v>
      </c>
      <c r="D159" s="941" t="s">
        <v>1466</v>
      </c>
      <c r="E159" s="942"/>
      <c r="F159" s="1786">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86">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86">
        <f>SUM('Revenues 9-14'!C256,'Revenues 9-14'!F256,'Revenues 9-14'!G256)</f>
        <v>0</v>
      </c>
      <c r="G161" s="943"/>
    </row>
    <row r="162" spans="1:7" x14ac:dyDescent="0.2">
      <c r="A162" s="927" t="s">
        <v>667</v>
      </c>
      <c r="B162" s="927" t="s">
        <v>2048</v>
      </c>
      <c r="C162" s="932">
        <f>'Revenues 9-14'!B257</f>
        <v>4920</v>
      </c>
      <c r="D162" s="929" t="str">
        <f>'Revenues 9-14'!A257</f>
        <v>McKinney Education for Homeless Children</v>
      </c>
      <c r="E162" s="906"/>
      <c r="F162" s="1786">
        <f>SUM('Revenues 9-14'!C257,'Revenues 9-14'!D257,'Revenues 9-14'!F257,'Revenues 9-14'!G257)</f>
        <v>0</v>
      </c>
      <c r="G162" s="930"/>
    </row>
    <row r="163" spans="1:7" x14ac:dyDescent="0.2">
      <c r="A163" s="944" t="s">
        <v>667</v>
      </c>
      <c r="B163" s="944" t="s">
        <v>2049</v>
      </c>
      <c r="C163" s="945">
        <f>'Revenues 9-14'!B258</f>
        <v>4930</v>
      </c>
      <c r="D163" s="946" t="str">
        <f>'Revenues 9-14'!A258</f>
        <v>Title II - Eisenhower Professional Development Formula</v>
      </c>
      <c r="E163" s="926"/>
      <c r="F163" s="1904">
        <f>SUM('Revenues 9-14'!C258:D258,'Revenues 9-14'!F258,'Revenues 9-14'!G258)</f>
        <v>0</v>
      </c>
      <c r="G163" s="930"/>
    </row>
    <row r="164" spans="1:7" x14ac:dyDescent="0.2">
      <c r="A164" s="927" t="s">
        <v>667</v>
      </c>
      <c r="B164" s="927" t="s">
        <v>2050</v>
      </c>
      <c r="C164" s="932">
        <f>'Revenues 9-14'!B259</f>
        <v>4932</v>
      </c>
      <c r="D164" s="933" t="str">
        <f>'Revenues 9-14'!A259</f>
        <v>Title II - Teacher Quality</v>
      </c>
      <c r="E164" s="906"/>
      <c r="F164" s="1904">
        <f>SUM('Revenues 9-14'!C259,'Revenues 9-14'!D259,'Revenues 9-14'!F259,'Revenues 9-14'!G259)</f>
        <v>51766</v>
      </c>
      <c r="G164" s="930"/>
    </row>
    <row r="165" spans="1:7" x14ac:dyDescent="0.2">
      <c r="A165" s="927" t="s">
        <v>667</v>
      </c>
      <c r="B165" s="927" t="s">
        <v>2051</v>
      </c>
      <c r="C165" s="932">
        <f>'Revenues 9-14'!B260</f>
        <v>4960</v>
      </c>
      <c r="D165" s="929" t="str">
        <f>'Revenues 9-14'!A260</f>
        <v>Federal Charter Schools</v>
      </c>
      <c r="E165" s="906"/>
      <c r="F165" s="1786">
        <f>SUM('Revenues 9-14'!C260:D260,'Revenues 9-14'!F260:G260)</f>
        <v>0</v>
      </c>
      <c r="G165" s="930"/>
    </row>
    <row r="166" spans="1:7" x14ac:dyDescent="0.2">
      <c r="A166" s="927" t="s">
        <v>667</v>
      </c>
      <c r="B166" s="927" t="s">
        <v>1996</v>
      </c>
      <c r="C166" s="932">
        <f>'Revenues 9-14'!B261</f>
        <v>4981</v>
      </c>
      <c r="D166" s="929" t="str">
        <f>'Revenues 9-14'!A261</f>
        <v>State Assessment Grants</v>
      </c>
      <c r="E166" s="906"/>
      <c r="F166" s="1786">
        <f>SUM('Revenues 9-14'!C261:D261,'Revenues 9-14'!F261:G261)</f>
        <v>0</v>
      </c>
      <c r="G166" s="930"/>
    </row>
    <row r="167" spans="1:7" x14ac:dyDescent="0.2">
      <c r="A167" s="927" t="s">
        <v>667</v>
      </c>
      <c r="B167" s="927" t="s">
        <v>1997</v>
      </c>
      <c r="C167" s="932">
        <f>'Revenues 9-14'!B262</f>
        <v>4982</v>
      </c>
      <c r="D167" s="929" t="str">
        <f>'Revenues 9-14'!A262</f>
        <v>Grant for State Assessments and Related Activities</v>
      </c>
      <c r="E167" s="906"/>
      <c r="F167" s="1786">
        <f>SUM('Revenues 9-14'!C262:D262,'Revenues 9-14'!F262:G262)</f>
        <v>0</v>
      </c>
      <c r="G167" s="930"/>
    </row>
    <row r="168" spans="1:7" x14ac:dyDescent="0.2">
      <c r="A168" s="927" t="s">
        <v>667</v>
      </c>
      <c r="B168" s="927" t="s">
        <v>2052</v>
      </c>
      <c r="C168" s="932">
        <f>'Revenues 9-14'!B263</f>
        <v>4991</v>
      </c>
      <c r="D168" s="933" t="str">
        <f>'Revenues 9-14'!A263</f>
        <v>Medicaid Matching Funds - Administrative Outreach</v>
      </c>
      <c r="E168" s="906"/>
      <c r="F168" s="1786">
        <f>SUM('Revenues 9-14'!C263:D263,'Revenues 9-14'!F263:G263)</f>
        <v>12579</v>
      </c>
      <c r="G168" s="947">
        <v>6320</v>
      </c>
    </row>
    <row r="169" spans="1:7" x14ac:dyDescent="0.2">
      <c r="A169" s="927" t="s">
        <v>667</v>
      </c>
      <c r="B169" s="927" t="s">
        <v>2053</v>
      </c>
      <c r="C169" s="932">
        <f>'Revenues 9-14'!B264</f>
        <v>4992</v>
      </c>
      <c r="D169" s="933" t="str">
        <f>'Revenues 9-14'!A264</f>
        <v>Medicaid Matching Funds - Fee-for-Service Program</v>
      </c>
      <c r="E169" s="906"/>
      <c r="F169" s="1786">
        <f>SUM('Revenues 9-14'!C264:D264,'Revenues 9-14'!F264:G264)</f>
        <v>30894</v>
      </c>
      <c r="G169" s="947"/>
    </row>
    <row r="170" spans="1:7" x14ac:dyDescent="0.2">
      <c r="A170" s="948" t="s">
        <v>667</v>
      </c>
      <c r="B170" s="944" t="s">
        <v>2054</v>
      </c>
      <c r="C170" s="945">
        <f>'Revenues 9-14'!B265</f>
        <v>4999</v>
      </c>
      <c r="D170" s="946" t="str">
        <f>'Revenues 9-14'!A265</f>
        <v>Other Restricted Revenue from Federal Sources (Describe &amp; Itemize)</v>
      </c>
      <c r="E170" s="906"/>
      <c r="F170" s="1786">
        <f>SUM('Revenues 9-14'!C265:D265,'Revenues 9-14'!F265:G265)</f>
        <v>0</v>
      </c>
      <c r="G170" s="927"/>
    </row>
    <row r="171" spans="1:7" x14ac:dyDescent="0.2">
      <c r="A171" s="1915" t="s">
        <v>5</v>
      </c>
      <c r="B171" s="1916" t="s">
        <v>1919</v>
      </c>
      <c r="C171" s="1917">
        <v>3100</v>
      </c>
      <c r="D171" s="1918" t="s">
        <v>1921</v>
      </c>
      <c r="E171" s="906"/>
      <c r="F171" s="1903"/>
      <c r="G171" s="927"/>
    </row>
    <row r="172" spans="1:7" x14ac:dyDescent="0.2">
      <c r="A172" s="1915" t="s">
        <v>663</v>
      </c>
      <c r="B172" s="1916" t="s">
        <v>1919</v>
      </c>
      <c r="C172" s="1917">
        <v>3300</v>
      </c>
      <c r="D172" s="1918" t="s">
        <v>1922</v>
      </c>
      <c r="E172" s="906"/>
      <c r="F172" s="1903"/>
      <c r="G172" s="927"/>
    </row>
    <row r="173" spans="1:7" ht="6" customHeight="1" x14ac:dyDescent="0.2">
      <c r="A173" s="927"/>
      <c r="B173" s="927"/>
      <c r="C173" s="949"/>
      <c r="D173" s="927"/>
      <c r="E173" s="906"/>
      <c r="F173" s="950"/>
      <c r="G173" s="947"/>
    </row>
    <row r="174" spans="1:7" x14ac:dyDescent="0.2">
      <c r="A174" s="1767"/>
      <c r="B174" s="1781"/>
      <c r="C174" s="1782"/>
      <c r="D174" s="1783" t="s">
        <v>2055</v>
      </c>
      <c r="E174" s="1784" t="s">
        <v>957</v>
      </c>
      <c r="F174" s="1785">
        <f>SUM(F84:F132,F157:F172)</f>
        <v>931785</v>
      </c>
    </row>
    <row r="175" spans="1:7" ht="12" customHeight="1" x14ac:dyDescent="0.2">
      <c r="A175" s="1767"/>
      <c r="B175" s="1781"/>
      <c r="C175" s="1782"/>
      <c r="D175" s="1783" t="s">
        <v>2056</v>
      </c>
      <c r="E175" s="1784"/>
      <c r="F175" s="1786">
        <f>'PCTC-OEPP 27-28'!F77-F174</f>
        <v>5896459</v>
      </c>
    </row>
    <row r="176" spans="1:7" ht="12" customHeight="1" x14ac:dyDescent="0.2">
      <c r="A176" s="1767"/>
      <c r="B176" s="1781"/>
      <c r="C176" s="1782"/>
      <c r="D176" s="1783" t="s">
        <v>1816</v>
      </c>
      <c r="E176" s="1784"/>
      <c r="F176" s="1786">
        <f>'Cap Outlay Deprec 26'!I18</f>
        <v>619471</v>
      </c>
    </row>
    <row r="177" spans="1:7" ht="12" customHeight="1" x14ac:dyDescent="0.2">
      <c r="A177" s="1767"/>
      <c r="B177" s="1781"/>
      <c r="C177" s="1782"/>
      <c r="D177" s="1783" t="s">
        <v>2057</v>
      </c>
      <c r="E177" s="1784"/>
      <c r="F177" s="1786">
        <f>F175+F176</f>
        <v>6515930</v>
      </c>
    </row>
    <row r="178" spans="1:7" ht="12" customHeight="1" x14ac:dyDescent="0.2">
      <c r="A178" s="1767"/>
      <c r="B178" s="1787"/>
      <c r="C178" s="1782"/>
      <c r="D178" s="1783" t="str">
        <f>D78</f>
        <v>9 Month ADA from District Average Daily Attendance/Prior General State Aid Inquiry 2018-2019</v>
      </c>
      <c r="E178" s="1784"/>
      <c r="F178" s="1788">
        <f>'PCTC-OEPP 27-28'!F78</f>
        <v>520</v>
      </c>
      <c r="G178" s="930"/>
    </row>
    <row r="179" spans="1:7" ht="12" customHeight="1" thickBot="1" x14ac:dyDescent="0.25">
      <c r="A179" s="1767"/>
      <c r="B179" s="1787"/>
      <c r="C179" s="1782"/>
      <c r="D179" s="1783" t="s">
        <v>2058</v>
      </c>
      <c r="E179" s="1784" t="s">
        <v>1544</v>
      </c>
      <c r="F179" s="1789">
        <f>F177/F178</f>
        <v>12530.634615384615</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19" customFormat="1" ht="12.2" customHeight="1" x14ac:dyDescent="0.2">
      <c r="A182" s="1919" t="s">
        <v>1993</v>
      </c>
      <c r="B182" s="1920"/>
      <c r="C182" s="1921"/>
      <c r="D182" s="1920"/>
      <c r="E182" s="1921"/>
      <c r="F182" s="1920"/>
      <c r="G182" s="1920"/>
    </row>
    <row r="183" spans="1:7" s="1919" customFormat="1" ht="12.2" customHeight="1" x14ac:dyDescent="0.2">
      <c r="A183" s="1922" t="s">
        <v>1995</v>
      </c>
      <c r="C183" s="1921"/>
      <c r="D183" s="1920"/>
      <c r="E183" s="1921"/>
      <c r="F183" s="1920"/>
      <c r="G183" s="1920"/>
    </row>
    <row r="184" spans="1:7" ht="12" customHeight="1" x14ac:dyDescent="0.2">
      <c r="C184" s="949"/>
      <c r="D184" s="930"/>
      <c r="E184" s="949"/>
      <c r="F184" s="930"/>
      <c r="G184" s="930"/>
    </row>
    <row r="185" spans="1:7" x14ac:dyDescent="0.2">
      <c r="A185" s="1923" t="s">
        <v>1924</v>
      </c>
      <c r="B185" s="1924"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&amp;L&amp;8See Notes to Financial Statements.</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D41" sqref="D41"/>
    </sheetView>
  </sheetViews>
  <sheetFormatPr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1831</v>
      </c>
      <c r="B1" s="1657"/>
      <c r="C1" s="1657"/>
      <c r="D1" s="1657"/>
      <c r="E1" s="1657"/>
      <c r="F1" s="1657"/>
      <c r="G1" s="1657"/>
    </row>
    <row r="2" spans="1:7" x14ac:dyDescent="0.25">
      <c r="A2" s="1654"/>
      <c r="B2" s="1654"/>
      <c r="C2" s="1655" t="s">
        <v>978</v>
      </c>
      <c r="D2" s="1654"/>
      <c r="E2" s="1654"/>
      <c r="F2" s="1654"/>
      <c r="G2" s="1654"/>
    </row>
    <row r="3" spans="1:7" ht="5.25" customHeight="1" x14ac:dyDescent="0.25">
      <c r="A3" s="1542"/>
      <c r="B3" s="1542"/>
      <c r="C3" s="1542"/>
      <c r="D3" s="1542"/>
      <c r="E3" s="1542"/>
      <c r="F3" s="1542"/>
      <c r="G3" s="1542"/>
    </row>
    <row r="4" spans="1:7" ht="18.75" customHeight="1" x14ac:dyDescent="0.25">
      <c r="A4" s="2279" t="s">
        <v>1817</v>
      </c>
      <c r="B4" s="2280"/>
      <c r="C4" s="2280"/>
      <c r="D4" s="2280"/>
      <c r="E4" s="2280"/>
      <c r="F4" s="2280"/>
      <c r="G4" s="2281"/>
    </row>
    <row r="5" spans="1:7" x14ac:dyDescent="0.25">
      <c r="A5" s="2282"/>
      <c r="B5" s="2283"/>
      <c r="C5" s="2283"/>
      <c r="D5" s="2283"/>
      <c r="E5" s="2283"/>
      <c r="F5" s="2283"/>
      <c r="G5" s="2284"/>
    </row>
    <row r="6" spans="1:7" ht="18.75" x14ac:dyDescent="0.25">
      <c r="A6" s="1531" t="s">
        <v>1818</v>
      </c>
      <c r="B6" s="1532"/>
      <c r="C6" s="1532"/>
      <c r="D6" s="1532"/>
      <c r="E6" s="1532"/>
      <c r="F6" s="1532"/>
      <c r="G6" s="1533"/>
    </row>
    <row r="7" spans="1:7" ht="30.75" customHeight="1" x14ac:dyDescent="0.25">
      <c r="A7" s="2285" t="s">
        <v>1931</v>
      </c>
      <c r="B7" s="2286"/>
      <c r="C7" s="2286"/>
      <c r="D7" s="2286"/>
      <c r="E7" s="2286"/>
      <c r="F7" s="2286"/>
      <c r="G7" s="2287"/>
    </row>
    <row r="8" spans="1:7" ht="15.75" customHeight="1" x14ac:dyDescent="0.25">
      <c r="A8" s="2288" t="s">
        <v>1906</v>
      </c>
      <c r="B8" s="2289"/>
      <c r="C8" s="2289"/>
      <c r="D8" s="2289"/>
      <c r="E8" s="2289"/>
      <c r="F8" s="2289"/>
      <c r="G8" s="2290"/>
    </row>
    <row r="9" spans="1:7" ht="35.25" customHeight="1" x14ac:dyDescent="0.25">
      <c r="A9" s="2285" t="s">
        <v>1934</v>
      </c>
      <c r="B9" s="2286"/>
      <c r="C9" s="2286"/>
      <c r="D9" s="2286"/>
      <c r="E9" s="2286"/>
      <c r="F9" s="2286"/>
      <c r="G9" s="2287"/>
    </row>
    <row r="10" spans="1:7" ht="15" customHeight="1" x14ac:dyDescent="0.25">
      <c r="A10" s="1534" t="s">
        <v>1819</v>
      </c>
      <c r="B10" s="1535"/>
      <c r="C10" s="1535"/>
      <c r="D10" s="1535"/>
      <c r="E10" s="1535"/>
      <c r="F10" s="1535"/>
      <c r="G10" s="1536"/>
    </row>
    <row r="11" spans="1:7" ht="17.25" customHeight="1" x14ac:dyDescent="0.25">
      <c r="A11" s="2285" t="s">
        <v>1933</v>
      </c>
      <c r="B11" s="2286"/>
      <c r="C11" s="2286"/>
      <c r="D11" s="2286"/>
      <c r="E11" s="2286"/>
      <c r="F11" s="2286"/>
      <c r="G11" s="2287"/>
    </row>
    <row r="12" spans="1:7" ht="15" customHeight="1" x14ac:dyDescent="0.25">
      <c r="A12" s="1534" t="s">
        <v>1824</v>
      </c>
      <c r="B12" s="1535"/>
      <c r="C12" s="1535"/>
      <c r="D12" s="1535"/>
      <c r="E12" s="1535"/>
      <c r="F12" s="1535"/>
      <c r="G12" s="1536"/>
    </row>
    <row r="13" spans="1:7" ht="32.25" customHeight="1" x14ac:dyDescent="0.25">
      <c r="A13" s="2276" t="s">
        <v>1975</v>
      </c>
      <c r="B13" s="2277"/>
      <c r="C13" s="2277"/>
      <c r="D13" s="2277"/>
      <c r="E13" s="2277"/>
      <c r="F13" s="2277"/>
      <c r="G13" s="2278"/>
    </row>
    <row r="14" spans="1:7" x14ac:dyDescent="0.25">
      <c r="A14" s="1658" t="s">
        <v>1832</v>
      </c>
      <c r="B14" s="1659"/>
      <c r="C14" s="1659"/>
      <c r="D14" s="1659"/>
      <c r="E14" s="1659"/>
      <c r="F14" s="1659"/>
      <c r="G14" s="1660"/>
    </row>
    <row r="15" spans="1:7" ht="61.5" customHeight="1" x14ac:dyDescent="0.25">
      <c r="A15" s="1543" t="s">
        <v>1825</v>
      </c>
      <c r="B15" s="1543" t="s">
        <v>1826</v>
      </c>
      <c r="C15" s="1543" t="s">
        <v>1827</v>
      </c>
      <c r="D15" s="1544" t="s">
        <v>1828</v>
      </c>
      <c r="E15" s="1544" t="s">
        <v>1820</v>
      </c>
      <c r="F15" s="1544" t="s">
        <v>1829</v>
      </c>
      <c r="G15" s="1544" t="s">
        <v>1830</v>
      </c>
    </row>
    <row r="16" spans="1:7" x14ac:dyDescent="0.25">
      <c r="A16" s="1645" t="s">
        <v>1833</v>
      </c>
      <c r="B16" s="1646" t="s">
        <v>1823</v>
      </c>
      <c r="C16" s="1647" t="s">
        <v>1821</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1943" t="s">
        <v>2091</v>
      </c>
      <c r="B17" s="1947" t="s">
        <v>2177</v>
      </c>
      <c r="C17" s="1945" t="s">
        <v>2092</v>
      </c>
      <c r="D17" s="1841">
        <v>33982</v>
      </c>
      <c r="E17" s="1537">
        <f t="shared" ref="E17:E141" si="0">IF(D17&lt;=25000,D17,IF(D17&gt;25000,25000,0))</f>
        <v>25000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0">
        <f>IF(F17=0,0,D17-F17)</f>
        <v>8982</v>
      </c>
      <c r="H17" s="1644"/>
    </row>
    <row r="18" spans="1:8" x14ac:dyDescent="0.25">
      <c r="A18" s="1943"/>
      <c r="B18" s="1944"/>
      <c r="C18" s="1945"/>
      <c r="D18" s="1841"/>
      <c r="E18" s="1537">
        <f t="shared" ref="E18:E140" si="2">IF(D18&lt;=25000,D18,IF(D18&gt;25000,25000,0))</f>
        <v>0</v>
      </c>
      <c r="F18" s="1929">
        <f t="shared" si="1"/>
        <v>0</v>
      </c>
      <c r="G18" s="1790">
        <f t="shared" ref="G18:G140" si="3">IF(F18=0,0,D18-F18)</f>
        <v>0</v>
      </c>
    </row>
    <row r="19" spans="1:8" x14ac:dyDescent="0.25">
      <c r="A19" s="1943" t="s">
        <v>2091</v>
      </c>
      <c r="B19" s="1947" t="s">
        <v>2177</v>
      </c>
      <c r="C19" s="1945" t="s">
        <v>2093</v>
      </c>
      <c r="D19" s="1841">
        <v>4400</v>
      </c>
      <c r="E19" s="1537">
        <f t="shared" si="2"/>
        <v>4400</v>
      </c>
      <c r="F19" s="1929">
        <f t="shared" si="1"/>
        <v>4400</v>
      </c>
      <c r="G19" s="1790">
        <f t="shared" si="3"/>
        <v>0</v>
      </c>
    </row>
    <row r="20" spans="1:8" x14ac:dyDescent="0.25">
      <c r="A20" s="1943" t="s">
        <v>2091</v>
      </c>
      <c r="B20" s="1947" t="s">
        <v>2177</v>
      </c>
      <c r="C20" s="1945" t="s">
        <v>2094</v>
      </c>
      <c r="D20" s="1841">
        <v>13817</v>
      </c>
      <c r="E20" s="1537">
        <f t="shared" si="2"/>
        <v>13817</v>
      </c>
      <c r="F20" s="1929">
        <f t="shared" si="1"/>
        <v>13817</v>
      </c>
      <c r="G20" s="1790">
        <f t="shared" si="3"/>
        <v>0</v>
      </c>
    </row>
    <row r="21" spans="1:8" x14ac:dyDescent="0.25">
      <c r="A21" s="1943" t="s">
        <v>2095</v>
      </c>
      <c r="B21" s="1947" t="s">
        <v>2177</v>
      </c>
      <c r="C21" s="1945" t="s">
        <v>2096</v>
      </c>
      <c r="D21" s="1841">
        <v>5949</v>
      </c>
      <c r="E21" s="1537">
        <f t="shared" si="2"/>
        <v>5949</v>
      </c>
      <c r="F21" s="1929">
        <f t="shared" si="1"/>
        <v>5949</v>
      </c>
      <c r="G21" s="1790">
        <f t="shared" si="3"/>
        <v>0</v>
      </c>
    </row>
    <row r="22" spans="1:8" x14ac:dyDescent="0.25">
      <c r="A22" s="1943"/>
      <c r="B22" s="1944"/>
      <c r="C22" s="1945"/>
      <c r="D22" s="1841"/>
      <c r="E22" s="1537">
        <f t="shared" si="2"/>
        <v>0</v>
      </c>
      <c r="F22" s="1929">
        <f t="shared" si="1"/>
        <v>0</v>
      </c>
      <c r="G22" s="1790">
        <f t="shared" si="3"/>
        <v>0</v>
      </c>
    </row>
    <row r="23" spans="1:8" x14ac:dyDescent="0.25">
      <c r="A23" s="1943" t="s">
        <v>2095</v>
      </c>
      <c r="B23" s="1947" t="s">
        <v>2177</v>
      </c>
      <c r="C23" s="1945" t="s">
        <v>2097</v>
      </c>
      <c r="D23" s="1841">
        <v>702</v>
      </c>
      <c r="E23" s="1537">
        <f t="shared" si="2"/>
        <v>702</v>
      </c>
      <c r="F23" s="1929">
        <f t="shared" si="1"/>
        <v>702</v>
      </c>
      <c r="G23" s="1790">
        <f t="shared" si="3"/>
        <v>0</v>
      </c>
    </row>
    <row r="24" spans="1:8" x14ac:dyDescent="0.25">
      <c r="A24" s="1943" t="s">
        <v>2091</v>
      </c>
      <c r="B24" s="1947" t="s">
        <v>2177</v>
      </c>
      <c r="C24" s="1945" t="s">
        <v>2098</v>
      </c>
      <c r="D24" s="1841">
        <v>23044</v>
      </c>
      <c r="E24" s="1537">
        <f t="shared" si="2"/>
        <v>23044</v>
      </c>
      <c r="F24" s="1929">
        <f t="shared" si="1"/>
        <v>23044</v>
      </c>
      <c r="G24" s="1790">
        <f t="shared" si="3"/>
        <v>0</v>
      </c>
    </row>
    <row r="25" spans="1:8" x14ac:dyDescent="0.25">
      <c r="A25" s="1943" t="s">
        <v>2099</v>
      </c>
      <c r="B25" s="1947" t="s">
        <v>2177</v>
      </c>
      <c r="C25" s="1945" t="s">
        <v>2100</v>
      </c>
      <c r="D25" s="1841">
        <v>1476</v>
      </c>
      <c r="E25" s="1537">
        <f t="shared" si="2"/>
        <v>1476</v>
      </c>
      <c r="F25" s="1929">
        <f t="shared" si="1"/>
        <v>1476</v>
      </c>
      <c r="G25" s="1790">
        <f t="shared" si="3"/>
        <v>0</v>
      </c>
    </row>
    <row r="26" spans="1:8" x14ac:dyDescent="0.25">
      <c r="A26" s="1943" t="s">
        <v>2123</v>
      </c>
      <c r="B26" s="1947" t="s">
        <v>2177</v>
      </c>
      <c r="C26" s="1945" t="s">
        <v>2101</v>
      </c>
      <c r="D26" s="1841">
        <v>5400</v>
      </c>
      <c r="E26" s="1537">
        <f t="shared" si="2"/>
        <v>5400</v>
      </c>
      <c r="F26" s="1929">
        <f t="shared" si="1"/>
        <v>5400</v>
      </c>
      <c r="G26" s="1790">
        <f t="shared" si="3"/>
        <v>0</v>
      </c>
    </row>
    <row r="27" spans="1:8" x14ac:dyDescent="0.25">
      <c r="A27" s="1943"/>
      <c r="B27" s="1944"/>
      <c r="C27" s="1945"/>
      <c r="D27" s="1841"/>
      <c r="E27" s="1537">
        <f>IF(D27&lt;=25000,D27,IF(D27&gt;25000,25000,0))</f>
        <v>0</v>
      </c>
      <c r="F27" s="1929">
        <f>IF(OR(B27="10-1000-100",B27="10-1000-200",B27="10-1000-300",B27="10-1000-400",B27="10-1000-600",B27="10-1000-800",B27="50-1000-200",B27="10-2100-100",B27="10-2100-200",B27="10-2100-300",B27="10-2100-400",B27="10-2100-600",B27="10-2100-800",B27="20-2100-100",B27="20-2100-200",B27="20-2100-300",B27="20-2100-400",B27="20-2100-600",B27="20-2100-800",B27="40-2100-100",B27="40-2100-200",B27="40-2100-300",B27="40-2100-400",B27="40-2100-600",B27="40-2100-800",B27="50-2100-200",B27="10-2200-100",B27="10-2200-200",B27="10-2200-300",B27="10-2200-400",B27="10-2200-600",B27="10-2200-800",B27="50-2200-200",B27="10-2300-100",B27="10-2300-200",B27="10-2300-300",B27="10-2300-400",B27="10-2300-600",B27="10-2300-800",B27="50-2300-200",B27="80-2300-100",B27="80-2300-200",B27="80-2300-300",B27="80-2300-400",B27="80-2300-600",B27="80-2300-800",B27="10-2400-100",B27="10-2400-200",B27="10-2400-300",B27="10-2400-400",B27="10-2400-600",B27="10-2400-800",B27="50-2400-200",B27="10-2510-100",B27="10-2510-200",B27="10-2510-300",B27="10-2510-400",B27="10-2510-600",B27="10-2510-800",B27="20-2510-100",B27="20-2510-200",B27="20-2510-300",B27="20-2510-400",B27="20-2510-600",B27="20-2510-800",B27="50-2510-200",B27="10-2520-100",B27="10-2520-200",B27="10-2520-300",B27="10-2520-400",B27="10-2520-600",B27="10-2520-800",B27="50-2520-200",B27="10-2540-100",B27="10-2540-200",B27="10-2540-300",B27="10-2540-400",B27="10-2540-600",B27="10-2540-800",B27="20-2540-100",B27="20-2540-200",B27="20-2540-300",B27="20-2540-400",B27="20-2540-600",B27="20-2540-800",B27="50-2540-200",B27="10-2550-100",B27="10-2550-200",B27="10-2550-300",B27="10-2550-400",B27="10-2550-600",B27="10-2550-800",B27="20-2550-100",B27="20-2550-200",B27="20-2550-300",B27="20-2550-400",B27="20-2550-600",B27="20-2550-800",B27="40-2550-100",B27="40-2550-200",B27="40-2550-300",B27="40-2550-400",B27="40-2550-600",B27="40-2550-800",B27="50-2550-200",B27="10-2560-100",B27="10-2560-200",B27="10-2560-300",B27="10-2560-400",B27="10-2560-600",B27="10-2560-800",B27="50-2560-200",B27="10-2570-100",B27="10-2570-200",B27="10-2570-300",B27="10-2570-400",B27="10-2570-600",B27="10-2570-800",B27="50-2570-200",B27="10-2610-100",B27="10-2610-200",B27="10-2610-300",B27="10-2610-400",B27="10-2610-600",B27="10-2610-800",B27="50-2610-200",B27="10-2620-100",B27="10-2620-200",B27="10-2620-300",B27="10-2620-400",B27="10-2620-600",B27="10-2620-800",B27="50-2620-200",B27="10-2630-100",B27="10-2630-200",B27="10-2630-300",B27="10-2630-400",B27="10-2630-600",B27="10-2630-800",B27="50-2630-200",B27="10-2640-100",B27="10-2640-200",B27="10-2640-300",B27="10-2640-400",B27="10-2640-600",B27="10-2640-800",B27="50-2640-200",B27="10-2660-100",B27="10-2660-200",B27="10-2660-300",B27="10-2660-400",B27="10-2660-600",B27="10-2660-800",B27="50-2660-200",B27="10-2900-100",B27="10-2900-200",B27="10-2900-300",B27="10-2900-400",B27="10-2900-600",B27="10-2900-800",B27="20-2900-100",B27="20-2900-200",B27="20-2900-300",B27="20-2900-400",B27="20-2900-600",B27="20-2900-800",B27="40-2900-100",B27="40-2900-200",B27="40-2900-300",B27="40-2900-400",B27="40-2900-600",B27="40-2900-800",B27="50-2900-200",B27="10-3000-100",B27="10-3000-200",B27="10-3000-300",B27="10-3000-400",B27="10-3000-600",B27="10-3000-800",B27="20-3000-100",B27="20-3000-200",B27="20-3000-300",B27="20-3000-400",B27="20-3000-600",B27="20-3000-800",B27="40-3000-100",B27="40-3000-200",B27="40-3000-300",B27="40-3000-400",B27="40-3000-600",B27="40-3000-800",B27="50-3000-200"),E27,0)</f>
        <v>0</v>
      </c>
      <c r="G27" s="1790">
        <f>IF(F27=0,0,D27-F27)</f>
        <v>0</v>
      </c>
    </row>
    <row r="28" spans="1:8" x14ac:dyDescent="0.25">
      <c r="A28" s="1943" t="s">
        <v>2102</v>
      </c>
      <c r="B28" s="1947" t="s">
        <v>2178</v>
      </c>
      <c r="C28" s="1945" t="s">
        <v>2064</v>
      </c>
      <c r="D28" s="1841">
        <v>19750</v>
      </c>
      <c r="E28" s="1537">
        <f>IF(D28&lt;=25000,D28,IF(D28&gt;25000,25000,0))</f>
        <v>19750</v>
      </c>
      <c r="F28" s="1929">
        <f>IF(OR(B28="10-1000-100",B28="10-1000-200",B28="10-1000-300",B28="10-1000-400",B28="10-1000-600",B28="10-1000-800",B28="50-1000-200",B28="10-2100-100",B28="10-2100-200",B28="10-2100-300",B28="10-2100-400",B28="10-2100-600",B28="10-2100-800",B28="20-2100-100",B28="20-2100-200",B28="20-2100-300",B28="20-2100-400",B28="20-2100-600",B28="20-2100-800",B28="40-2100-100",B28="40-2100-200",B28="40-2100-300",B28="40-2100-400",B28="40-2100-600",B28="40-2100-800",B28="50-2100-200",B28="10-2200-100",B28="10-2200-200",B28="10-2200-300",B28="10-2200-400",B28="10-2200-600",B28="10-2200-800",B28="50-2200-200",B28="10-2300-100",B28="10-2300-200",B28="10-2300-300",B28="10-2300-400",B28="10-2300-600",B28="10-2300-800",B28="50-2300-200",B28="80-2300-100",B28="80-2300-200",B28="80-2300-300",B28="80-2300-400",B28="80-2300-600",B28="80-2300-800",B28="10-2400-100",B28="10-2400-200",B28="10-2400-300",B28="10-2400-400",B28="10-2400-600",B28="10-2400-800",B28="50-2400-200",B28="10-2510-100",B28="10-2510-200",B28="10-2510-300",B28="10-2510-400",B28="10-2510-600",B28="10-2510-800",B28="20-2510-100",B28="20-2510-200",B28="20-2510-300",B28="20-2510-400",B28="20-2510-600",B28="20-2510-800",B28="50-2510-200",B28="10-2520-100",B28="10-2520-200",B28="10-2520-300",B28="10-2520-400",B28="10-2520-600",B28="10-2520-800",B28="50-2520-200",B28="10-2540-100",B28="10-2540-200",B28="10-2540-300",B28="10-2540-400",B28="10-2540-600",B28="10-2540-800",B28="20-2540-100",B28="20-2540-200",B28="20-2540-300",B28="20-2540-400",B28="20-2540-600",B28="20-2540-800",B28="50-2540-200",B28="10-2550-100",B28="10-2550-200",B28="10-2550-300",B28="10-2550-400",B28="10-2550-600",B28="10-2550-800",B28="20-2550-100",B28="20-2550-200",B28="20-2550-300",B28="20-2550-400",B28="20-2550-600",B28="20-2550-800",B28="40-2550-100",B28="40-2550-200",B28="40-2550-300",B28="40-2550-400",B28="40-2550-600",B28="40-2550-800",B28="50-2550-200",B28="10-2560-100",B28="10-2560-200",B28="10-2560-300",B28="10-2560-400",B28="10-2560-600",B28="10-2560-800",B28="50-2560-200",B28="10-2570-100",B28="10-2570-200",B28="10-2570-300",B28="10-2570-400",B28="10-2570-600",B28="10-2570-800",B28="50-2570-200",B28="10-2610-100",B28="10-2610-200",B28="10-2610-300",B28="10-2610-400",B28="10-2610-600",B28="10-2610-800",B28="50-2610-200",B28="10-2620-100",B28="10-2620-200",B28="10-2620-300",B28="10-2620-400",B28="10-2620-600",B28="10-2620-800",B28="50-2620-200",B28="10-2630-100",B28="10-2630-200",B28="10-2630-300",B28="10-2630-400",B28="10-2630-600",B28="10-2630-800",B28="50-2630-200",B28="10-2640-100",B28="10-2640-200",B28="10-2640-300",B28="10-2640-400",B28="10-2640-600",B28="10-2640-800",B28="50-2640-200",B28="10-2660-100",B28="10-2660-200",B28="10-2660-300",B28="10-2660-400",B28="10-2660-600",B28="10-2660-800",B28="50-2660-200",B28="10-2900-100",B28="10-2900-200",B28="10-2900-300",B28="10-2900-400",B28="10-2900-600",B28="10-2900-800",B28="20-2900-100",B28="20-2900-200",B28="20-2900-300",B28="20-2900-400",B28="20-2900-600",B28="20-2900-800",B28="40-2900-100",B28="40-2900-200",B28="40-2900-300",B28="40-2900-400",B28="40-2900-600",B28="40-2900-800",B28="50-2900-200",B28="10-3000-100",B28="10-3000-200",B28="10-3000-300",B28="10-3000-400",B28="10-3000-600",B28="10-3000-800",B28="20-3000-100",B28="20-3000-200",B28="20-3000-300",B28="20-3000-400",B28="20-3000-600",B28="20-3000-800",B28="40-3000-100",B28="40-3000-200",B28="40-3000-300",B28="40-3000-400",B28="40-3000-600",B28="40-3000-800",B28="50-3000-200"),E28,0)</f>
        <v>19750</v>
      </c>
      <c r="G28" s="1790">
        <f>IF(F28=0,0,D28-F28)</f>
        <v>0</v>
      </c>
    </row>
    <row r="29" spans="1:8" x14ac:dyDescent="0.25">
      <c r="A29" s="1943" t="s">
        <v>2102</v>
      </c>
      <c r="B29" s="1947" t="s">
        <v>2178</v>
      </c>
      <c r="C29" s="1945" t="s">
        <v>2103</v>
      </c>
      <c r="D29" s="1841">
        <v>579</v>
      </c>
      <c r="E29" s="1537">
        <f>IF(D29&lt;=25000,D29,IF(D29&gt;25000,25000,0))</f>
        <v>579</v>
      </c>
      <c r="F29" s="1929">
        <f>IF(OR(B29="10-1000-100",B29="10-1000-200",B29="10-1000-300",B29="10-1000-400",B29="10-1000-600",B29="10-1000-800",B29="50-1000-200",B29="10-2100-100",B29="10-2100-200",B29="10-2100-300",B29="10-2100-400",B29="10-2100-600",B29="10-2100-800",B29="20-2100-100",B29="20-2100-200",B29="20-2100-300",B29="20-2100-400",B29="20-2100-600",B29="20-2100-800",B29="40-2100-100",B29="40-2100-200",B29="40-2100-300",B29="40-2100-400",B29="40-2100-600",B29="40-2100-800",B29="50-2100-200",B29="10-2200-100",B29="10-2200-200",B29="10-2200-300",B29="10-2200-400",B29="10-2200-600",B29="10-2200-800",B29="50-2200-200",B29="10-2300-100",B29="10-2300-200",B29="10-2300-300",B29="10-2300-400",B29="10-2300-600",B29="10-2300-800",B29="50-2300-200",B29="80-2300-100",B29="80-2300-200",B29="80-2300-300",B29="80-2300-400",B29="80-2300-600",B29="80-2300-800",B29="10-2400-100",B29="10-2400-200",B29="10-2400-300",B29="10-2400-400",B29="10-2400-600",B29="10-2400-800",B29="50-2400-200",B29="10-2510-100",B29="10-2510-200",B29="10-2510-300",B29="10-2510-400",B29="10-2510-600",B29="10-2510-800",B29="20-2510-100",B29="20-2510-200",B29="20-2510-300",B29="20-2510-400",B29="20-2510-600",B29="20-2510-800",B29="50-2510-200",B29="10-2520-100",B29="10-2520-200",B29="10-2520-300",B29="10-2520-400",B29="10-2520-600",B29="10-2520-800",B29="50-2520-200",B29="10-2540-100",B29="10-2540-200",B29="10-2540-300",B29="10-2540-400",B29="10-2540-600",B29="10-2540-800",B29="20-2540-100",B29="20-2540-200",B29="20-2540-300",B29="20-2540-400",B29="20-2540-600",B29="20-2540-800",B29="50-2540-200",B29="10-2550-100",B29="10-2550-200",B29="10-2550-300",B29="10-2550-400",B29="10-2550-600",B29="10-2550-800",B29="20-2550-100",B29="20-2550-200",B29="20-2550-300",B29="20-2550-400",B29="20-2550-600",B29="20-2550-800",B29="40-2550-100",B29="40-2550-200",B29="40-2550-300",B29="40-2550-400",B29="40-2550-600",B29="40-2550-800",B29="50-2550-200",B29="10-2560-100",B29="10-2560-200",B29="10-2560-300",B29="10-2560-400",B29="10-2560-600",B29="10-2560-800",B29="50-2560-200",B29="10-2570-100",B29="10-2570-200",B29="10-2570-300",B29="10-2570-400",B29="10-2570-600",B29="10-2570-800",B29="50-2570-200",B29="10-2610-100",B29="10-2610-200",B29="10-2610-300",B29="10-2610-400",B29="10-2610-600",B29="10-2610-800",B29="50-2610-200",B29="10-2620-100",B29="10-2620-200",B29="10-2620-300",B29="10-2620-400",B29="10-2620-600",B29="10-2620-800",B29="50-2620-200",B29="10-2630-100",B29="10-2630-200",B29="10-2630-300",B29="10-2630-400",B29="10-2630-600",B29="10-2630-800",B29="50-2630-200",B29="10-2640-100",B29="10-2640-200",B29="10-2640-300",B29="10-2640-400",B29="10-2640-600",B29="10-2640-800",B29="50-2640-200",B29="10-2660-100",B29="10-2660-200",B29="10-2660-300",B29="10-2660-400",B29="10-2660-600",B29="10-2660-800",B29="50-2660-200",B29="10-2900-100",B29="10-2900-200",B29="10-2900-300",B29="10-2900-400",B29="10-2900-600",B29="10-2900-800",B29="20-2900-100",B29="20-2900-200",B29="20-2900-300",B29="20-2900-400",B29="20-2900-600",B29="20-2900-800",B29="40-2900-100",B29="40-2900-200",B29="40-2900-300",B29="40-2900-400",B29="40-2900-600",B29="40-2900-800",B29="50-2900-200",B29="10-3000-100",B29="10-3000-200",B29="10-3000-300",B29="10-3000-400",B29="10-3000-600",B29="10-3000-800",B29="20-3000-100",B29="20-3000-200",B29="20-3000-300",B29="20-3000-400",B29="20-3000-600",B29="20-3000-800",B29="40-3000-100",B29="40-3000-200",B29="40-3000-300",B29="40-3000-400",B29="40-3000-600",B29="40-3000-800",B29="50-3000-200"),E29,0)</f>
        <v>579</v>
      </c>
      <c r="G29" s="1790">
        <f>IF(F29=0,0,D29-F29)</f>
        <v>0</v>
      </c>
    </row>
    <row r="30" spans="1:8" x14ac:dyDescent="0.25">
      <c r="A30" s="1943" t="s">
        <v>2102</v>
      </c>
      <c r="B30" s="1947" t="s">
        <v>2178</v>
      </c>
      <c r="C30" s="1945" t="s">
        <v>2104</v>
      </c>
      <c r="D30" s="1841">
        <v>260</v>
      </c>
      <c r="E30" s="1537">
        <f>IF(D30&lt;=25000,D30,IF(D30&gt;25000,25000,0))</f>
        <v>260</v>
      </c>
      <c r="F30" s="1929">
        <f>IF(OR(B30="10-1000-100",B30="10-1000-200",B30="10-1000-300",B30="10-1000-400",B30="10-1000-600",B30="10-1000-800",B30="50-1000-200",B30="10-2100-100",B30="10-2100-200",B30="10-2100-300",B30="10-2100-400",B30="10-2100-600",B30="10-2100-800",B30="20-2100-100",B30="20-2100-200",B30="20-2100-300",B30="20-2100-400",B30="20-2100-600",B30="20-2100-800",B30="40-2100-100",B30="40-2100-200",B30="40-2100-300",B30="40-2100-400",B30="40-2100-600",B30="40-2100-800",B30="50-2100-200",B30="10-2200-100",B30="10-2200-200",B30="10-2200-300",B30="10-2200-400",B30="10-2200-600",B30="10-2200-800",B30="50-2200-200",B30="10-2300-100",B30="10-2300-200",B30="10-2300-300",B30="10-2300-400",B30="10-2300-600",B30="10-2300-800",B30="50-2300-200",B30="80-2300-100",B30="80-2300-200",B30="80-2300-300",B30="80-2300-400",B30="80-2300-600",B30="80-2300-800",B30="10-2400-100",B30="10-2400-200",B30="10-2400-300",B30="10-2400-400",B30="10-2400-600",B30="10-2400-800",B30="50-2400-200",B30="10-2510-100",B30="10-2510-200",B30="10-2510-300",B30="10-2510-400",B30="10-2510-600",B30="10-2510-800",B30="20-2510-100",B30="20-2510-200",B30="20-2510-300",B30="20-2510-400",B30="20-2510-600",B30="20-2510-800",B30="50-2510-200",B30="10-2520-100",B30="10-2520-200",B30="10-2520-300",B30="10-2520-400",B30="10-2520-600",B30="10-2520-800",B30="50-2520-200",B30="10-2540-100",B30="10-2540-200",B30="10-2540-300",B30="10-2540-400",B30="10-2540-600",B30="10-2540-800",B30="20-2540-100",B30="20-2540-200",B30="20-2540-300",B30="20-2540-400",B30="20-2540-600",B30="20-2540-800",B30="50-2540-200",B30="10-2550-100",B30="10-2550-200",B30="10-2550-300",B30="10-2550-400",B30="10-2550-600",B30="10-2550-800",B30="20-2550-100",B30="20-2550-200",B30="20-2550-300",B30="20-2550-400",B30="20-2550-600",B30="20-2550-800",B30="40-2550-100",B30="40-2550-200",B30="40-2550-300",B30="40-2550-400",B30="40-2550-600",B30="40-2550-800",B30="50-2550-200",B30="10-2560-100",B30="10-2560-200",B30="10-2560-300",B30="10-2560-400",B30="10-2560-600",B30="10-2560-800",B30="50-2560-200",B30="10-2570-100",B30="10-2570-200",B30="10-2570-300",B30="10-2570-400",B30="10-2570-600",B30="10-2570-800",B30="50-2570-200",B30="10-2610-100",B30="10-2610-200",B30="10-2610-300",B30="10-2610-400",B30="10-2610-600",B30="10-2610-800",B30="50-2610-200",B30="10-2620-100",B30="10-2620-200",B30="10-2620-300",B30="10-2620-400",B30="10-2620-600",B30="10-2620-800",B30="50-2620-200",B30="10-2630-100",B30="10-2630-200",B30="10-2630-300",B30="10-2630-400",B30="10-2630-600",B30="10-2630-800",B30="50-2630-200",B30="10-2640-100",B30="10-2640-200",B30="10-2640-300",B30="10-2640-400",B30="10-2640-600",B30="10-2640-800",B30="50-2640-200",B30="10-2660-100",B30="10-2660-200",B30="10-2660-300",B30="10-2660-400",B30="10-2660-600",B30="10-2660-800",B30="50-2660-200",B30="10-2900-100",B30="10-2900-200",B30="10-2900-300",B30="10-2900-400",B30="10-2900-600",B30="10-2900-800",B30="20-2900-100",B30="20-2900-200",B30="20-2900-300",B30="20-2900-400",B30="20-2900-600",B30="20-2900-800",B30="40-2900-100",B30="40-2900-200",B30="40-2900-300",B30="40-2900-400",B30="40-2900-600",B30="40-2900-800",B30="50-2900-200",B30="10-3000-100",B30="10-3000-200",B30="10-3000-300",B30="10-3000-400",B30="10-3000-600",B30="10-3000-800",B30="20-3000-100",B30="20-3000-200",B30="20-3000-300",B30="20-3000-400",B30="20-3000-600",B30="20-3000-800",B30="40-3000-100",B30="40-3000-200",B30="40-3000-300",B30="40-3000-400",B30="40-3000-600",B30="40-3000-800",B30="50-3000-200"),E30,0)</f>
        <v>260</v>
      </c>
      <c r="G30" s="1790">
        <f>IF(F30=0,0,D30-F30)</f>
        <v>0</v>
      </c>
    </row>
    <row r="31" spans="1:8" x14ac:dyDescent="0.25">
      <c r="A31" s="1943" t="s">
        <v>2105</v>
      </c>
      <c r="B31" s="1944" t="s">
        <v>2106</v>
      </c>
      <c r="C31" s="1945" t="s">
        <v>2107</v>
      </c>
      <c r="D31" s="1841">
        <v>3114</v>
      </c>
      <c r="E31" s="1537">
        <f t="shared" si="2"/>
        <v>3114</v>
      </c>
      <c r="F31" s="1929">
        <f t="shared" si="1"/>
        <v>3114</v>
      </c>
      <c r="G31" s="1790">
        <f t="shared" si="3"/>
        <v>0</v>
      </c>
    </row>
    <row r="32" spans="1:8" x14ac:dyDescent="0.25">
      <c r="A32" s="1943"/>
      <c r="B32" s="1944"/>
      <c r="C32" s="1945"/>
      <c r="D32" s="1841"/>
      <c r="E32" s="1537">
        <f t="shared" si="2"/>
        <v>0</v>
      </c>
      <c r="F32" s="1929">
        <f t="shared" si="1"/>
        <v>0</v>
      </c>
      <c r="G32" s="1790">
        <f t="shared" si="3"/>
        <v>0</v>
      </c>
    </row>
    <row r="33" spans="1:7" x14ac:dyDescent="0.25">
      <c r="A33" s="1943" t="s">
        <v>2105</v>
      </c>
      <c r="B33" s="1944" t="s">
        <v>2106</v>
      </c>
      <c r="C33" s="1945" t="s">
        <v>2108</v>
      </c>
      <c r="D33" s="1841">
        <v>21070</v>
      </c>
      <c r="E33" s="1537">
        <f>IF(D33&lt;=25000,D33,IF(D33&gt;25000,25000,0))</f>
        <v>21070</v>
      </c>
      <c r="F33" s="1929">
        <f>IF(OR(B33="10-1000-100",B33="10-1000-200",B33="10-1000-300",B33="10-1000-400",B33="10-1000-600",B33="10-1000-800",B33="50-1000-200",B33="10-2100-100",B33="10-2100-200",B33="10-2100-300",B33="10-2100-400",B33="10-2100-600",B33="10-2100-800",B33="20-2100-100",B33="20-2100-200",B33="20-2100-300",B33="20-2100-400",B33="20-2100-600",B33="20-2100-800",B33="40-2100-100",B33="40-2100-200",B33="40-2100-300",B33="40-2100-400",B33="40-2100-600",B33="40-2100-800",B33="50-2100-200",B33="10-2200-100",B33="10-2200-200",B33="10-2200-300",B33="10-2200-400",B33="10-2200-600",B33="10-2200-800",B33="50-2200-200",B33="10-2300-100",B33="10-2300-200",B33="10-2300-300",B33="10-2300-400",B33="10-2300-600",B33="10-2300-800",B33="50-2300-200",B33="80-2300-100",B33="80-2300-200",B33="80-2300-300",B33="80-2300-400",B33="80-2300-600",B33="80-2300-800",B33="10-2400-100",B33="10-2400-200",B33="10-2400-300",B33="10-2400-400",B33="10-2400-600",B33="10-2400-800",B33="50-2400-200",B33="10-2510-100",B33="10-2510-200",B33="10-2510-300",B33="10-2510-400",B33="10-2510-600",B33="10-2510-800",B33="20-2510-100",B33="20-2510-200",B33="20-2510-300",B33="20-2510-400",B33="20-2510-600",B33="20-2510-800",B33="50-2510-200",B33="10-2520-100",B33="10-2520-200",B33="10-2520-300",B33="10-2520-400",B33="10-2520-600",B33="10-2520-800",B33="50-2520-200",B33="10-2540-100",B33="10-2540-200",B33="10-2540-300",B33="10-2540-400",B33="10-2540-600",B33="10-2540-800",B33="20-2540-100",B33="20-2540-200",B33="20-2540-300",B33="20-2540-400",B33="20-2540-600",B33="20-2540-800",B33="50-2540-200",B33="10-2550-100",B33="10-2550-200",B33="10-2550-300",B33="10-2550-400",B33="10-2550-600",B33="10-2550-800",B33="20-2550-100",B33="20-2550-200",B33="20-2550-300",B33="20-2550-400",B33="20-2550-600",B33="20-2550-800",B33="40-2550-100",B33="40-2550-200",B33="40-2550-300",B33="40-2550-400",B33="40-2550-600",B33="40-2550-800",B33="50-2550-200",B33="10-2560-100",B33="10-2560-200",B33="10-2560-300",B33="10-2560-400",B33="10-2560-600",B33="10-2560-800",B33="50-2560-200",B33="10-2570-100",B33="10-2570-200",B33="10-2570-300",B33="10-2570-400",B33="10-2570-600",B33="10-2570-800",B33="50-2570-200",B33="10-2610-100",B33="10-2610-200",B33="10-2610-300",B33="10-2610-400",B33="10-2610-600",B33="10-2610-800",B33="50-2610-200",B33="10-2620-100",B33="10-2620-200",B33="10-2620-300",B33="10-2620-400",B33="10-2620-600",B33="10-2620-800",B33="50-2620-200",B33="10-2630-100",B33="10-2630-200",B33="10-2630-300",B33="10-2630-400",B33="10-2630-600",B33="10-2630-800",B33="50-2630-200",B33="10-2640-100",B33="10-2640-200",B33="10-2640-300",B33="10-2640-400",B33="10-2640-600",B33="10-2640-800",B33="50-2640-200",B33="10-2660-100",B33="10-2660-200",B33="10-2660-300",B33="10-2660-400",B33="10-2660-600",B33="10-2660-800",B33="50-2660-200",B33="10-2900-100",B33="10-2900-200",B33="10-2900-300",B33="10-2900-400",B33="10-2900-600",B33="10-2900-800",B33="20-2900-100",B33="20-2900-200",B33="20-2900-300",B33="20-2900-400",B33="20-2900-600",B33="20-2900-800",B33="40-2900-100",B33="40-2900-200",B33="40-2900-300",B33="40-2900-400",B33="40-2900-600",B33="40-2900-800",B33="50-2900-200",B33="10-3000-100",B33="10-3000-200",B33="10-3000-300",B33="10-3000-400",B33="10-3000-600",B33="10-3000-800",B33="20-3000-100",B33="20-3000-200",B33="20-3000-300",B33="20-3000-400",B33="20-3000-600",B33="20-3000-800",B33="40-3000-100",B33="40-3000-200",B33="40-3000-300",B33="40-3000-400",B33="40-3000-600",B33="40-3000-800",B33="50-3000-200"),E33,0)</f>
        <v>21070</v>
      </c>
      <c r="G33" s="1790">
        <f>IF(F33=0,0,D33-F33)</f>
        <v>0</v>
      </c>
    </row>
    <row r="34" spans="1:7" x14ac:dyDescent="0.25">
      <c r="A34" s="1943" t="s">
        <v>2105</v>
      </c>
      <c r="B34" s="1944" t="s">
        <v>2106</v>
      </c>
      <c r="C34" s="1945" t="s">
        <v>2109</v>
      </c>
      <c r="D34" s="1841">
        <v>643</v>
      </c>
      <c r="E34" s="1537">
        <f>IF(D34&lt;=25000,D34,IF(D34&gt;25000,25000,0))</f>
        <v>643</v>
      </c>
      <c r="F34" s="1929">
        <f>IF(OR(B34="10-1000-100",B34="10-1000-200",B34="10-1000-300",B34="10-1000-400",B34="10-1000-600",B34="10-1000-800",B34="50-1000-200",B34="10-2100-100",B34="10-2100-200",B34="10-2100-300",B34="10-2100-400",B34="10-2100-600",B34="10-2100-800",B34="20-2100-100",B34="20-2100-200",B34="20-2100-300",B34="20-2100-400",B34="20-2100-600",B34="20-2100-800",B34="40-2100-100",B34="40-2100-200",B34="40-2100-300",B34="40-2100-400",B34="40-2100-600",B34="40-2100-800",B34="50-2100-200",B34="10-2200-100",B34="10-2200-200",B34="10-2200-300",B34="10-2200-400",B34="10-2200-600",B34="10-2200-800",B34="50-2200-200",B34="10-2300-100",B34="10-2300-200",B34="10-2300-300",B34="10-2300-400",B34="10-2300-600",B34="10-2300-800",B34="50-2300-200",B34="80-2300-100",B34="80-2300-200",B34="80-2300-300",B34="80-2300-400",B34="80-2300-600",B34="80-2300-800",B34="10-2400-100",B34="10-2400-200",B34="10-2400-300",B34="10-2400-400",B34="10-2400-600",B34="10-2400-800",B34="50-2400-200",B34="10-2510-100",B34="10-2510-200",B34="10-2510-300",B34="10-2510-400",B34="10-2510-600",B34="10-2510-800",B34="20-2510-100",B34="20-2510-200",B34="20-2510-300",B34="20-2510-400",B34="20-2510-600",B34="20-2510-800",B34="50-2510-200",B34="10-2520-100",B34="10-2520-200",B34="10-2520-300",B34="10-2520-400",B34="10-2520-600",B34="10-2520-800",B34="50-2520-200",B34="10-2540-100",B34="10-2540-200",B34="10-2540-300",B34="10-2540-400",B34="10-2540-600",B34="10-2540-800",B34="20-2540-100",B34="20-2540-200",B34="20-2540-300",B34="20-2540-400",B34="20-2540-600",B34="20-2540-800",B34="50-2540-200",B34="10-2550-100",B34="10-2550-200",B34="10-2550-300",B34="10-2550-400",B34="10-2550-600",B34="10-2550-800",B34="20-2550-100",B34="20-2550-200",B34="20-2550-300",B34="20-2550-400",B34="20-2550-600",B34="20-2550-800",B34="40-2550-100",B34="40-2550-200",B34="40-2550-300",B34="40-2550-400",B34="40-2550-600",B34="40-2550-800",B34="50-2550-200",B34="10-2560-100",B34="10-2560-200",B34="10-2560-300",B34="10-2560-400",B34="10-2560-600",B34="10-2560-800",B34="50-2560-200",B34="10-2570-100",B34="10-2570-200",B34="10-2570-300",B34="10-2570-400",B34="10-2570-600",B34="10-2570-800",B34="50-2570-200",B34="10-2610-100",B34="10-2610-200",B34="10-2610-300",B34="10-2610-400",B34="10-2610-600",B34="10-2610-800",B34="50-2610-200",B34="10-2620-100",B34="10-2620-200",B34="10-2620-300",B34="10-2620-400",B34="10-2620-600",B34="10-2620-800",B34="50-2620-200",B34="10-2630-100",B34="10-2630-200",B34="10-2630-300",B34="10-2630-400",B34="10-2630-600",B34="10-2630-800",B34="50-2630-200",B34="10-2640-100",B34="10-2640-200",B34="10-2640-300",B34="10-2640-400",B34="10-2640-600",B34="10-2640-800",B34="50-2640-200",B34="10-2660-100",B34="10-2660-200",B34="10-2660-300",B34="10-2660-400",B34="10-2660-600",B34="10-2660-800",B34="50-2660-200",B34="10-2900-100",B34="10-2900-200",B34="10-2900-300",B34="10-2900-400",B34="10-2900-600",B34="10-2900-800",B34="20-2900-100",B34="20-2900-200",B34="20-2900-300",B34="20-2900-400",B34="20-2900-600",B34="20-2900-800",B34="40-2900-100",B34="40-2900-200",B34="40-2900-300",B34="40-2900-400",B34="40-2900-600",B34="40-2900-800",B34="50-2900-200",B34="10-3000-100",B34="10-3000-200",B34="10-3000-300",B34="10-3000-400",B34="10-3000-600",B34="10-3000-800",B34="20-3000-100",B34="20-3000-200",B34="20-3000-300",B34="20-3000-400",B34="20-3000-600",B34="20-3000-800",B34="40-3000-100",B34="40-3000-200",B34="40-3000-300",B34="40-3000-400",B34="40-3000-600",B34="40-3000-800",B34="50-3000-200"),E34,0)</f>
        <v>643</v>
      </c>
      <c r="G34" s="1790">
        <f>IF(F34=0,0,D34-F34)</f>
        <v>0</v>
      </c>
    </row>
    <row r="35" spans="1:7" x14ac:dyDescent="0.25">
      <c r="A35" s="1943" t="s">
        <v>2105</v>
      </c>
      <c r="B35" s="1944" t="s">
        <v>2106</v>
      </c>
      <c r="C35" s="1945" t="s">
        <v>2110</v>
      </c>
      <c r="D35" s="1841">
        <v>6030</v>
      </c>
      <c r="E35" s="1537">
        <f>IF(D35&lt;=25000,D35,IF(D35&gt;25000,25000,0))</f>
        <v>6030</v>
      </c>
      <c r="F35" s="1929">
        <f>IF(OR(B35="10-1000-100",B35="10-1000-200",B35="10-1000-300",B35="10-1000-400",B35="10-1000-600",B35="10-1000-800",B35="50-1000-200",B35="10-2100-100",B35="10-2100-200",B35="10-2100-300",B35="10-2100-400",B35="10-2100-600",B35="10-2100-800",B35="20-2100-100",B35="20-2100-200",B35="20-2100-300",B35="20-2100-400",B35="20-2100-600",B35="20-2100-800",B35="40-2100-100",B35="40-2100-200",B35="40-2100-300",B35="40-2100-400",B35="40-2100-600",B35="40-2100-800",B35="50-2100-200",B35="10-2200-100",B35="10-2200-200",B35="10-2200-300",B35="10-2200-400",B35="10-2200-600",B35="10-2200-800",B35="50-2200-200",B35="10-2300-100",B35="10-2300-200",B35="10-2300-300",B35="10-2300-400",B35="10-2300-600",B35="10-2300-800",B35="50-2300-200",B35="80-2300-100",B35="80-2300-200",B35="80-2300-300",B35="80-2300-400",B35="80-2300-600",B35="80-2300-800",B35="10-2400-100",B35="10-2400-200",B35="10-2400-300",B35="10-2400-400",B35="10-2400-600",B35="10-2400-800",B35="50-2400-200",B35="10-2510-100",B35="10-2510-200",B35="10-2510-300",B35="10-2510-400",B35="10-2510-600",B35="10-2510-800",B35="20-2510-100",B35="20-2510-200",B35="20-2510-300",B35="20-2510-400",B35="20-2510-600",B35="20-2510-800",B35="50-2510-200",B35="10-2520-100",B35="10-2520-200",B35="10-2520-300",B35="10-2520-400",B35="10-2520-600",B35="10-2520-800",B35="50-2520-200",B35="10-2540-100",B35="10-2540-200",B35="10-2540-300",B35="10-2540-400",B35="10-2540-600",B35="10-2540-800",B35="20-2540-100",B35="20-2540-200",B35="20-2540-300",B35="20-2540-400",B35="20-2540-600",B35="20-2540-800",B35="50-2540-200",B35="10-2550-100",B35="10-2550-200",B35="10-2550-300",B35="10-2550-400",B35="10-2550-600",B35="10-2550-800",B35="20-2550-100",B35="20-2550-200",B35="20-2550-300",B35="20-2550-400",B35="20-2550-600",B35="20-2550-800",B35="40-2550-100",B35="40-2550-200",B35="40-2550-300",B35="40-2550-400",B35="40-2550-600",B35="40-2550-800",B35="50-2550-200",B35="10-2560-100",B35="10-2560-200",B35="10-2560-300",B35="10-2560-400",B35="10-2560-600",B35="10-2560-800",B35="50-2560-200",B35="10-2570-100",B35="10-2570-200",B35="10-2570-300",B35="10-2570-400",B35="10-2570-600",B35="10-2570-800",B35="50-2570-200",B35="10-2610-100",B35="10-2610-200",B35="10-2610-300",B35="10-2610-400",B35="10-2610-600",B35="10-2610-800",B35="50-2610-200",B35="10-2620-100",B35="10-2620-200",B35="10-2620-300",B35="10-2620-400",B35="10-2620-600",B35="10-2620-800",B35="50-2620-200",B35="10-2630-100",B35="10-2630-200",B35="10-2630-300",B35="10-2630-400",B35="10-2630-600",B35="10-2630-800",B35="50-2630-200",B35="10-2640-100",B35="10-2640-200",B35="10-2640-300",B35="10-2640-400",B35="10-2640-600",B35="10-2640-800",B35="50-2640-200",B35="10-2660-100",B35="10-2660-200",B35="10-2660-300",B35="10-2660-400",B35="10-2660-600",B35="10-2660-800",B35="50-2660-200",B35="10-2900-100",B35="10-2900-200",B35="10-2900-300",B35="10-2900-400",B35="10-2900-600",B35="10-2900-800",B35="20-2900-100",B35="20-2900-200",B35="20-2900-300",B35="20-2900-400",B35="20-2900-600",B35="20-2900-800",B35="40-2900-100",B35="40-2900-200",B35="40-2900-300",B35="40-2900-400",B35="40-2900-600",B35="40-2900-800",B35="50-2900-200",B35="10-3000-100",B35="10-3000-200",B35="10-3000-300",B35="10-3000-400",B35="10-3000-600",B35="10-3000-800",B35="20-3000-100",B35="20-3000-200",B35="20-3000-300",B35="20-3000-400",B35="20-3000-600",B35="20-3000-800",B35="40-3000-100",B35="40-3000-200",B35="40-3000-300",B35="40-3000-400",B35="40-3000-600",B35="40-3000-800",B35="50-3000-200"),E35,0)</f>
        <v>6030</v>
      </c>
      <c r="G35" s="1790">
        <f>IF(F35=0,0,D35-F35)</f>
        <v>0</v>
      </c>
    </row>
    <row r="36" spans="1:7" x14ac:dyDescent="0.25">
      <c r="A36" s="1943" t="s">
        <v>2111</v>
      </c>
      <c r="B36" s="1944" t="s">
        <v>2112</v>
      </c>
      <c r="C36" s="1945" t="s">
        <v>2113</v>
      </c>
      <c r="D36" s="1841">
        <v>819</v>
      </c>
      <c r="E36" s="1537">
        <f>IF(D36&lt;=25000,D36,IF(D36&gt;25000,25000,0))</f>
        <v>819</v>
      </c>
      <c r="F36" s="1929">
        <f>IF(OR(B36="10-1000-100",B36="10-1000-200",B36="10-1000-300",B36="10-1000-400",B36="10-1000-600",B36="10-1000-800",B36="50-1000-200",B36="10-2100-100",B36="10-2100-200",B36="10-2100-300",B36="10-2100-400",B36="10-2100-600",B36="10-2100-800",B36="20-2100-100",B36="20-2100-200",B36="20-2100-300",B36="20-2100-400",B36="20-2100-600",B36="20-2100-800",B36="40-2100-100",B36="40-2100-200",B36="40-2100-300",B36="40-2100-400",B36="40-2100-600",B36="40-2100-800",B36="50-2100-200",B36="10-2200-100",B36="10-2200-200",B36="10-2200-300",B36="10-2200-400",B36="10-2200-600",B36="10-2200-800",B36="50-2200-200",B36="10-2300-100",B36="10-2300-200",B36="10-2300-300",B36="10-2300-400",B36="10-2300-600",B36="10-2300-800",B36="50-2300-200",B36="80-2300-100",B36="80-2300-200",B36="80-2300-300",B36="80-2300-400",B36="80-2300-600",B36="80-2300-800",B36="10-2400-100",B36="10-2400-200",B36="10-2400-300",B36="10-2400-400",B36="10-2400-600",B36="10-2400-800",B36="50-2400-200",B36="10-2510-100",B36="10-2510-200",B36="10-2510-300",B36="10-2510-400",B36="10-2510-600",B36="10-2510-800",B36="20-2510-100",B36="20-2510-200",B36="20-2510-300",B36="20-2510-400",B36="20-2510-600",B36="20-2510-800",B36="50-2510-200",B36="10-2520-100",B36="10-2520-200",B36="10-2520-300",B36="10-2520-400",B36="10-2520-600",B36="10-2520-800",B36="50-2520-200",B36="10-2540-100",B36="10-2540-200",B36="10-2540-300",B36="10-2540-400",B36="10-2540-600",B36="10-2540-800",B36="20-2540-100",B36="20-2540-200",B36="20-2540-300",B36="20-2540-400",B36="20-2540-600",B36="20-2540-800",B36="50-2540-200",B36="10-2550-100",B36="10-2550-200",B36="10-2550-300",B36="10-2550-400",B36="10-2550-600",B36="10-2550-800",B36="20-2550-100",B36="20-2550-200",B36="20-2550-300",B36="20-2550-400",B36="20-2550-600",B36="20-2550-800",B36="40-2550-100",B36="40-2550-200",B36="40-2550-300",B36="40-2550-400",B36="40-2550-600",B36="40-2550-800",B36="50-2550-200",B36="10-2560-100",B36="10-2560-200",B36="10-2560-300",B36="10-2560-400",B36="10-2560-600",B36="10-2560-800",B36="50-2560-200",B36="10-2570-100",B36="10-2570-200",B36="10-2570-300",B36="10-2570-400",B36="10-2570-600",B36="10-2570-800",B36="50-2570-200",B36="10-2610-100",B36="10-2610-200",B36="10-2610-300",B36="10-2610-400",B36="10-2610-600",B36="10-2610-800",B36="50-2610-200",B36="10-2620-100",B36="10-2620-200",B36="10-2620-300",B36="10-2620-400",B36="10-2620-600",B36="10-2620-800",B36="50-2620-200",B36="10-2630-100",B36="10-2630-200",B36="10-2630-300",B36="10-2630-400",B36="10-2630-600",B36="10-2630-800",B36="50-2630-200",B36="10-2640-100",B36="10-2640-200",B36="10-2640-300",B36="10-2640-400",B36="10-2640-600",B36="10-2640-800",B36="50-2640-200",B36="10-2660-100",B36="10-2660-200",B36="10-2660-300",B36="10-2660-400",B36="10-2660-600",B36="10-2660-800",B36="50-2660-200",B36="10-2900-100",B36="10-2900-200",B36="10-2900-300",B36="10-2900-400",B36="10-2900-600",B36="10-2900-800",B36="20-2900-100",B36="20-2900-200",B36="20-2900-300",B36="20-2900-400",B36="20-2900-600",B36="20-2900-800",B36="40-2900-100",B36="40-2900-200",B36="40-2900-300",B36="40-2900-400",B36="40-2900-600",B36="40-2900-800",B36="50-2900-200",B36="10-3000-100",B36="10-3000-200",B36="10-3000-300",B36="10-3000-400",B36="10-3000-600",B36="10-3000-800",B36="20-3000-100",B36="20-3000-200",B36="20-3000-300",B36="20-3000-400",B36="20-3000-600",B36="20-3000-800",B36="40-3000-100",B36="40-3000-200",B36="40-3000-300",B36="40-3000-400",B36="40-3000-600",B36="40-3000-800",B36="50-3000-200"),E36,0)</f>
        <v>819</v>
      </c>
      <c r="G36" s="1790">
        <f>IF(F36=0,0,D36-F36)</f>
        <v>0</v>
      </c>
    </row>
    <row r="37" spans="1:7" x14ac:dyDescent="0.25">
      <c r="A37" s="1943" t="s">
        <v>2111</v>
      </c>
      <c r="B37" s="1944" t="s">
        <v>2112</v>
      </c>
      <c r="C37" s="1945" t="s">
        <v>2114</v>
      </c>
      <c r="D37" s="1841">
        <v>17697</v>
      </c>
      <c r="E37" s="1537">
        <f t="shared" si="2"/>
        <v>17697</v>
      </c>
      <c r="F37" s="1929">
        <f t="shared" si="1"/>
        <v>17697</v>
      </c>
      <c r="G37" s="1790">
        <f t="shared" si="3"/>
        <v>0</v>
      </c>
    </row>
    <row r="38" spans="1:7" x14ac:dyDescent="0.25">
      <c r="A38" s="1943" t="s">
        <v>2115</v>
      </c>
      <c r="B38" s="1948" t="s">
        <v>2179</v>
      </c>
      <c r="C38" s="1945" t="s">
        <v>2116</v>
      </c>
      <c r="D38" s="1841">
        <v>16079</v>
      </c>
      <c r="E38" s="1537">
        <f t="shared" si="2"/>
        <v>16079</v>
      </c>
      <c r="F38" s="1929">
        <f t="shared" si="1"/>
        <v>16079</v>
      </c>
      <c r="G38" s="1790">
        <f t="shared" si="3"/>
        <v>0</v>
      </c>
    </row>
    <row r="39" spans="1:7" x14ac:dyDescent="0.25">
      <c r="A39" s="1943"/>
      <c r="B39" s="1948"/>
      <c r="C39" s="1945"/>
      <c r="D39" s="1841"/>
      <c r="E39" s="1537">
        <f t="shared" si="2"/>
        <v>0</v>
      </c>
      <c r="F39" s="1929">
        <f t="shared" si="1"/>
        <v>0</v>
      </c>
      <c r="G39" s="1790">
        <f t="shared" si="3"/>
        <v>0</v>
      </c>
    </row>
    <row r="40" spans="1:7" x14ac:dyDescent="0.25">
      <c r="A40" s="1943"/>
      <c r="B40" s="1946"/>
      <c r="C40" s="1945"/>
      <c r="D40" s="1841"/>
      <c r="E40" s="1537">
        <f t="shared" si="2"/>
        <v>0</v>
      </c>
      <c r="F40" s="1929">
        <f t="shared" si="1"/>
        <v>0</v>
      </c>
      <c r="G40" s="1790">
        <f t="shared" si="3"/>
        <v>0</v>
      </c>
    </row>
    <row r="41" spans="1:7" x14ac:dyDescent="0.25">
      <c r="A41" s="1943" t="s">
        <v>2091</v>
      </c>
      <c r="B41" s="1948" t="s">
        <v>2177</v>
      </c>
      <c r="C41" s="1945" t="s">
        <v>2117</v>
      </c>
      <c r="D41" s="1841">
        <v>299</v>
      </c>
      <c r="E41" s="1537">
        <f t="shared" si="2"/>
        <v>299</v>
      </c>
      <c r="F41" s="1929">
        <f t="shared" si="1"/>
        <v>299</v>
      </c>
      <c r="G41" s="1790">
        <f t="shared" si="3"/>
        <v>0</v>
      </c>
    </row>
    <row r="42" spans="1:7" x14ac:dyDescent="0.25">
      <c r="A42" s="1943" t="s">
        <v>2091</v>
      </c>
      <c r="B42" s="1948" t="s">
        <v>2177</v>
      </c>
      <c r="C42" s="1945" t="s">
        <v>2118</v>
      </c>
      <c r="D42" s="1841">
        <v>6123</v>
      </c>
      <c r="E42" s="1537">
        <f t="shared" si="2"/>
        <v>6123</v>
      </c>
      <c r="F42" s="1929">
        <f t="shared" si="1"/>
        <v>6123</v>
      </c>
      <c r="G42" s="1790">
        <f t="shared" si="3"/>
        <v>0</v>
      </c>
    </row>
    <row r="43" spans="1:7" x14ac:dyDescent="0.25">
      <c r="A43" s="1943" t="s">
        <v>2091</v>
      </c>
      <c r="B43" s="1948" t="s">
        <v>2177</v>
      </c>
      <c r="C43" s="1945" t="s">
        <v>2119</v>
      </c>
      <c r="D43" s="1841">
        <v>3750</v>
      </c>
      <c r="E43" s="1537">
        <f t="shared" si="2"/>
        <v>3750</v>
      </c>
      <c r="F43" s="1929">
        <f t="shared" si="1"/>
        <v>3750</v>
      </c>
      <c r="G43" s="1790">
        <f t="shared" si="3"/>
        <v>0</v>
      </c>
    </row>
    <row r="44" spans="1:7" x14ac:dyDescent="0.25">
      <c r="A44" s="1943" t="s">
        <v>2123</v>
      </c>
      <c r="B44" s="1948" t="s">
        <v>2177</v>
      </c>
      <c r="C44" s="1945" t="s">
        <v>2120</v>
      </c>
      <c r="D44" s="1841">
        <v>3000</v>
      </c>
      <c r="E44" s="1537">
        <f t="shared" si="2"/>
        <v>3000</v>
      </c>
      <c r="F44" s="1929">
        <f t="shared" si="1"/>
        <v>3000</v>
      </c>
      <c r="G44" s="1790">
        <f t="shared" si="3"/>
        <v>0</v>
      </c>
    </row>
    <row r="45" spans="1:7" x14ac:dyDescent="0.25">
      <c r="A45" s="1943" t="s">
        <v>2123</v>
      </c>
      <c r="B45" s="1948" t="s">
        <v>2177</v>
      </c>
      <c r="C45" s="1945" t="s">
        <v>2121</v>
      </c>
      <c r="D45" s="1841">
        <v>1975</v>
      </c>
      <c r="E45" s="1537">
        <f t="shared" si="2"/>
        <v>1975</v>
      </c>
      <c r="F45" s="1929">
        <f t="shared" si="1"/>
        <v>1975</v>
      </c>
      <c r="G45" s="1790">
        <f t="shared" si="3"/>
        <v>0</v>
      </c>
    </row>
    <row r="46" spans="1:7" x14ac:dyDescent="0.25">
      <c r="A46" s="1943" t="s">
        <v>2123</v>
      </c>
      <c r="B46" s="1948" t="s">
        <v>2177</v>
      </c>
      <c r="C46" s="1945" t="s">
        <v>2122</v>
      </c>
      <c r="D46" s="1841">
        <v>1849</v>
      </c>
      <c r="E46" s="1537">
        <f t="shared" si="2"/>
        <v>1849</v>
      </c>
      <c r="F46" s="1929">
        <f t="shared" si="1"/>
        <v>1849</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191807</v>
      </c>
      <c r="E141" s="1538">
        <f t="shared" si="0"/>
        <v>25000</v>
      </c>
      <c r="F141" s="1930">
        <f>SUM(F17:F140)</f>
        <v>182825</v>
      </c>
      <c r="G141" s="1792">
        <f>SUM(G17:G140)</f>
        <v>8982</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4" firstPageNumber="30" fitToHeight="0" orientation="landscape" r:id="rId1"/>
  <headerFooter>
    <oddHeader>&amp;RPage 29</oddHeader>
    <oddFooter>&amp;LSee Notes to Financial Statements.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1114</v>
      </c>
      <c r="B1" s="1632"/>
      <c r="C1" s="1633"/>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91" t="s">
        <v>1678</v>
      </c>
      <c r="B5" s="2292"/>
      <c r="C5" s="2292"/>
      <c r="D5" s="2292"/>
      <c r="E5" s="2292"/>
      <c r="F5" s="2292"/>
      <c r="G5" s="2293"/>
      <c r="H5" s="252"/>
      <c r="I5" s="609"/>
    </row>
    <row r="6" spans="1:9" s="668" customFormat="1" x14ac:dyDescent="0.2">
      <c r="A6" s="1634"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v>123498</v>
      </c>
      <c r="F10" s="974"/>
      <c r="G10" s="975"/>
      <c r="H10" s="162"/>
      <c r="I10" s="162"/>
    </row>
    <row r="11" spans="1:9" s="668" customFormat="1" ht="22.5" customHeight="1" x14ac:dyDescent="0.2">
      <c r="A11" s="2296" t="s">
        <v>1976</v>
      </c>
      <c r="B11" s="2297"/>
      <c r="C11" s="2297"/>
      <c r="D11" s="2298"/>
      <c r="E11" s="977">
        <v>17615</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5" t="s">
        <v>531</v>
      </c>
      <c r="E17" s="1636"/>
      <c r="F17" s="1635" t="s">
        <v>432</v>
      </c>
      <c r="G17" s="1637"/>
      <c r="H17" s="162"/>
      <c r="I17" s="162"/>
    </row>
    <row r="18" spans="1:9" s="259" customFormat="1" ht="11.25" x14ac:dyDescent="0.2">
      <c r="A18" s="988"/>
      <c r="C18" s="989" t="s">
        <v>433</v>
      </c>
      <c r="D18" s="1638" t="s">
        <v>434</v>
      </c>
      <c r="E18" s="1638" t="s">
        <v>53</v>
      </c>
      <c r="F18" s="1638" t="s">
        <v>434</v>
      </c>
      <c r="G18" s="1638" t="s">
        <v>53</v>
      </c>
      <c r="H18" s="178"/>
      <c r="I18" s="178"/>
    </row>
    <row r="19" spans="1:9" s="668" customFormat="1" ht="12" customHeight="1" x14ac:dyDescent="0.2">
      <c r="A19" s="990" t="s">
        <v>455</v>
      </c>
      <c r="B19" s="991"/>
      <c r="C19" s="992" t="s">
        <v>569</v>
      </c>
      <c r="D19" s="1796"/>
      <c r="E19" s="1797">
        <f>'Expenditures 15-22'!K33-SUM('Expenditures 15-22'!G33,'Expenditures 15-22'!I33)+'Expenditures 15-22'!D229</f>
        <v>4094808</v>
      </c>
      <c r="F19" s="1796"/>
      <c r="G19" s="1798">
        <f>'Expenditures 15-22'!K33-SUM('Expenditures 15-22'!G33,'Expenditures 15-22'!I33)+'Expenditures 15-22'!D229</f>
        <v>4094808</v>
      </c>
      <c r="H19" s="987"/>
      <c r="I19" s="162"/>
    </row>
    <row r="20" spans="1:9" s="668" customFormat="1" ht="12" customHeight="1" x14ac:dyDescent="0.2">
      <c r="A20" s="990" t="s">
        <v>54</v>
      </c>
      <c r="B20" s="991"/>
      <c r="C20" s="993"/>
      <c r="D20" s="1799"/>
      <c r="E20" s="1799"/>
      <c r="F20" s="1799"/>
      <c r="G20" s="1800"/>
      <c r="H20" s="987"/>
      <c r="I20" s="162"/>
    </row>
    <row r="21" spans="1:9" s="668" customFormat="1" ht="12" customHeight="1" x14ac:dyDescent="0.2">
      <c r="A21" s="994" t="s">
        <v>400</v>
      </c>
      <c r="B21" s="995"/>
      <c r="C21" s="993">
        <v>2100</v>
      </c>
      <c r="D21" s="1799"/>
      <c r="E21" s="1801">
        <f>'Expenditures 15-22'!K42-SUM('Expenditures 15-22'!G42,'Expenditures 15-22'!I42)+'Expenditures 15-22'!K120-SUM('Expenditures 15-22'!G120,'Expenditures 15-22'!I120)+'Expenditures 15-22'!K180-SUM('Expenditures 15-22'!G180,'Expenditures 15-22'!I180)+'Expenditures 15-22'!D238</f>
        <v>173806</v>
      </c>
      <c r="F21" s="1799"/>
      <c r="G21" s="1802">
        <f>'Expenditures 15-22'!K42-SUM('Expenditures 15-22'!G42,'Expenditures 15-22'!I42)+'Expenditures 15-22'!K120-SUM('Expenditures 15-22'!G120,'Expenditures 15-22'!I120)+'Expenditures 15-22'!K180-SUM('Expenditures 15-22'!G180,'Expenditures 15-22'!I180)+'Expenditures 15-22'!D238</f>
        <v>173806</v>
      </c>
      <c r="H21" s="987"/>
      <c r="I21" s="162"/>
    </row>
    <row r="22" spans="1:9" s="668" customFormat="1" ht="12" customHeight="1" x14ac:dyDescent="0.2">
      <c r="A22" s="994" t="s">
        <v>563</v>
      </c>
      <c r="B22" s="995"/>
      <c r="C22" s="993">
        <v>2200</v>
      </c>
      <c r="D22" s="1799"/>
      <c r="E22" s="1801">
        <f>'Expenditures 15-22'!K47-SUM('Expenditures 15-22'!G47,'Expenditures 15-22'!I47)+'Expenditures 15-22'!D243</f>
        <v>186085</v>
      </c>
      <c r="F22" s="1799"/>
      <c r="G22" s="1802">
        <f>'Expenditures 15-22'!K47-SUM('Expenditures 15-22'!G47,'Expenditures 15-22'!I47)+'Expenditures 15-22'!D243</f>
        <v>186085</v>
      </c>
      <c r="H22" s="987"/>
      <c r="I22" s="162"/>
    </row>
    <row r="23" spans="1:9" s="668" customFormat="1" ht="12" customHeight="1" x14ac:dyDescent="0.2">
      <c r="A23" s="994" t="s">
        <v>564</v>
      </c>
      <c r="B23" s="995"/>
      <c r="C23" s="993">
        <v>2300</v>
      </c>
      <c r="D23" s="1799"/>
      <c r="E23" s="1801">
        <f>'Expenditures 15-22'!K53-SUM('Expenditures 15-22'!G53,'Expenditures 15-22'!I53)+'Expenditures 15-22'!D257+'Expenditures 15-22'!K330-SUM('Expenditures 15-22'!G330,'Expenditures 15-22'!I330)</f>
        <v>675046</v>
      </c>
      <c r="F23" s="1799"/>
      <c r="G23" s="1801">
        <f>'Expenditures 15-22'!K53-SUM('Expenditures 15-22'!G53,'Expenditures 15-22'!I53)+'Expenditures 15-22'!D257+'Expenditures 15-22'!K330-SUM('Expenditures 15-22'!G330,'Expenditures 15-22'!I330)</f>
        <v>675046</v>
      </c>
      <c r="H23" s="987"/>
      <c r="I23" s="162"/>
    </row>
    <row r="24" spans="1:9" s="668" customFormat="1" ht="12" customHeight="1" x14ac:dyDescent="0.2">
      <c r="A24" s="994" t="s">
        <v>565</v>
      </c>
      <c r="B24" s="995"/>
      <c r="C24" s="993">
        <v>2400</v>
      </c>
      <c r="D24" s="1799"/>
      <c r="E24" s="1801">
        <f>'Expenditures 15-22'!K57-SUM('Expenditures 15-22'!G57,'Expenditures 15-22'!I57)+'Expenditures 15-22'!D261</f>
        <v>258878</v>
      </c>
      <c r="F24" s="1799"/>
      <c r="G24" s="1802">
        <f>'Expenditures 15-22'!K57-SUM('Expenditures 15-22'!G57,'Expenditures 15-22'!I57)+'Expenditures 15-22'!D261</f>
        <v>258878</v>
      </c>
      <c r="H24" s="987"/>
      <c r="I24" s="162"/>
    </row>
    <row r="25" spans="1:9" s="668" customFormat="1" ht="12" customHeight="1" x14ac:dyDescent="0.2">
      <c r="A25" s="990" t="s">
        <v>566</v>
      </c>
      <c r="B25" s="996"/>
      <c r="C25" s="993"/>
      <c r="D25" s="1799"/>
      <c r="E25" s="1801"/>
      <c r="F25" s="1799"/>
      <c r="G25" s="1802"/>
      <c r="H25" s="987"/>
      <c r="I25" s="162"/>
    </row>
    <row r="26" spans="1:9" s="668" customFormat="1" ht="12" customHeight="1" x14ac:dyDescent="0.2">
      <c r="A26" s="994" t="s">
        <v>514</v>
      </c>
      <c r="B26" s="997"/>
      <c r="C26" s="993">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7"/>
      <c r="I26" s="162"/>
    </row>
    <row r="27" spans="1:9" s="668" customFormat="1" ht="12" customHeight="1" x14ac:dyDescent="0.2">
      <c r="A27" s="994" t="s">
        <v>462</v>
      </c>
      <c r="B27" s="997"/>
      <c r="C27" s="993">
        <v>2520</v>
      </c>
      <c r="D27" s="1801">
        <f>'Expenditures 15-22'!K60-SUM('Expenditures 15-22'!G60,'Expenditures 15-22'!I60)+'Expenditures 15-22'!D264-E8</f>
        <v>51979</v>
      </c>
      <c r="E27" s="1801">
        <f>E8</f>
        <v>0</v>
      </c>
      <c r="F27" s="1801">
        <f>'Expenditures 15-22'!K60-SUM('Expenditures 15-22'!G60,'Expenditures 15-22'!I60)+'Expenditures 15-22'!D264-E8</f>
        <v>51979</v>
      </c>
      <c r="G27" s="1802">
        <f>E8</f>
        <v>0</v>
      </c>
      <c r="H27" s="987"/>
      <c r="I27" s="162"/>
    </row>
    <row r="28" spans="1:9" s="668" customFormat="1" ht="12" customHeight="1" x14ac:dyDescent="0.2">
      <c r="A28" s="994" t="s">
        <v>515</v>
      </c>
      <c r="B28" s="997"/>
      <c r="C28" s="993">
        <v>2540</v>
      </c>
      <c r="D28" s="1803"/>
      <c r="E28" s="1801">
        <f>'Expenditures 15-22'!K61-SUM('Expenditures 15-22'!G61,'Expenditures 15-22'!I61)+'Expenditures 15-22'!K124-SUM('Expenditures 15-22'!G124,'Expenditures 15-22'!I124)+'Expenditures 15-22'!D266</f>
        <v>523090</v>
      </c>
      <c r="F28" s="1803">
        <f>'Expenditures 15-22'!K61-SUM('Expenditures 15-22'!G61,'Expenditures 15-22'!I61)+'Expenditures 15-22'!K124-SUM('Expenditures 15-22'!G124,'Expenditures 15-22'!I124)+'Expenditures 15-22'!D266-E9</f>
        <v>523090</v>
      </c>
      <c r="G28" s="1802">
        <f>E9</f>
        <v>0</v>
      </c>
      <c r="H28" s="987"/>
      <c r="I28" s="162"/>
    </row>
    <row r="29" spans="1:9" ht="12" customHeight="1" x14ac:dyDescent="0.2">
      <c r="A29" s="994" t="s">
        <v>516</v>
      </c>
      <c r="B29" s="997"/>
      <c r="C29" s="993">
        <v>2550</v>
      </c>
      <c r="D29" s="1799"/>
      <c r="E29" s="1801">
        <f>'Expenditures 15-22'!K62-SUM('Expenditures 15-22'!G62,'Expenditures 15-22'!I62)+'Expenditures 15-22'!K125-SUM('Expenditures 15-22'!G125,'Expenditures 15-22'!I125)+'Expenditures 15-22'!K182-SUM('Expenditures 15-22'!G182,'Expenditures 15-22'!I182)+'Expenditures 15-22'!D267</f>
        <v>232189</v>
      </c>
      <c r="F29" s="1799"/>
      <c r="G29" s="1802">
        <f>'Expenditures 15-22'!K62-SUM('Expenditures 15-22'!G62,'Expenditures 15-22'!I62)+'Expenditures 15-22'!K125-SUM('Expenditures 15-22'!G125,'Expenditures 15-22'!I125)+'Expenditures 15-22'!K182-SUM('Expenditures 15-22'!G182,'Expenditures 15-22'!I182)+'Expenditures 15-22'!D267</f>
        <v>232189</v>
      </c>
      <c r="H29" s="985"/>
    </row>
    <row r="30" spans="1:9" ht="12" customHeight="1" x14ac:dyDescent="0.2">
      <c r="A30" s="994" t="s">
        <v>100</v>
      </c>
      <c r="B30" s="997"/>
      <c r="C30" s="993">
        <v>2560</v>
      </c>
      <c r="D30" s="1799"/>
      <c r="E30" s="1801">
        <f>'Expenditures 15-22'!K63-SUM('Expenditures 15-22'!G63,'Expenditures 15-22'!I63)+'Expenditures 15-22'!D268-E10</f>
        <v>71702</v>
      </c>
      <c r="F30" s="1799"/>
      <c r="G30" s="1801">
        <f>'Expenditures 15-22'!K63-SUM('Expenditures 15-22'!G63,'Expenditures 15-22'!I63)+'Expenditures 15-22'!D268-E10</f>
        <v>71702</v>
      </c>
    </row>
    <row r="31" spans="1:9" ht="12" customHeight="1" x14ac:dyDescent="0.2">
      <c r="A31" s="994" t="s">
        <v>101</v>
      </c>
      <c r="B31" s="997"/>
      <c r="C31" s="993">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90" t="s">
        <v>517</v>
      </c>
      <c r="B32" s="996"/>
      <c r="C32" s="993"/>
      <c r="D32" s="1799"/>
      <c r="E32" s="1799"/>
      <c r="F32" s="1799"/>
      <c r="G32" s="1799"/>
    </row>
    <row r="33" spans="1:7" ht="12" customHeight="1" x14ac:dyDescent="0.2">
      <c r="A33" s="994" t="s">
        <v>518</v>
      </c>
      <c r="B33" s="997"/>
      <c r="C33" s="993">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4" t="s">
        <v>519</v>
      </c>
      <c r="B34" s="997"/>
      <c r="C34" s="993">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4" t="s">
        <v>1060</v>
      </c>
      <c r="B35" s="997"/>
      <c r="C35" s="993">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4" t="s">
        <v>402</v>
      </c>
      <c r="B36" s="997"/>
      <c r="C36" s="993">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4" t="s">
        <v>403</v>
      </c>
      <c r="B37" s="997"/>
      <c r="C37" s="993">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90" t="s">
        <v>520</v>
      </c>
      <c r="B38" s="991"/>
      <c r="C38" s="993">
        <v>2900</v>
      </c>
      <c r="D38" s="1799"/>
      <c r="E38" s="1801">
        <f>'Expenditures 15-22'!K73-SUM('Expenditures 15-22'!G73,'Expenditures 15-22'!I73)+'Expenditures 15-22'!K128-SUM('Expenditures 15-22'!G128,'Expenditures 15-22'!I128)+'Expenditures 15-22'!K183-SUM('Expenditures 15-22'!G183,'Expenditures 15-22'!I183)+'Expenditures 15-22'!D278</f>
        <v>7330</v>
      </c>
      <c r="F38" s="1799"/>
      <c r="G38" s="1801">
        <f>'Expenditures 15-22'!K73-SUM('Expenditures 15-22'!G73,'Expenditures 15-22'!I73)+'Expenditures 15-22'!K128-SUM('Expenditures 15-22'!G128,'Expenditures 15-22'!I128)+'Expenditures 15-22'!K183-SUM('Expenditures 15-22'!G183,'Expenditures 15-22'!I183)+'Expenditures 15-22'!D278</f>
        <v>7330</v>
      </c>
    </row>
    <row r="39" spans="1:7" ht="12" customHeight="1" x14ac:dyDescent="0.2">
      <c r="A39" s="990" t="s">
        <v>448</v>
      </c>
      <c r="B39" s="991"/>
      <c r="C39" s="993">
        <v>3000</v>
      </c>
      <c r="D39" s="1799"/>
      <c r="E39" s="1801">
        <f>'Expenditures 15-22'!K75-SUM('Expenditures 15-22'!G75,'Expenditures 15-22'!I75)+'Expenditures 15-22'!K130-SUM('Expenditures 15-22'!G130,'Expenditures 15-22'!I130)+'Expenditures 15-22'!K185-SUM('Expenditures 15-22'!G185,'Expenditures 15-22'!I185)+'Expenditures 15-22'!D280</f>
        <v>1063</v>
      </c>
      <c r="F39" s="1799"/>
      <c r="G39" s="1801">
        <f>'Expenditures 15-22'!K75-SUM('Expenditures 15-22'!G75,'Expenditures 15-22'!I75)+'Expenditures 15-22'!K130-SUM('Expenditures 15-22'!G130,'Expenditures 15-22'!I130)+'Expenditures 15-22'!K185-SUM('Expenditures 15-22'!G185,'Expenditures 15-22'!I185)+'Expenditures 15-22'!D280</f>
        <v>1063</v>
      </c>
    </row>
    <row r="40" spans="1:7" ht="12" customHeight="1" x14ac:dyDescent="0.2">
      <c r="A40" s="990" t="s">
        <v>1822</v>
      </c>
      <c r="B40" s="991"/>
      <c r="C40" s="993"/>
      <c r="D40" s="1799"/>
      <c r="E40" s="1803">
        <f>-'Contracts Paid in CY 29'!G141</f>
        <v>-8982</v>
      </c>
      <c r="F40" s="1799"/>
      <c r="G40" s="1803">
        <f>-'Contracts Paid in CY 29'!G141</f>
        <v>-8982</v>
      </c>
    </row>
    <row r="41" spans="1:7" ht="12" customHeight="1" x14ac:dyDescent="0.2">
      <c r="A41" s="998" t="s">
        <v>156</v>
      </c>
      <c r="B41" s="999"/>
      <c r="C41" s="1000"/>
      <c r="D41" s="1803">
        <f>SUM(D19:D39)</f>
        <v>51979</v>
      </c>
      <c r="E41" s="1803">
        <f>SUM(E19:E40)</f>
        <v>6215015</v>
      </c>
      <c r="F41" s="1803">
        <f>SUM(F19:F39)</f>
        <v>575069</v>
      </c>
      <c r="G41" s="1803">
        <f>SUM(G19:G40)</f>
        <v>5691925</v>
      </c>
    </row>
    <row r="42" spans="1:7" x14ac:dyDescent="0.2">
      <c r="A42" s="987"/>
      <c r="B42" s="162"/>
      <c r="C42" s="1001"/>
      <c r="D42" s="2294" t="s">
        <v>521</v>
      </c>
      <c r="E42" s="2295"/>
      <c r="F42" s="1002" t="s">
        <v>522</v>
      </c>
      <c r="G42" s="1003"/>
    </row>
    <row r="43" spans="1:7" ht="12" customHeight="1" x14ac:dyDescent="0.2">
      <c r="A43" s="987"/>
      <c r="B43" s="162"/>
      <c r="C43" s="1001"/>
      <c r="D43" s="1804" t="s">
        <v>472</v>
      </c>
      <c r="E43" s="1805">
        <f>D41</f>
        <v>51979</v>
      </c>
      <c r="F43" s="1804" t="s">
        <v>472</v>
      </c>
      <c r="G43" s="1805">
        <f>F41</f>
        <v>575069</v>
      </c>
    </row>
    <row r="44" spans="1:7" ht="12" customHeight="1" x14ac:dyDescent="0.2">
      <c r="A44" s="987"/>
      <c r="B44" s="162"/>
      <c r="C44" s="1001"/>
      <c r="D44" s="1804" t="s">
        <v>473</v>
      </c>
      <c r="E44" s="1805">
        <f>E41</f>
        <v>6215015</v>
      </c>
      <c r="F44" s="1804" t="s">
        <v>473</v>
      </c>
      <c r="G44" s="1805">
        <f>G41</f>
        <v>5691925</v>
      </c>
    </row>
    <row r="45" spans="1:7" ht="12" customHeight="1" x14ac:dyDescent="0.2">
      <c r="A45" s="987"/>
      <c r="B45" s="162"/>
      <c r="C45" s="162"/>
      <c r="D45" s="1806" t="s">
        <v>1005</v>
      </c>
      <c r="E45" s="1807">
        <f>(E43/E44)</f>
        <v>8.3634552772599898E-3</v>
      </c>
      <c r="F45" s="1806" t="s">
        <v>1005</v>
      </c>
      <c r="G45" s="1807">
        <f>(G43/G44)</f>
        <v>0.10103242751793111</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&amp;L&amp;8See Notes to Financial Statements.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F31" sqref="F31"/>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02" t="s">
        <v>1378</v>
      </c>
      <c r="B1" s="2302"/>
      <c r="C1" s="2302"/>
      <c r="D1" s="2302"/>
      <c r="E1" s="2302"/>
      <c r="F1" s="2302"/>
    </row>
    <row r="2" spans="1:10" x14ac:dyDescent="0.2">
      <c r="A2" s="1884" t="s">
        <v>1911</v>
      </c>
      <c r="B2" s="1845"/>
      <c r="C2" s="1884"/>
      <c r="D2" s="1845"/>
      <c r="E2" s="1845"/>
      <c r="F2" s="1846"/>
    </row>
    <row r="3" spans="1:10" x14ac:dyDescent="0.2">
      <c r="A3" s="1884" t="s">
        <v>1977</v>
      </c>
      <c r="B3" s="1845"/>
      <c r="C3" s="1884"/>
      <c r="D3" s="1845"/>
      <c r="E3" s="1845"/>
      <c r="F3" s="1846"/>
    </row>
    <row r="4" spans="1:10" ht="3.75" customHeight="1" x14ac:dyDescent="0.2">
      <c r="A4" s="1845"/>
      <c r="B4" s="1845"/>
      <c r="C4" s="1845"/>
      <c r="D4" s="1845"/>
      <c r="E4" s="1845"/>
      <c r="F4" s="1846"/>
    </row>
    <row r="5" spans="1:10" ht="15" x14ac:dyDescent="0.25">
      <c r="A5" s="2303" t="s">
        <v>1545</v>
      </c>
      <c r="B5" s="2304"/>
      <c r="C5" s="2305"/>
      <c r="D5" s="2305"/>
      <c r="E5" s="2305"/>
      <c r="F5" s="2305"/>
    </row>
    <row r="6" spans="1:10" ht="12" customHeight="1" x14ac:dyDescent="0.25">
      <c r="A6" s="1847"/>
      <c r="B6" s="1848"/>
      <c r="C6" s="2306" t="str">
        <f>COVER!A17</f>
        <v>Lebanon CUSD 9</v>
      </c>
      <c r="D6" s="2306"/>
      <c r="E6" s="2306"/>
      <c r="F6" s="1849"/>
    </row>
    <row r="7" spans="1:10" ht="11.25" customHeight="1" thickBot="1" x14ac:dyDescent="0.3">
      <c r="A7" s="1847"/>
      <c r="B7" s="1848"/>
      <c r="C7" s="2307">
        <f>COVER!A13</f>
        <v>50082009026</v>
      </c>
      <c r="D7" s="2307"/>
      <c r="E7" s="2307"/>
      <c r="F7" s="1849"/>
    </row>
    <row r="8" spans="1:10" ht="25.5" customHeight="1" thickBot="1" x14ac:dyDescent="0.25">
      <c r="A8" s="1890" t="s">
        <v>1907</v>
      </c>
      <c r="B8" s="1850"/>
      <c r="C8" s="1886" t="s">
        <v>1680</v>
      </c>
      <c r="D8" s="1885" t="s">
        <v>1681</v>
      </c>
      <c r="E8" s="1887" t="s">
        <v>1379</v>
      </c>
      <c r="F8" s="1885" t="s">
        <v>1682</v>
      </c>
      <c r="H8" s="1851" t="b">
        <v>0</v>
      </c>
    </row>
    <row r="9" spans="1:10" ht="15.75" customHeight="1" x14ac:dyDescent="0.2">
      <c r="A9" s="1852" t="s">
        <v>1541</v>
      </c>
      <c r="B9" s="1853"/>
      <c r="C9" s="1854"/>
      <c r="D9" s="1854"/>
      <c r="E9" s="1855"/>
      <c r="F9" s="1856"/>
    </row>
    <row r="10" spans="1:10" ht="27.75" customHeight="1" x14ac:dyDescent="0.2">
      <c r="A10" s="1857" t="s">
        <v>1679</v>
      </c>
      <c r="B10" s="1858"/>
      <c r="C10" s="1859"/>
      <c r="D10" s="1859"/>
      <c r="E10" s="1888" t="s">
        <v>1380</v>
      </c>
      <c r="F10" s="1889" t="s">
        <v>1381</v>
      </c>
    </row>
    <row r="11" spans="1:10" ht="12" customHeight="1" x14ac:dyDescent="0.2">
      <c r="A11" s="1860" t="s">
        <v>1382</v>
      </c>
      <c r="B11" s="1861"/>
      <c r="C11" s="1862"/>
      <c r="D11" s="1862"/>
      <c r="E11" s="1863"/>
      <c r="F11" s="1864"/>
      <c r="H11" s="1875">
        <f>IF(C11="X",5,0)</f>
        <v>0</v>
      </c>
      <c r="I11" s="1875">
        <f>IF(D11="X",5,0)</f>
        <v>0</v>
      </c>
      <c r="J11" s="1875">
        <f>IF(E11="X",5,0)</f>
        <v>0</v>
      </c>
    </row>
    <row r="12" spans="1:10" ht="12" customHeight="1" x14ac:dyDescent="0.2">
      <c r="A12" s="1860" t="s">
        <v>1383</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1384</v>
      </c>
      <c r="B13" s="1861"/>
      <c r="C13" s="1862" t="s">
        <v>2124</v>
      </c>
      <c r="D13" s="1862" t="s">
        <v>2124</v>
      </c>
      <c r="E13" s="1865" t="s">
        <v>2124</v>
      </c>
      <c r="F13" s="1864" t="s">
        <v>2125</v>
      </c>
      <c r="H13" s="1875">
        <f t="shared" si="0"/>
        <v>5</v>
      </c>
      <c r="I13" s="1875">
        <f t="shared" si="1"/>
        <v>5</v>
      </c>
      <c r="J13" s="1875">
        <f t="shared" si="2"/>
        <v>5</v>
      </c>
    </row>
    <row r="14" spans="1:10" ht="12" customHeight="1" x14ac:dyDescent="0.2">
      <c r="A14" s="1860" t="s">
        <v>1385</v>
      </c>
      <c r="B14" s="1861"/>
      <c r="C14" s="1862" t="s">
        <v>2124</v>
      </c>
      <c r="D14" s="1862" t="s">
        <v>2124</v>
      </c>
      <c r="E14" s="1865" t="s">
        <v>2124</v>
      </c>
      <c r="F14" s="1864" t="s">
        <v>2126</v>
      </c>
      <c r="H14" s="1875">
        <f t="shared" si="0"/>
        <v>5</v>
      </c>
      <c r="I14" s="1875">
        <f t="shared" si="1"/>
        <v>5</v>
      </c>
      <c r="J14" s="1875">
        <f t="shared" si="2"/>
        <v>5</v>
      </c>
    </row>
    <row r="15" spans="1:10" ht="12" customHeight="1" x14ac:dyDescent="0.2">
      <c r="A15" s="1860" t="s">
        <v>1386</v>
      </c>
      <c r="B15" s="1861"/>
      <c r="C15" s="1862" t="s">
        <v>2124</v>
      </c>
      <c r="D15" s="1862" t="s">
        <v>2124</v>
      </c>
      <c r="E15" s="1865" t="s">
        <v>2124</v>
      </c>
      <c r="F15" s="1864" t="s">
        <v>2127</v>
      </c>
      <c r="H15" s="1875">
        <f t="shared" si="0"/>
        <v>5</v>
      </c>
      <c r="I15" s="1875">
        <f t="shared" si="1"/>
        <v>5</v>
      </c>
      <c r="J15" s="1875">
        <f t="shared" si="2"/>
        <v>5</v>
      </c>
    </row>
    <row r="16" spans="1:10" ht="12" customHeight="1" x14ac:dyDescent="0.2">
      <c r="A16" s="1860" t="s">
        <v>1387</v>
      </c>
      <c r="B16" s="1861"/>
      <c r="C16" s="1862" t="s">
        <v>2124</v>
      </c>
      <c r="D16" s="1862" t="s">
        <v>2124</v>
      </c>
      <c r="E16" s="1865" t="s">
        <v>2124</v>
      </c>
      <c r="F16" s="1864" t="s">
        <v>2128</v>
      </c>
      <c r="H16" s="1875">
        <f t="shared" si="0"/>
        <v>5</v>
      </c>
      <c r="I16" s="1875">
        <f t="shared" si="1"/>
        <v>5</v>
      </c>
      <c r="J16" s="1875">
        <f t="shared" si="2"/>
        <v>5</v>
      </c>
    </row>
    <row r="17" spans="1:12" ht="12" customHeight="1" x14ac:dyDescent="0.2">
      <c r="A17" s="1860" t="s">
        <v>1388</v>
      </c>
      <c r="B17" s="1861"/>
      <c r="C17" s="1862"/>
      <c r="D17" s="1862"/>
      <c r="E17" s="1865"/>
      <c r="F17" s="1864"/>
      <c r="H17" s="1875">
        <f t="shared" si="0"/>
        <v>0</v>
      </c>
      <c r="I17" s="1875">
        <f t="shared" si="1"/>
        <v>0</v>
      </c>
      <c r="J17" s="1875">
        <f t="shared" si="2"/>
        <v>0</v>
      </c>
    </row>
    <row r="18" spans="1:12" ht="12" customHeight="1" x14ac:dyDescent="0.2">
      <c r="A18" s="1860" t="s">
        <v>1389</v>
      </c>
      <c r="B18" s="1861"/>
      <c r="C18" s="1862"/>
      <c r="D18" s="1862"/>
      <c r="E18" s="1865"/>
      <c r="F18" s="1864"/>
      <c r="H18" s="1875">
        <f t="shared" si="0"/>
        <v>0</v>
      </c>
      <c r="I18" s="1875">
        <f t="shared" si="1"/>
        <v>0</v>
      </c>
      <c r="J18" s="1875">
        <f t="shared" si="2"/>
        <v>0</v>
      </c>
    </row>
    <row r="19" spans="1:12" ht="12" customHeight="1" x14ac:dyDescent="0.2">
      <c r="A19" s="1860" t="s">
        <v>1526</v>
      </c>
      <c r="B19" s="1861"/>
      <c r="C19" s="1862" t="s">
        <v>2124</v>
      </c>
      <c r="D19" s="1862" t="s">
        <v>2124</v>
      </c>
      <c r="E19" s="1865" t="s">
        <v>2124</v>
      </c>
      <c r="F19" s="1864" t="s">
        <v>2126</v>
      </c>
      <c r="H19" s="1875">
        <f t="shared" si="0"/>
        <v>5</v>
      </c>
      <c r="I19" s="1875">
        <f t="shared" si="1"/>
        <v>5</v>
      </c>
      <c r="J19" s="1875">
        <f t="shared" si="2"/>
        <v>5</v>
      </c>
    </row>
    <row r="20" spans="1:12" ht="12" customHeight="1" x14ac:dyDescent="0.2">
      <c r="A20" s="1860" t="s">
        <v>1527</v>
      </c>
      <c r="B20" s="1861"/>
      <c r="C20" s="1862" t="s">
        <v>2124</v>
      </c>
      <c r="D20" s="1862" t="s">
        <v>2124</v>
      </c>
      <c r="E20" s="1865" t="s">
        <v>2124</v>
      </c>
      <c r="F20" s="1864" t="s">
        <v>2129</v>
      </c>
      <c r="H20" s="1875">
        <f t="shared" si="0"/>
        <v>5</v>
      </c>
      <c r="I20" s="1875">
        <f t="shared" si="1"/>
        <v>5</v>
      </c>
      <c r="J20" s="1875">
        <f t="shared" si="2"/>
        <v>5</v>
      </c>
    </row>
    <row r="21" spans="1:12" ht="12" customHeight="1" x14ac:dyDescent="0.2">
      <c r="A21" s="1860" t="s">
        <v>1528</v>
      </c>
      <c r="B21" s="1861"/>
      <c r="C21" s="1862" t="s">
        <v>2124</v>
      </c>
      <c r="D21" s="1862" t="s">
        <v>2124</v>
      </c>
      <c r="E21" s="1865" t="s">
        <v>2124</v>
      </c>
      <c r="F21" s="1864" t="s">
        <v>2130</v>
      </c>
      <c r="H21" s="1875">
        <f t="shared" si="0"/>
        <v>5</v>
      </c>
      <c r="I21" s="1875">
        <f t="shared" si="1"/>
        <v>5</v>
      </c>
      <c r="J21" s="1875">
        <f t="shared" si="2"/>
        <v>5</v>
      </c>
    </row>
    <row r="22" spans="1:12" ht="12" customHeight="1" x14ac:dyDescent="0.2">
      <c r="A22" s="1860" t="s">
        <v>1529</v>
      </c>
      <c r="B22" s="1861"/>
      <c r="C22" s="1862" t="s">
        <v>2124</v>
      </c>
      <c r="D22" s="1862" t="s">
        <v>2124</v>
      </c>
      <c r="E22" s="1865" t="s">
        <v>2124</v>
      </c>
      <c r="F22" s="1864" t="s">
        <v>2131</v>
      </c>
      <c r="H22" s="1875">
        <f t="shared" si="0"/>
        <v>5</v>
      </c>
      <c r="I22" s="1875">
        <f t="shared" si="1"/>
        <v>5</v>
      </c>
      <c r="J22" s="1875">
        <f t="shared" si="2"/>
        <v>5</v>
      </c>
    </row>
    <row r="23" spans="1:12" ht="12" customHeight="1" x14ac:dyDescent="0.2">
      <c r="A23" s="1860" t="s">
        <v>1530</v>
      </c>
      <c r="B23" s="1861"/>
      <c r="C23" s="1862" t="s">
        <v>2124</v>
      </c>
      <c r="D23" s="1862" t="s">
        <v>2124</v>
      </c>
      <c r="E23" s="1865" t="s">
        <v>2124</v>
      </c>
      <c r="F23" s="1864" t="s">
        <v>2132</v>
      </c>
      <c r="H23" s="1875">
        <f t="shared" si="0"/>
        <v>5</v>
      </c>
      <c r="I23" s="1875">
        <f t="shared" si="1"/>
        <v>5</v>
      </c>
      <c r="J23" s="1875">
        <f t="shared" si="2"/>
        <v>5</v>
      </c>
    </row>
    <row r="24" spans="1:12" ht="12" customHeight="1" x14ac:dyDescent="0.2">
      <c r="A24" s="1860" t="s">
        <v>1531</v>
      </c>
      <c r="B24" s="1861"/>
      <c r="C24" s="1862" t="s">
        <v>2124</v>
      </c>
      <c r="D24" s="1862" t="s">
        <v>2124</v>
      </c>
      <c r="E24" s="1865" t="s">
        <v>2124</v>
      </c>
      <c r="F24" s="1864" t="s">
        <v>2133</v>
      </c>
      <c r="H24" s="1875">
        <f t="shared" si="0"/>
        <v>5</v>
      </c>
      <c r="I24" s="1875">
        <f t="shared" si="1"/>
        <v>5</v>
      </c>
      <c r="J24" s="1875">
        <f t="shared" si="2"/>
        <v>5</v>
      </c>
    </row>
    <row r="25" spans="1:12" ht="12" customHeight="1" x14ac:dyDescent="0.2">
      <c r="A25" s="1860" t="s">
        <v>1532</v>
      </c>
      <c r="B25" s="1861"/>
      <c r="C25" s="1862"/>
      <c r="D25" s="1862"/>
      <c r="E25" s="1865"/>
      <c r="F25" s="1864"/>
      <c r="H25" s="1875">
        <f t="shared" si="0"/>
        <v>0</v>
      </c>
      <c r="I25" s="1875">
        <f t="shared" si="1"/>
        <v>0</v>
      </c>
      <c r="J25" s="1875">
        <f t="shared" si="2"/>
        <v>0</v>
      </c>
    </row>
    <row r="26" spans="1:12" ht="12" customHeight="1" x14ac:dyDescent="0.2">
      <c r="A26" s="1860" t="s">
        <v>1533</v>
      </c>
      <c r="B26" s="1861"/>
      <c r="C26" s="1862" t="s">
        <v>2124</v>
      </c>
      <c r="D26" s="1862" t="s">
        <v>2124</v>
      </c>
      <c r="E26" s="1865" t="s">
        <v>2124</v>
      </c>
      <c r="F26" s="1864" t="s">
        <v>2134</v>
      </c>
      <c r="H26" s="1875">
        <f t="shared" si="0"/>
        <v>5</v>
      </c>
      <c r="I26" s="1875">
        <f t="shared" si="1"/>
        <v>5</v>
      </c>
      <c r="J26" s="1875">
        <f t="shared" si="2"/>
        <v>5</v>
      </c>
    </row>
    <row r="27" spans="1:12" ht="18.75" x14ac:dyDescent="0.2">
      <c r="A27" s="1860" t="s">
        <v>1534</v>
      </c>
      <c r="B27" s="1861"/>
      <c r="C27" s="1862" t="s">
        <v>2124</v>
      </c>
      <c r="D27" s="1862" t="s">
        <v>2124</v>
      </c>
      <c r="E27" s="1865" t="s">
        <v>2124</v>
      </c>
      <c r="F27" s="1864" t="s">
        <v>2135</v>
      </c>
      <c r="H27" s="1875">
        <f t="shared" si="0"/>
        <v>5</v>
      </c>
      <c r="I27" s="1875">
        <f t="shared" si="1"/>
        <v>5</v>
      </c>
      <c r="J27" s="1875">
        <f t="shared" si="2"/>
        <v>5</v>
      </c>
    </row>
    <row r="28" spans="1:12" ht="12" customHeight="1" x14ac:dyDescent="0.2">
      <c r="A28" s="1860" t="s">
        <v>1535</v>
      </c>
      <c r="B28" s="1861"/>
      <c r="C28" s="1862"/>
      <c r="D28" s="1862"/>
      <c r="E28" s="1865"/>
      <c r="F28" s="1864"/>
      <c r="H28" s="1875">
        <f t="shared" si="0"/>
        <v>0</v>
      </c>
      <c r="I28" s="1875">
        <f t="shared" si="1"/>
        <v>0</v>
      </c>
      <c r="J28" s="1875">
        <f t="shared" si="2"/>
        <v>0</v>
      </c>
    </row>
    <row r="29" spans="1:12" ht="12" customHeight="1" x14ac:dyDescent="0.2">
      <c r="A29" s="1860" t="s">
        <v>1536</v>
      </c>
      <c r="B29" s="1861"/>
      <c r="C29" s="1862"/>
      <c r="D29" s="1862"/>
      <c r="E29" s="1865"/>
      <c r="F29" s="1864"/>
      <c r="H29" s="1875">
        <f t="shared" si="0"/>
        <v>0</v>
      </c>
      <c r="I29" s="1875">
        <f t="shared" si="1"/>
        <v>0</v>
      </c>
      <c r="J29" s="1875">
        <f t="shared" si="2"/>
        <v>0</v>
      </c>
    </row>
    <row r="30" spans="1:12" ht="12" customHeight="1" x14ac:dyDescent="0.2">
      <c r="A30" s="1860" t="s">
        <v>1537</v>
      </c>
      <c r="B30" s="1861"/>
      <c r="C30" s="1862"/>
      <c r="D30" s="1862"/>
      <c r="E30" s="1865"/>
      <c r="F30" s="1864"/>
      <c r="H30" s="1875">
        <f t="shared" si="0"/>
        <v>0</v>
      </c>
      <c r="I30" s="1875">
        <f t="shared" si="1"/>
        <v>0</v>
      </c>
      <c r="J30" s="1875">
        <f t="shared" si="2"/>
        <v>0</v>
      </c>
    </row>
    <row r="31" spans="1:12" ht="12" customHeight="1" x14ac:dyDescent="0.2">
      <c r="A31" s="1860" t="s">
        <v>1538</v>
      </c>
      <c r="B31" s="1861"/>
      <c r="C31" s="1862" t="s">
        <v>2124</v>
      </c>
      <c r="D31" s="1862" t="s">
        <v>2124</v>
      </c>
      <c r="E31" s="1865" t="s">
        <v>2124</v>
      </c>
      <c r="F31" s="1864" t="s">
        <v>2136</v>
      </c>
      <c r="H31" s="1875">
        <f t="shared" si="0"/>
        <v>5</v>
      </c>
      <c r="I31" s="1875">
        <f t="shared" si="1"/>
        <v>5</v>
      </c>
      <c r="J31" s="1875">
        <f t="shared" si="2"/>
        <v>5</v>
      </c>
      <c r="L31" s="1866"/>
    </row>
    <row r="32" spans="1:12" ht="12" customHeight="1" x14ac:dyDescent="0.2">
      <c r="A32" s="1860" t="s">
        <v>1539</v>
      </c>
      <c r="B32" s="1861"/>
      <c r="C32" s="1862"/>
      <c r="D32" s="1862"/>
      <c r="E32" s="1865"/>
      <c r="F32" s="1864"/>
      <c r="H32" s="1875">
        <f t="shared" si="0"/>
        <v>0</v>
      </c>
      <c r="I32" s="1875">
        <f t="shared" si="1"/>
        <v>0</v>
      </c>
      <c r="J32" s="1875">
        <f t="shared" si="2"/>
        <v>0</v>
      </c>
    </row>
    <row r="33" spans="1:11" ht="12" customHeight="1" x14ac:dyDescent="0.2">
      <c r="A33" s="1860" t="s">
        <v>1540</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65</v>
      </c>
      <c r="I34" s="1875">
        <f>SUM(I11:I32)</f>
        <v>65</v>
      </c>
      <c r="J34" s="1875">
        <f>SUM(J11:J32)</f>
        <v>65</v>
      </c>
      <c r="K34" s="1875">
        <f>SUM(H34:J34)</f>
        <v>195</v>
      </c>
    </row>
    <row r="35" spans="1:11" ht="12" customHeight="1" x14ac:dyDescent="0.2">
      <c r="A35" s="1868" t="s">
        <v>1391</v>
      </c>
      <c r="B35" s="1869"/>
      <c r="C35" s="2308"/>
      <c r="D35" s="2308"/>
      <c r="E35" s="2308"/>
      <c r="F35" s="2309"/>
    </row>
    <row r="36" spans="1:11" ht="12" customHeight="1" x14ac:dyDescent="0.2">
      <c r="A36" s="2299"/>
      <c r="B36" s="2300"/>
      <c r="C36" s="2300"/>
      <c r="D36" s="2300"/>
      <c r="E36" s="2300"/>
      <c r="F36" s="2301"/>
    </row>
    <row r="37" spans="1:11" ht="12" customHeight="1" x14ac:dyDescent="0.2">
      <c r="A37" s="2299"/>
      <c r="B37" s="2300"/>
      <c r="C37" s="2300"/>
      <c r="D37" s="2300"/>
      <c r="E37" s="2300"/>
      <c r="F37" s="2301"/>
    </row>
    <row r="38" spans="1:11" ht="12" customHeight="1" x14ac:dyDescent="0.2">
      <c r="A38" s="2313"/>
      <c r="B38" s="2314"/>
      <c r="C38" s="2314"/>
      <c r="D38" s="2314"/>
      <c r="E38" s="2314"/>
      <c r="F38" s="2315"/>
    </row>
    <row r="39" spans="1:11" ht="4.5" hidden="1" customHeight="1" x14ac:dyDescent="0.2">
      <c r="A39" s="1870"/>
      <c r="B39" s="1870"/>
      <c r="C39" s="1870"/>
      <c r="D39" s="1870"/>
      <c r="E39" s="1870"/>
      <c r="F39" s="1870"/>
    </row>
    <row r="40" spans="1:11" s="1867" customFormat="1" ht="12" customHeight="1" x14ac:dyDescent="0.25">
      <c r="A40" s="1871" t="s">
        <v>1390</v>
      </c>
      <c r="B40" s="1872"/>
      <c r="C40" s="2316"/>
      <c r="D40" s="2316"/>
      <c r="E40" s="2316"/>
      <c r="F40" s="2317"/>
      <c r="H40" s="1876"/>
      <c r="I40" s="1876"/>
      <c r="J40" s="1876"/>
      <c r="K40" s="1876"/>
    </row>
    <row r="41" spans="1:11" s="1867" customFormat="1" ht="12" customHeight="1" x14ac:dyDescent="0.25">
      <c r="A41" s="2318"/>
      <c r="B41" s="2319"/>
      <c r="C41" s="2319"/>
      <c r="D41" s="2319"/>
      <c r="E41" s="2319"/>
      <c r="F41" s="2320"/>
      <c r="H41" s="1876"/>
      <c r="I41" s="1876"/>
      <c r="J41" s="1876"/>
      <c r="K41" s="1876"/>
    </row>
    <row r="42" spans="1:11" s="1867" customFormat="1" ht="12" customHeight="1" x14ac:dyDescent="0.25">
      <c r="A42" s="2318"/>
      <c r="B42" s="2319"/>
      <c r="C42" s="2319"/>
      <c r="D42" s="2319"/>
      <c r="E42" s="2319"/>
      <c r="F42" s="2320"/>
      <c r="H42" s="1876"/>
      <c r="I42" s="1876"/>
      <c r="J42" s="1876"/>
      <c r="K42" s="1876"/>
    </row>
    <row r="43" spans="1:11" s="1867" customFormat="1" ht="15" x14ac:dyDescent="0.25">
      <c r="A43" s="2310"/>
      <c r="B43" s="2311"/>
      <c r="C43" s="2311"/>
      <c r="D43" s="2311"/>
      <c r="E43" s="2311"/>
      <c r="F43" s="2312"/>
      <c r="H43" s="1876"/>
      <c r="I43" s="1876"/>
      <c r="J43" s="1876"/>
      <c r="K43" s="1876"/>
    </row>
    <row r="44" spans="1:11" s="1867" customFormat="1" ht="12" hidden="1" customHeight="1" x14ac:dyDescent="0.25">
      <c r="A44" s="2310"/>
      <c r="B44" s="2311"/>
      <c r="C44" s="2311"/>
      <c r="D44" s="2311"/>
      <c r="E44" s="2311"/>
      <c r="F44" s="2312"/>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3" orientation="landscape" r:id="rId1"/>
  <headerFooter>
    <oddFooter>&amp;LSee Notes to Financial Statements.&amp;C&amp;8Page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E17" sqref="E1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91" t="s">
        <v>671</v>
      </c>
      <c r="B6" s="1639"/>
      <c r="C6" s="1639"/>
      <c r="D6" s="1639"/>
      <c r="E6" s="1640"/>
      <c r="F6" s="1015"/>
      <c r="G6" s="1009"/>
      <c r="H6" s="1016" t="s">
        <v>1027</v>
      </c>
      <c r="I6" s="2326" t="str">
        <f>COVER!A17</f>
        <v>Lebanon CUSD 9</v>
      </c>
      <c r="J6" s="2327"/>
      <c r="Q6" s="1661"/>
    </row>
    <row r="7" spans="1:17" x14ac:dyDescent="0.2">
      <c r="A7" s="2328" t="s">
        <v>868</v>
      </c>
      <c r="B7" s="2329"/>
      <c r="C7" s="2329"/>
      <c r="D7" s="2329"/>
      <c r="E7" s="2330"/>
      <c r="F7" s="1017"/>
      <c r="G7" s="1009"/>
      <c r="H7" s="1016" t="s">
        <v>371</v>
      </c>
      <c r="I7" s="2331">
        <f>COVER!A13</f>
        <v>50082009026</v>
      </c>
      <c r="J7" s="2331"/>
    </row>
    <row r="8" spans="1:17" ht="8.25" customHeight="1" x14ac:dyDescent="0.2">
      <c r="A8" s="1641"/>
      <c r="B8" s="1642"/>
      <c r="C8" s="1642"/>
      <c r="D8" s="1642"/>
      <c r="E8" s="1643"/>
      <c r="F8" s="1018"/>
      <c r="G8" s="1019"/>
      <c r="H8" s="1019"/>
      <c r="I8" s="1019"/>
      <c r="J8" s="1019"/>
    </row>
    <row r="9" spans="1:17" ht="13.5" customHeight="1" x14ac:dyDescent="0.2">
      <c r="A9" s="1020"/>
      <c r="B9" s="1021"/>
      <c r="C9" s="1021"/>
      <c r="D9" s="1022"/>
      <c r="E9" s="1892" t="s">
        <v>1978</v>
      </c>
      <c r="F9" s="1023"/>
      <c r="G9" s="1023"/>
      <c r="H9" s="1893" t="s">
        <v>1979</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32" t="s">
        <v>480</v>
      </c>
      <c r="B11" s="2333"/>
      <c r="C11" s="2334"/>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08">
        <f>'Expenditures 15-22'!K50</f>
        <v>169015</v>
      </c>
      <c r="F12" s="1039"/>
      <c r="G12" s="1808">
        <f t="shared" ref="G12:G18" si="0">SUM(E12:F12)</f>
        <v>169015</v>
      </c>
      <c r="H12" s="1040">
        <v>172927</v>
      </c>
      <c r="I12" s="1039"/>
      <c r="J12" s="1808">
        <f t="shared" ref="J12:J18" si="1">SUM(H12:I12)</f>
        <v>172927</v>
      </c>
    </row>
    <row r="13" spans="1:17" ht="15" customHeight="1" x14ac:dyDescent="0.2">
      <c r="A13" s="1035">
        <v>2</v>
      </c>
      <c r="B13" s="1036" t="s">
        <v>42</v>
      </c>
      <c r="C13" s="1037"/>
      <c r="D13" s="1038">
        <v>2330</v>
      </c>
      <c r="E13" s="1808">
        <f>'Expenditures 15-22'!K51</f>
        <v>14053</v>
      </c>
      <c r="F13" s="1039"/>
      <c r="G13" s="1808">
        <f t="shared" si="0"/>
        <v>14053</v>
      </c>
      <c r="H13" s="1040">
        <v>16850</v>
      </c>
      <c r="I13" s="1039"/>
      <c r="J13" s="1808">
        <f t="shared" si="1"/>
        <v>16850</v>
      </c>
    </row>
    <row r="14" spans="1:17" ht="15" customHeight="1" x14ac:dyDescent="0.2">
      <c r="A14" s="1035">
        <v>3</v>
      </c>
      <c r="B14" s="1036" t="s">
        <v>43</v>
      </c>
      <c r="C14" s="1037"/>
      <c r="D14" s="1041">
        <v>2490</v>
      </c>
      <c r="E14" s="1808">
        <f>'Expenditures 15-22'!K56</f>
        <v>0</v>
      </c>
      <c r="F14" s="1039"/>
      <c r="G14" s="1808">
        <f t="shared" si="0"/>
        <v>0</v>
      </c>
      <c r="H14" s="1040"/>
      <c r="I14" s="1039"/>
      <c r="J14" s="1808">
        <f t="shared" si="1"/>
        <v>0</v>
      </c>
    </row>
    <row r="15" spans="1:17" ht="15" customHeight="1" x14ac:dyDescent="0.2">
      <c r="A15" s="1035">
        <v>4</v>
      </c>
      <c r="B15" s="1036" t="s">
        <v>1067</v>
      </c>
      <c r="C15" s="1037"/>
      <c r="D15" s="1038">
        <v>2510</v>
      </c>
      <c r="E15" s="1808">
        <f>'Expenditures 15-22'!K59</f>
        <v>0</v>
      </c>
      <c r="F15" s="1808">
        <f>'Expenditures 15-22'!K122</f>
        <v>0</v>
      </c>
      <c r="G15" s="1808">
        <f t="shared" si="0"/>
        <v>0</v>
      </c>
      <c r="H15" s="1040"/>
      <c r="I15" s="1040"/>
      <c r="J15" s="1808">
        <f t="shared" si="1"/>
        <v>0</v>
      </c>
    </row>
    <row r="16" spans="1:17" ht="15" customHeight="1" x14ac:dyDescent="0.2">
      <c r="A16" s="1035">
        <v>5</v>
      </c>
      <c r="B16" s="1036" t="s">
        <v>101</v>
      </c>
      <c r="C16" s="1037"/>
      <c r="D16" s="1038">
        <v>2570</v>
      </c>
      <c r="E16" s="1808">
        <f>'Expenditures 15-22'!K64</f>
        <v>0</v>
      </c>
      <c r="F16" s="1039"/>
      <c r="G16" s="1808">
        <f t="shared" si="0"/>
        <v>0</v>
      </c>
      <c r="H16" s="1040"/>
      <c r="I16" s="1039"/>
      <c r="J16" s="1808">
        <f t="shared" si="1"/>
        <v>0</v>
      </c>
    </row>
    <row r="17" spans="1:10" ht="15" customHeight="1" x14ac:dyDescent="0.2">
      <c r="A17" s="1035">
        <v>6</v>
      </c>
      <c r="B17" s="1036" t="s">
        <v>1059</v>
      </c>
      <c r="C17" s="1037"/>
      <c r="D17" s="1038">
        <v>2610</v>
      </c>
      <c r="E17" s="1808">
        <f>'Expenditures 15-22'!K67</f>
        <v>0</v>
      </c>
      <c r="F17" s="1039"/>
      <c r="G17" s="1808">
        <f t="shared" si="0"/>
        <v>0</v>
      </c>
      <c r="H17" s="1040"/>
      <c r="I17" s="1039"/>
      <c r="J17" s="1808">
        <f t="shared" si="1"/>
        <v>0</v>
      </c>
    </row>
    <row r="18" spans="1:10" ht="22.5" customHeight="1" x14ac:dyDescent="0.2">
      <c r="A18" s="1042">
        <v>7</v>
      </c>
      <c r="B18" s="2335" t="s">
        <v>7</v>
      </c>
      <c r="C18" s="2336"/>
      <c r="D18" s="2337"/>
      <c r="E18" s="1043"/>
      <c r="F18" s="1043"/>
      <c r="G18" s="1809">
        <f t="shared" si="0"/>
        <v>0</v>
      </c>
      <c r="H18" s="1040"/>
      <c r="I18" s="1040"/>
      <c r="J18" s="1808">
        <f t="shared" si="1"/>
        <v>0</v>
      </c>
    </row>
    <row r="19" spans="1:10" ht="12.75" customHeight="1" thickBot="1" x14ac:dyDescent="0.25">
      <c r="A19" s="1035">
        <v>8</v>
      </c>
      <c r="B19" s="1044" t="s">
        <v>1160</v>
      </c>
      <c r="D19" s="1045"/>
      <c r="E19" s="1810">
        <f t="shared" ref="E19:J19" si="2">SUM(E12:E17)-E18</f>
        <v>183068</v>
      </c>
      <c r="F19" s="1810">
        <f t="shared" si="2"/>
        <v>0</v>
      </c>
      <c r="G19" s="1810">
        <f t="shared" si="2"/>
        <v>183068</v>
      </c>
      <c r="H19" s="1810">
        <f t="shared" si="2"/>
        <v>189777</v>
      </c>
      <c r="I19" s="1810">
        <f t="shared" si="2"/>
        <v>0</v>
      </c>
      <c r="J19" s="1810">
        <f t="shared" si="2"/>
        <v>189777</v>
      </c>
    </row>
    <row r="20" spans="1:10" ht="13.5" thickTop="1" x14ac:dyDescent="0.2">
      <c r="A20" s="1035">
        <v>9</v>
      </c>
      <c r="B20" s="2338" t="s">
        <v>1980</v>
      </c>
      <c r="C20" s="2338"/>
      <c r="D20" s="2339"/>
      <c r="E20" s="1046"/>
      <c r="F20" s="1046"/>
      <c r="G20" s="1046"/>
      <c r="H20" s="1046"/>
      <c r="I20" s="1046"/>
      <c r="J20" s="1811">
        <f>IF(AND(G19&gt;0,J19&gt;0),(((J19-G19)/G19)),"Enter Budget Data")</f>
        <v>3.6647584504118688E-2</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44"/>
      <c r="D26" s="2344"/>
      <c r="E26" s="1050"/>
      <c r="F26" s="2343"/>
      <c r="G26" s="2343"/>
    </row>
    <row r="27" spans="1:10" x14ac:dyDescent="0.2">
      <c r="B27" s="1047"/>
      <c r="C27" s="1051" t="s">
        <v>1032</v>
      </c>
      <c r="D27" s="1052"/>
      <c r="E27" s="1053"/>
      <c r="F27" s="2340" t="s">
        <v>1508</v>
      </c>
      <c r="G27" s="2340"/>
    </row>
    <row r="28" spans="1:10" ht="28.5" customHeight="1" x14ac:dyDescent="0.2">
      <c r="B28" s="1047"/>
      <c r="C28" s="2342"/>
      <c r="D28" s="2342"/>
      <c r="E28" s="1054"/>
      <c r="F28" s="2342"/>
      <c r="G28" s="2342"/>
    </row>
    <row r="29" spans="1:10" x14ac:dyDescent="0.2">
      <c r="B29" s="1047"/>
      <c r="C29" s="1055" t="s">
        <v>1560</v>
      </c>
      <c r="E29" s="1056"/>
      <c r="F29" s="2341" t="s">
        <v>1509</v>
      </c>
      <c r="G29" s="2341"/>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23" t="s">
        <v>132</v>
      </c>
      <c r="D33" s="2324"/>
      <c r="E33" s="2324"/>
      <c r="F33" s="2324"/>
      <c r="G33" s="2324"/>
      <c r="H33" s="2324"/>
      <c r="I33" s="2324"/>
    </row>
    <row r="34" spans="1:10" ht="10.35" customHeight="1" x14ac:dyDescent="0.2">
      <c r="C34" s="2324"/>
      <c r="D34" s="2324"/>
      <c r="E34" s="2324"/>
      <c r="F34" s="2324"/>
      <c r="G34" s="2324"/>
      <c r="H34" s="2324"/>
      <c r="I34" s="2324"/>
    </row>
    <row r="35" spans="1:10" ht="7.5" customHeight="1" x14ac:dyDescent="0.2">
      <c r="C35" s="1062"/>
    </row>
    <row r="36" spans="1:10" ht="13.5" customHeight="1" x14ac:dyDescent="0.2">
      <c r="B36" s="1061"/>
      <c r="C36" s="2325" t="s">
        <v>1982</v>
      </c>
      <c r="D36" s="2324"/>
      <c r="E36" s="2324"/>
      <c r="F36" s="2324"/>
      <c r="G36" s="2324"/>
      <c r="H36" s="2324"/>
      <c r="I36" s="2324"/>
      <c r="J36" s="1063"/>
    </row>
    <row r="37" spans="1:10" ht="22.5" customHeight="1" x14ac:dyDescent="0.2">
      <c r="C37" s="2324"/>
      <c r="D37" s="2324"/>
      <c r="E37" s="2324"/>
      <c r="F37" s="2324"/>
      <c r="G37" s="2324"/>
      <c r="H37" s="2324"/>
      <c r="I37" s="2324"/>
      <c r="J37" s="1063"/>
    </row>
    <row r="38" spans="1:10" ht="7.5" customHeight="1" x14ac:dyDescent="0.2">
      <c r="C38" s="1062"/>
      <c r="D38" s="1064"/>
      <c r="E38" s="1065"/>
      <c r="F38" s="1066"/>
      <c r="G38" s="1065"/>
    </row>
    <row r="39" spans="1:10" ht="13.5" customHeight="1" x14ac:dyDescent="0.2">
      <c r="B39" s="1061"/>
      <c r="C39" s="2321" t="s">
        <v>881</v>
      </c>
      <c r="D39" s="2322"/>
      <c r="E39" s="2322"/>
      <c r="F39" s="2322"/>
      <c r="G39" s="2322"/>
      <c r="H39" s="2322"/>
      <c r="I39" s="232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&amp;LSee Notes to Financial Statements.</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E65"/>
  <sheetViews>
    <sheetView showGridLines="0" topLeftCell="A13" zoomScale="110" zoomScaleNormal="110" workbookViewId="0">
      <selection activeCell="H34" sqref="H34"/>
    </sheetView>
  </sheetViews>
  <sheetFormatPr defaultRowHeight="12.75" x14ac:dyDescent="0.2"/>
  <cols>
    <col min="1" max="1" width="9.42578125" style="391" customWidth="1"/>
    <col min="2" max="2" width="9.42578125" style="1932" customWidth="1"/>
    <col min="3" max="3" width="9.42578125" style="1936" customWidth="1"/>
    <col min="4" max="4" width="77.140625" style="1932" customWidth="1"/>
    <col min="5" max="5" width="17.7109375" style="1937" customWidth="1"/>
    <col min="6" max="16384" width="9.140625" style="329"/>
  </cols>
  <sheetData>
    <row r="2" spans="1:5" x14ac:dyDescent="0.2">
      <c r="A2" s="1939" t="s">
        <v>258</v>
      </c>
    </row>
    <row r="3" spans="1:5" x14ac:dyDescent="0.2">
      <c r="A3" s="391" t="s">
        <v>259</v>
      </c>
    </row>
    <row r="5" spans="1:5" x14ac:dyDescent="0.2">
      <c r="A5" s="1941"/>
    </row>
    <row r="6" spans="1:5" ht="13.5" thickBot="1" x14ac:dyDescent="0.25">
      <c r="A6" s="1940" t="s">
        <v>2073</v>
      </c>
      <c r="B6" s="1933" t="s">
        <v>2074</v>
      </c>
      <c r="C6" s="1933" t="s">
        <v>2075</v>
      </c>
      <c r="D6" s="1933" t="s">
        <v>2076</v>
      </c>
      <c r="E6" s="1938" t="s">
        <v>2077</v>
      </c>
    </row>
    <row r="7" spans="1:5" x14ac:dyDescent="0.2">
      <c r="A7" s="1941"/>
    </row>
    <row r="8" spans="1:5" x14ac:dyDescent="0.2">
      <c r="A8" s="1941" t="s">
        <v>458</v>
      </c>
      <c r="B8" s="1932">
        <v>10</v>
      </c>
      <c r="C8" s="1936">
        <v>78</v>
      </c>
      <c r="D8" s="1932" t="s">
        <v>2137</v>
      </c>
    </row>
    <row r="9" spans="1:5" x14ac:dyDescent="0.2">
      <c r="A9" s="1941"/>
      <c r="D9" s="1932" t="s">
        <v>2138</v>
      </c>
      <c r="E9" s="1937">
        <v>888</v>
      </c>
    </row>
    <row r="10" spans="1:5" x14ac:dyDescent="0.2">
      <c r="A10" s="1941"/>
    </row>
    <row r="11" spans="1:5" x14ac:dyDescent="0.2">
      <c r="A11" s="1941" t="s">
        <v>458</v>
      </c>
      <c r="B11" s="1932">
        <v>10</v>
      </c>
      <c r="C11" s="1936">
        <v>81</v>
      </c>
      <c r="D11" s="1932" t="s">
        <v>2172</v>
      </c>
    </row>
    <row r="12" spans="1:5" x14ac:dyDescent="0.2">
      <c r="A12" s="1941"/>
      <c r="D12" s="1932" t="s">
        <v>2139</v>
      </c>
      <c r="E12" s="1937">
        <v>15901</v>
      </c>
    </row>
    <row r="13" spans="1:5" x14ac:dyDescent="0.2">
      <c r="A13" s="1941"/>
    </row>
    <row r="14" spans="1:5" x14ac:dyDescent="0.2">
      <c r="A14" s="1941" t="s">
        <v>458</v>
      </c>
      <c r="B14" s="1932">
        <v>10</v>
      </c>
      <c r="C14" s="1936">
        <v>107</v>
      </c>
      <c r="D14" s="1932" t="s">
        <v>2140</v>
      </c>
    </row>
    <row r="15" spans="1:5" x14ac:dyDescent="0.2">
      <c r="A15" s="1941"/>
      <c r="D15" s="1932" t="s">
        <v>2141</v>
      </c>
      <c r="E15" s="1937">
        <v>7674</v>
      </c>
    </row>
    <row r="16" spans="1:5" x14ac:dyDescent="0.2">
      <c r="A16" s="1941"/>
    </row>
    <row r="17" spans="1:5" x14ac:dyDescent="0.2">
      <c r="A17" s="1941" t="s">
        <v>459</v>
      </c>
      <c r="B17" s="1932">
        <v>10</v>
      </c>
      <c r="C17" s="1936">
        <v>107</v>
      </c>
      <c r="D17" s="1932" t="s">
        <v>2140</v>
      </c>
    </row>
    <row r="18" spans="1:5" x14ac:dyDescent="0.2">
      <c r="A18" s="1941"/>
      <c r="D18" s="1932" t="s">
        <v>2141</v>
      </c>
      <c r="E18" s="1937">
        <v>214</v>
      </c>
    </row>
    <row r="19" spans="1:5" x14ac:dyDescent="0.2">
      <c r="A19" s="1941"/>
    </row>
    <row r="20" spans="1:5" x14ac:dyDescent="0.2">
      <c r="A20" s="1941" t="s">
        <v>2142</v>
      </c>
      <c r="B20" s="1932">
        <v>10</v>
      </c>
      <c r="C20" s="1936">
        <v>107</v>
      </c>
      <c r="D20" s="1932" t="s">
        <v>2140</v>
      </c>
    </row>
    <row r="21" spans="1:5" x14ac:dyDescent="0.2">
      <c r="A21" s="1941"/>
      <c r="D21" s="1932" t="s">
        <v>2141</v>
      </c>
      <c r="E21" s="1937">
        <v>1612</v>
      </c>
    </row>
    <row r="22" spans="1:5" x14ac:dyDescent="0.2">
      <c r="A22" s="1941"/>
    </row>
    <row r="23" spans="1:5" x14ac:dyDescent="0.2">
      <c r="A23" s="1941" t="s">
        <v>458</v>
      </c>
      <c r="B23" s="1932">
        <v>12</v>
      </c>
      <c r="C23" s="1936">
        <v>168</v>
      </c>
      <c r="D23" s="1932" t="s">
        <v>2143</v>
      </c>
    </row>
    <row r="24" spans="1:5" x14ac:dyDescent="0.2">
      <c r="A24" s="1941"/>
      <c r="D24" s="1932" t="s">
        <v>2173</v>
      </c>
      <c r="E24" s="1937">
        <v>750</v>
      </c>
    </row>
    <row r="25" spans="1:5" x14ac:dyDescent="0.2">
      <c r="A25" s="1941"/>
    </row>
    <row r="26" spans="1:5" x14ac:dyDescent="0.2">
      <c r="A26" s="1941" t="s">
        <v>458</v>
      </c>
      <c r="B26" s="1932">
        <v>13</v>
      </c>
      <c r="C26" s="1936">
        <v>203</v>
      </c>
      <c r="D26" s="1932" t="s">
        <v>2174</v>
      </c>
    </row>
    <row r="27" spans="1:5" x14ac:dyDescent="0.2">
      <c r="A27" s="1941"/>
      <c r="D27" s="1932" t="s">
        <v>2175</v>
      </c>
      <c r="E27" s="1937">
        <v>777</v>
      </c>
    </row>
    <row r="28" spans="1:5" x14ac:dyDescent="0.2">
      <c r="A28" s="1941"/>
    </row>
    <row r="29" spans="1:5" x14ac:dyDescent="0.2">
      <c r="A29" s="1941" t="s">
        <v>458</v>
      </c>
      <c r="B29" s="1932">
        <v>13</v>
      </c>
      <c r="C29" s="1936">
        <v>220</v>
      </c>
      <c r="D29" s="1932" t="s">
        <v>2144</v>
      </c>
    </row>
    <row r="30" spans="1:5" x14ac:dyDescent="0.2">
      <c r="A30" s="1941"/>
      <c r="D30" s="1932" t="s">
        <v>2145</v>
      </c>
      <c r="E30" s="1937">
        <v>11034</v>
      </c>
    </row>
    <row r="31" spans="1:5" x14ac:dyDescent="0.2">
      <c r="A31" s="1941"/>
    </row>
    <row r="32" spans="1:5" x14ac:dyDescent="0.2">
      <c r="A32" s="1941" t="s">
        <v>458</v>
      </c>
      <c r="B32" s="1932">
        <v>16</v>
      </c>
      <c r="C32" s="1936">
        <v>73</v>
      </c>
      <c r="D32" s="1932" t="s">
        <v>2146</v>
      </c>
    </row>
    <row r="33" spans="1:5" x14ac:dyDescent="0.2">
      <c r="A33" s="1941"/>
      <c r="D33" s="1932" t="s">
        <v>2147</v>
      </c>
      <c r="E33" s="1937">
        <v>7330</v>
      </c>
    </row>
    <row r="34" spans="1:5" x14ac:dyDescent="0.2">
      <c r="A34" s="1941"/>
    </row>
    <row r="35" spans="1:5" x14ac:dyDescent="0.2">
      <c r="A35" s="1941" t="s">
        <v>498</v>
      </c>
      <c r="B35" s="1932">
        <v>18</v>
      </c>
      <c r="C35" s="1936">
        <v>171</v>
      </c>
      <c r="D35" s="1932" t="s">
        <v>2176</v>
      </c>
    </row>
    <row r="36" spans="1:5" x14ac:dyDescent="0.2">
      <c r="A36" s="1941"/>
      <c r="D36" s="1932" t="s">
        <v>2148</v>
      </c>
      <c r="E36" s="1937">
        <v>1848</v>
      </c>
    </row>
    <row r="37" spans="1:5" x14ac:dyDescent="0.2">
      <c r="A37" s="1941"/>
    </row>
    <row r="38" spans="1:5" x14ac:dyDescent="0.2">
      <c r="A38" s="1941"/>
      <c r="B38" s="1932">
        <v>24</v>
      </c>
      <c r="C38" s="1936">
        <v>37</v>
      </c>
      <c r="D38" s="1932" t="s">
        <v>2149</v>
      </c>
      <c r="E38" s="1937">
        <v>-22555</v>
      </c>
    </row>
    <row r="39" spans="1:5" x14ac:dyDescent="0.2">
      <c r="A39" s="1941"/>
    </row>
    <row r="40" spans="1:5" x14ac:dyDescent="0.2">
      <c r="A40" s="1941"/>
      <c r="B40" s="1932">
        <v>24</v>
      </c>
      <c r="C40" s="1936">
        <v>38</v>
      </c>
      <c r="D40" s="1932" t="s">
        <v>2149</v>
      </c>
      <c r="E40" s="1937">
        <v>-38242</v>
      </c>
    </row>
    <row r="41" spans="1:5" x14ac:dyDescent="0.2">
      <c r="A41" s="1941"/>
    </row>
    <row r="42" spans="1:5" x14ac:dyDescent="0.2">
      <c r="A42" s="1941"/>
      <c r="B42" s="1932">
        <v>24</v>
      </c>
      <c r="C42" s="1936">
        <v>39</v>
      </c>
      <c r="D42" s="1932" t="s">
        <v>2149</v>
      </c>
      <c r="E42" s="1937">
        <v>-16212</v>
      </c>
    </row>
    <row r="43" spans="1:5" x14ac:dyDescent="0.2">
      <c r="A43" s="1941"/>
    </row>
    <row r="44" spans="1:5" x14ac:dyDescent="0.2">
      <c r="A44" s="1941"/>
      <c r="B44" s="1932">
        <v>24</v>
      </c>
      <c r="C44" s="1936">
        <v>40</v>
      </c>
      <c r="D44" s="1932" t="s">
        <v>2149</v>
      </c>
      <c r="E44" s="1937">
        <v>-16930</v>
      </c>
    </row>
    <row r="45" spans="1:5" x14ac:dyDescent="0.2">
      <c r="A45" s="1941"/>
    </row>
    <row r="46" spans="1:5" x14ac:dyDescent="0.2">
      <c r="A46" s="1941"/>
      <c r="B46" s="1932">
        <v>24</v>
      </c>
      <c r="C46" s="1936">
        <v>41</v>
      </c>
      <c r="D46" s="1932" t="s">
        <v>2149</v>
      </c>
      <c r="E46" s="1937">
        <v>-16886</v>
      </c>
    </row>
    <row r="47" spans="1:5" x14ac:dyDescent="0.2">
      <c r="A47" s="1941"/>
    </row>
    <row r="48" spans="1:5" x14ac:dyDescent="0.2">
      <c r="A48" s="1941"/>
    </row>
    <row r="49" spans="1:2" x14ac:dyDescent="0.2">
      <c r="A49" s="1941"/>
    </row>
    <row r="50" spans="1:2" x14ac:dyDescent="0.2">
      <c r="A50" s="1941"/>
    </row>
    <row r="51" spans="1:2" x14ac:dyDescent="0.2">
      <c r="A51" s="1941"/>
    </row>
    <row r="52" spans="1:2" x14ac:dyDescent="0.2">
      <c r="A52" s="1941"/>
    </row>
    <row r="53" spans="1:2" x14ac:dyDescent="0.2">
      <c r="A53" s="1941"/>
    </row>
    <row r="54" spans="1:2" x14ac:dyDescent="0.2">
      <c r="A54" s="1941"/>
    </row>
    <row r="55" spans="1:2" x14ac:dyDescent="0.2">
      <c r="A55" s="1941"/>
    </row>
    <row r="56" spans="1:2" x14ac:dyDescent="0.2">
      <c r="A56" s="1941"/>
    </row>
    <row r="57" spans="1:2" x14ac:dyDescent="0.2">
      <c r="A57" s="1941"/>
    </row>
    <row r="58" spans="1:2" x14ac:dyDescent="0.2">
      <c r="A58" s="1941"/>
    </row>
    <row r="59" spans="1:2" x14ac:dyDescent="0.2">
      <c r="A59" s="1941"/>
    </row>
    <row r="60" spans="1:2" x14ac:dyDescent="0.2">
      <c r="A60" s="1941"/>
    </row>
    <row r="61" spans="1:2" x14ac:dyDescent="0.2">
      <c r="A61" s="1941"/>
    </row>
    <row r="62" spans="1:2" x14ac:dyDescent="0.2">
      <c r="A62" s="1941"/>
    </row>
    <row r="63" spans="1:2" x14ac:dyDescent="0.2">
      <c r="A63" s="1941"/>
    </row>
    <row r="64" spans="1:2" x14ac:dyDescent="0.2">
      <c r="A64" s="1941"/>
      <c r="B64" s="1934" t="str">
        <f>COVER!A17</f>
        <v>Lebanon CUSD 9</v>
      </c>
    </row>
    <row r="65" spans="2:2" x14ac:dyDescent="0.2">
      <c r="B65" s="1935">
        <f>COVER!A13</f>
        <v>50082009026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oddFooter>&amp;LSee Notes to Financial Statements.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1858</v>
      </c>
      <c r="C4" s="162" t="s">
        <v>1168</v>
      </c>
      <c r="D4" s="169" t="s">
        <v>10</v>
      </c>
      <c r="E4" s="170" t="s">
        <v>22</v>
      </c>
    </row>
    <row r="5" spans="1:5" x14ac:dyDescent="0.2">
      <c r="A5" s="168" t="s">
        <v>1860</v>
      </c>
      <c r="C5" s="162" t="s">
        <v>1168</v>
      </c>
      <c r="D5" s="169" t="s">
        <v>10</v>
      </c>
      <c r="E5" s="170" t="s">
        <v>22</v>
      </c>
    </row>
    <row r="6" spans="1:5" x14ac:dyDescent="0.2">
      <c r="A6" s="168" t="s">
        <v>1859</v>
      </c>
      <c r="C6" s="162" t="s">
        <v>1168</v>
      </c>
      <c r="D6" s="167" t="s">
        <v>11</v>
      </c>
      <c r="E6" s="170" t="s">
        <v>940</v>
      </c>
    </row>
    <row r="7" spans="1:5" x14ac:dyDescent="0.2">
      <c r="A7" s="168" t="s">
        <v>1861</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1862</v>
      </c>
      <c r="C11" s="162" t="s">
        <v>1168</v>
      </c>
      <c r="D11" s="169" t="s">
        <v>14</v>
      </c>
      <c r="E11" s="170" t="s">
        <v>1155</v>
      </c>
    </row>
    <row r="12" spans="1:5" x14ac:dyDescent="0.2">
      <c r="B12" s="169" t="s">
        <v>1863</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1864</v>
      </c>
      <c r="C15" s="162" t="s">
        <v>1168</v>
      </c>
      <c r="D15" s="169" t="s">
        <v>17</v>
      </c>
      <c r="E15" s="170" t="s">
        <v>635</v>
      </c>
    </row>
    <row r="16" spans="1:5" x14ac:dyDescent="0.2">
      <c r="A16" s="172"/>
      <c r="B16" s="162" t="s">
        <v>1865</v>
      </c>
      <c r="C16" s="162" t="s">
        <v>1168</v>
      </c>
      <c r="D16" s="169" t="s">
        <v>680</v>
      </c>
      <c r="E16" s="170" t="s">
        <v>1039</v>
      </c>
    </row>
    <row r="17" spans="1:5" x14ac:dyDescent="0.2">
      <c r="B17" s="167" t="s">
        <v>987</v>
      </c>
      <c r="C17" s="162" t="s">
        <v>1168</v>
      </c>
    </row>
    <row r="18" spans="1:5" x14ac:dyDescent="0.2">
      <c r="B18" s="167" t="s">
        <v>1871</v>
      </c>
      <c r="D18" s="169" t="s">
        <v>18</v>
      </c>
      <c r="E18" s="170" t="s">
        <v>1040</v>
      </c>
    </row>
    <row r="19" spans="1:5" x14ac:dyDescent="0.2">
      <c r="A19" s="168" t="s">
        <v>1098</v>
      </c>
      <c r="C19" s="162" t="s">
        <v>1168</v>
      </c>
      <c r="D19" s="169"/>
      <c r="E19" s="171"/>
    </row>
    <row r="20" spans="1:5" x14ac:dyDescent="0.2">
      <c r="B20" s="167" t="s">
        <v>1866</v>
      </c>
      <c r="C20" s="162" t="s">
        <v>1168</v>
      </c>
      <c r="D20" s="169" t="s">
        <v>19</v>
      </c>
      <c r="E20" s="170" t="s">
        <v>51</v>
      </c>
    </row>
    <row r="21" spans="1:5" x14ac:dyDescent="0.2">
      <c r="B21" s="167" t="s">
        <v>1867</v>
      </c>
      <c r="C21" s="162" t="s">
        <v>1168</v>
      </c>
      <c r="D21" s="169" t="s">
        <v>20</v>
      </c>
      <c r="E21" s="170" t="s">
        <v>1609</v>
      </c>
    </row>
    <row r="22" spans="1:5" x14ac:dyDescent="0.2">
      <c r="A22" s="168"/>
      <c r="B22" s="162" t="s">
        <v>1855</v>
      </c>
      <c r="C22" s="162" t="s">
        <v>1168</v>
      </c>
      <c r="D22" s="167" t="s">
        <v>1857</v>
      </c>
      <c r="E22" s="1833" t="s">
        <v>1610</v>
      </c>
    </row>
    <row r="23" spans="1:5" x14ac:dyDescent="0.2">
      <c r="A23" s="168"/>
      <c r="B23" s="162" t="s">
        <v>1856</v>
      </c>
      <c r="D23" s="167" t="s">
        <v>636</v>
      </c>
      <c r="E23" s="1833" t="s">
        <v>958</v>
      </c>
    </row>
    <row r="24" spans="1:5" x14ac:dyDescent="0.2">
      <c r="A24" s="168" t="s">
        <v>1608</v>
      </c>
      <c r="C24" s="162" t="s">
        <v>1168</v>
      </c>
      <c r="D24" s="167" t="s">
        <v>1392</v>
      </c>
      <c r="E24" s="170" t="s">
        <v>959</v>
      </c>
    </row>
    <row r="25" spans="1:5" x14ac:dyDescent="0.2">
      <c r="A25" s="168" t="s">
        <v>1868</v>
      </c>
      <c r="C25" s="162" t="s">
        <v>1168</v>
      </c>
      <c r="D25" s="169" t="s">
        <v>21</v>
      </c>
      <c r="E25" s="170" t="s">
        <v>1041</v>
      </c>
    </row>
    <row r="26" spans="1:5" x14ac:dyDescent="0.2">
      <c r="A26" s="168" t="s">
        <v>1869</v>
      </c>
      <c r="C26" s="162" t="s">
        <v>1168</v>
      </c>
      <c r="D26" s="169" t="s">
        <v>562</v>
      </c>
      <c r="E26" s="170" t="s">
        <v>1042</v>
      </c>
    </row>
    <row r="27" spans="1:5" x14ac:dyDescent="0.2">
      <c r="A27" s="168" t="s">
        <v>1870</v>
      </c>
      <c r="C27" s="162" t="s">
        <v>1168</v>
      </c>
      <c r="D27" s="169" t="s">
        <v>556</v>
      </c>
      <c r="E27" s="170" t="s">
        <v>682</v>
      </c>
    </row>
    <row r="28" spans="1:5" x14ac:dyDescent="0.2">
      <c r="A28" s="168" t="s">
        <v>1872</v>
      </c>
      <c r="D28" s="169" t="s">
        <v>683</v>
      </c>
      <c r="E28" s="170" t="s">
        <v>1365</v>
      </c>
    </row>
    <row r="29" spans="1:5" x14ac:dyDescent="0.2">
      <c r="A29" s="168" t="s">
        <v>1873</v>
      </c>
      <c r="D29" s="169" t="s">
        <v>1393</v>
      </c>
      <c r="E29" s="170" t="s">
        <v>1374</v>
      </c>
    </row>
    <row r="30" spans="1:5" x14ac:dyDescent="0.2">
      <c r="A30" s="173" t="s">
        <v>1874</v>
      </c>
      <c r="C30" s="162" t="s">
        <v>1168</v>
      </c>
      <c r="D30" s="169" t="s">
        <v>40</v>
      </c>
      <c r="E30" s="170" t="s">
        <v>981</v>
      </c>
    </row>
    <row r="31" spans="1:5" x14ac:dyDescent="0.2">
      <c r="A31" s="168" t="s">
        <v>1520</v>
      </c>
      <c r="C31" s="162" t="s">
        <v>1168</v>
      </c>
      <c r="D31" s="167"/>
      <c r="E31" s="171"/>
    </row>
    <row r="32" spans="1:5" x14ac:dyDescent="0.2">
      <c r="B32" s="167" t="s">
        <v>1875</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62" t="s">
        <v>1064</v>
      </c>
      <c r="B35" s="2062"/>
      <c r="C35" s="2062"/>
      <c r="D35" s="2062"/>
      <c r="E35" s="206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9" t="s">
        <v>690</v>
      </c>
      <c r="B40" s="2059"/>
      <c r="C40" s="2059"/>
      <c r="D40" s="2059"/>
      <c r="E40" s="2059"/>
    </row>
    <row r="41" spans="1:5" x14ac:dyDescent="0.2">
      <c r="A41" s="2060" t="s">
        <v>1607</v>
      </c>
      <c r="B41" s="2060"/>
      <c r="C41" s="2060"/>
      <c r="D41" s="2060"/>
      <c r="E41" s="2060"/>
    </row>
    <row r="42" spans="1:5" ht="12.75" customHeight="1" x14ac:dyDescent="0.2">
      <c r="A42" s="2061" t="s">
        <v>1021</v>
      </c>
      <c r="B42" s="2061"/>
      <c r="C42" s="2061"/>
      <c r="D42" s="2061"/>
      <c r="E42" s="2061"/>
    </row>
    <row r="43" spans="1:5" ht="6.75" customHeight="1" x14ac:dyDescent="0.2">
      <c r="A43" s="167"/>
      <c r="B43" s="176"/>
    </row>
    <row r="44" spans="1:5" x14ac:dyDescent="0.2">
      <c r="A44" s="185" t="s">
        <v>982</v>
      </c>
      <c r="B44" s="186" t="s">
        <v>1901</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82" t="s">
        <v>1775</v>
      </c>
    </row>
    <row r="60" spans="1:3" x14ac:dyDescent="0.2">
      <c r="A60" s="196"/>
      <c r="B60" s="1482" t="s">
        <v>1776</v>
      </c>
    </row>
    <row r="61" spans="1:3" ht="6" customHeight="1" x14ac:dyDescent="0.2">
      <c r="A61" s="197"/>
      <c r="B61" s="189"/>
    </row>
    <row r="62" spans="1:3" x14ac:dyDescent="0.2">
      <c r="A62" s="169" t="s">
        <v>1615</v>
      </c>
      <c r="B62" s="198" t="s">
        <v>1772</v>
      </c>
    </row>
    <row r="63" spans="1:3" x14ac:dyDescent="0.2">
      <c r="A63" s="188"/>
      <c r="B63" s="169" t="s">
        <v>1787</v>
      </c>
    </row>
    <row r="64" spans="1:3" x14ac:dyDescent="0.2">
      <c r="A64" s="195"/>
      <c r="B64" s="1484"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83" t="s">
        <v>1618</v>
      </c>
    </row>
    <row r="72" spans="1:9" ht="9" customHeight="1" x14ac:dyDescent="0.2">
      <c r="A72" s="192"/>
      <c r="B72" s="199"/>
    </row>
    <row r="73" spans="1:9" x14ac:dyDescent="0.2">
      <c r="A73" s="189" t="s">
        <v>1619</v>
      </c>
      <c r="B73" s="169" t="s">
        <v>1783</v>
      </c>
    </row>
    <row r="74" spans="1:9" x14ac:dyDescent="0.2">
      <c r="A74" s="189"/>
      <c r="B74" s="169" t="s">
        <v>1782</v>
      </c>
    </row>
    <row r="75" spans="1:9" ht="8.25" customHeight="1" x14ac:dyDescent="0.2">
      <c r="A75" s="189"/>
      <c r="B75" s="189"/>
    </row>
    <row r="76" spans="1:9" ht="12.2" customHeight="1" x14ac:dyDescent="0.2">
      <c r="A76" s="189" t="s">
        <v>1620</v>
      </c>
      <c r="B76" s="198" t="s">
        <v>1784</v>
      </c>
    </row>
    <row r="77" spans="1:9" ht="12.2" customHeight="1" x14ac:dyDescent="0.2">
      <c r="A77" s="190"/>
      <c r="B77" s="169" t="s">
        <v>1621</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5" fitToHeight="0" orientation="portrait" r:id="rId4"/>
  <headerFooter>
    <oddFooter>&amp;LSee Notes to Financial Statements.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oddFooter>&amp;LSee Notes to Financial Statements.</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10" sqref="C10"/>
    </sheetView>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1492</v>
      </c>
    </row>
    <row r="15" spans="1:6" x14ac:dyDescent="0.2">
      <c r="A15" s="389" t="s">
        <v>856</v>
      </c>
    </row>
    <row r="16" spans="1:6" s="1068" customFormat="1" ht="45" customHeight="1" x14ac:dyDescent="0.2">
      <c r="A16" s="1070"/>
      <c r="B16" s="1070" t="s">
        <v>1683</v>
      </c>
    </row>
    <row r="17" spans="1:2" ht="6" customHeight="1" x14ac:dyDescent="0.2"/>
    <row r="18" spans="1:2" ht="24.75" customHeight="1" x14ac:dyDescent="0.2">
      <c r="A18" s="2345" t="s">
        <v>1684</v>
      </c>
      <c r="B18" s="2345"/>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180975</xdr:colOff>
                <xdr:row>1</xdr:row>
                <xdr:rowOff>57150</xdr:rowOff>
              </from>
              <to>
                <xdr:col>1</xdr:col>
                <xdr:colOff>1095375</xdr:colOff>
                <xdr:row>5</xdr:row>
                <xdr:rowOff>95250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1257300</xdr:colOff>
                <xdr:row>1</xdr:row>
                <xdr:rowOff>85725</xdr:rowOff>
              </from>
              <to>
                <xdr:col>1</xdr:col>
                <xdr:colOff>2162175</xdr:colOff>
                <xdr:row>5</xdr:row>
                <xdr:rowOff>114300</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6" t="s">
        <v>1689</v>
      </c>
      <c r="B1" s="2347"/>
      <c r="C1" s="2347"/>
      <c r="D1" s="2347"/>
      <c r="E1" s="2347"/>
      <c r="F1" s="2348"/>
    </row>
    <row r="2" spans="1:8" ht="45" customHeight="1" x14ac:dyDescent="0.2">
      <c r="A2" s="2356" t="s">
        <v>1986</v>
      </c>
      <c r="B2" s="2357"/>
      <c r="C2" s="2357"/>
      <c r="D2" s="2357"/>
      <c r="E2" s="2357"/>
      <c r="F2" s="2358"/>
      <c r="G2" s="1071"/>
      <c r="H2" s="1071"/>
    </row>
    <row r="3" spans="1:8" ht="57" customHeight="1" x14ac:dyDescent="0.2">
      <c r="A3" s="2359" t="s">
        <v>1685</v>
      </c>
      <c r="B3" s="2360"/>
      <c r="C3" s="2360"/>
      <c r="D3" s="2360"/>
      <c r="E3" s="2360"/>
      <c r="F3" s="2361"/>
      <c r="G3" s="1071"/>
      <c r="H3" s="1071"/>
    </row>
    <row r="4" spans="1:8" ht="14.25" customHeight="1" x14ac:dyDescent="0.2">
      <c r="A4" s="2365" t="s">
        <v>1987</v>
      </c>
      <c r="B4" s="2366"/>
      <c r="C4" s="2366"/>
      <c r="D4" s="2366"/>
      <c r="E4" s="2366"/>
      <c r="F4" s="2367"/>
      <c r="G4" s="1071"/>
      <c r="H4" s="1071"/>
    </row>
    <row r="5" spans="1:8" ht="14.25" customHeight="1" x14ac:dyDescent="0.2">
      <c r="A5" s="2368" t="s">
        <v>1983</v>
      </c>
      <c r="B5" s="2369"/>
      <c r="C5" s="2369"/>
      <c r="D5" s="2369"/>
      <c r="E5" s="2369"/>
      <c r="F5" s="2370"/>
      <c r="G5" s="1071"/>
      <c r="H5" s="1071"/>
    </row>
    <row r="6" spans="1:8" s="1072" customFormat="1" ht="41.25" customHeight="1" x14ac:dyDescent="0.2">
      <c r="A6" s="2362" t="s">
        <v>1690</v>
      </c>
      <c r="B6" s="2363"/>
      <c r="C6" s="2363"/>
      <c r="D6" s="2363"/>
      <c r="E6" s="2363"/>
      <c r="F6" s="2364"/>
    </row>
    <row r="7" spans="1:8" ht="42" customHeight="1" x14ac:dyDescent="0.2">
      <c r="A7" s="1073" t="s">
        <v>480</v>
      </c>
      <c r="B7" s="1074" t="s">
        <v>1495</v>
      </c>
      <c r="C7" s="1074" t="s">
        <v>1496</v>
      </c>
      <c r="D7" s="1074" t="s">
        <v>1494</v>
      </c>
      <c r="E7" s="1074" t="s">
        <v>1497</v>
      </c>
      <c r="F7" s="1074" t="s">
        <v>1366</v>
      </c>
    </row>
    <row r="8" spans="1:8" s="1076" customFormat="1" ht="14.25" customHeight="1" x14ac:dyDescent="0.2">
      <c r="A8" s="1075" t="s">
        <v>1367</v>
      </c>
      <c r="B8" s="1812">
        <f>'Acct Summary 7-8'!C8</f>
        <v>5203757</v>
      </c>
      <c r="C8" s="1812">
        <f>'Acct Summary 7-8'!D8</f>
        <v>468312</v>
      </c>
      <c r="D8" s="1812">
        <f>'Acct Summary 7-8'!F8</f>
        <v>299183</v>
      </c>
      <c r="E8" s="1812">
        <f>'Acct Summary 7-8'!I8</f>
        <v>39926</v>
      </c>
      <c r="F8" s="1812">
        <f>SUM(B8:E8)</f>
        <v>6011178</v>
      </c>
    </row>
    <row r="9" spans="1:8" s="1076" customFormat="1" ht="14.25" customHeight="1" thickBot="1" x14ac:dyDescent="0.25">
      <c r="A9" s="1075" t="s">
        <v>1368</v>
      </c>
      <c r="B9" s="1813">
        <f>'Acct Summary 7-8'!C17</f>
        <v>5533466</v>
      </c>
      <c r="C9" s="1813">
        <f>'Acct Summary 7-8'!D17</f>
        <v>501844</v>
      </c>
      <c r="D9" s="1813">
        <f>'Acct Summary 7-8'!F17</f>
        <v>557941</v>
      </c>
      <c r="E9" s="1812"/>
      <c r="F9" s="1812">
        <f>SUM(B9:E9)</f>
        <v>6593251</v>
      </c>
    </row>
    <row r="10" spans="1:8" s="1076" customFormat="1" ht="14.25" thickTop="1" thickBot="1" x14ac:dyDescent="0.25">
      <c r="A10" s="1077" t="s">
        <v>1369</v>
      </c>
      <c r="B10" s="1814">
        <f>(B8-B9)</f>
        <v>-329709</v>
      </c>
      <c r="C10" s="1814">
        <f>(C8-C9)</f>
        <v>-33532</v>
      </c>
      <c r="D10" s="1814">
        <f>(D8-D9)</f>
        <v>-258758</v>
      </c>
      <c r="E10" s="1813">
        <f>(E8-E9)</f>
        <v>39926</v>
      </c>
      <c r="F10" s="1815">
        <f>SUM(F8-F9)</f>
        <v>-582073</v>
      </c>
    </row>
    <row r="11" spans="1:8" s="1076" customFormat="1" ht="14.25" thickTop="1" thickBot="1" x14ac:dyDescent="0.25">
      <c r="A11" s="1078" t="s">
        <v>1984</v>
      </c>
      <c r="B11" s="1816">
        <f>'Acct Summary 7-8'!C81</f>
        <v>-875069</v>
      </c>
      <c r="C11" s="1816">
        <f>'Acct Summary 7-8'!D81</f>
        <v>-100000</v>
      </c>
      <c r="D11" s="1816">
        <f>'Acct Summary 7-8'!F81</f>
        <v>214849</v>
      </c>
      <c r="E11" s="1816">
        <f>'Acct Summary 7-8'!I81</f>
        <v>2105260</v>
      </c>
      <c r="F11" s="1817">
        <f>SUM(B11:E11)</f>
        <v>1345040</v>
      </c>
    </row>
    <row r="12" spans="1:8" ht="16.5" customHeight="1" thickTop="1" x14ac:dyDescent="0.2">
      <c r="A12" s="1079"/>
      <c r="B12" s="1080"/>
      <c r="C12" s="2350"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351"/>
      <c r="E12" s="2351"/>
      <c r="F12" s="2352"/>
    </row>
    <row r="13" spans="1:8" ht="19.5" customHeight="1" x14ac:dyDescent="0.2">
      <c r="A13" s="1081"/>
      <c r="B13" s="1082"/>
      <c r="C13" s="2350"/>
      <c r="D13" s="2351"/>
      <c r="E13" s="2351"/>
      <c r="F13" s="2352"/>
      <c r="H13" s="1071"/>
    </row>
    <row r="14" spans="1:8" ht="19.5" customHeight="1" x14ac:dyDescent="0.2">
      <c r="A14" s="1081"/>
      <c r="B14" s="1082"/>
      <c r="C14" s="2350"/>
      <c r="D14" s="2351"/>
      <c r="E14" s="2351"/>
      <c r="F14" s="2352"/>
      <c r="H14" s="1071"/>
    </row>
    <row r="15" spans="1:8" ht="17.25" customHeight="1" x14ac:dyDescent="0.2">
      <c r="A15" s="1081"/>
      <c r="B15" s="1082"/>
      <c r="C15" s="2353"/>
      <c r="D15" s="2354"/>
      <c r="E15" s="2354"/>
      <c r="F15" s="2355"/>
      <c r="H15" s="1071"/>
    </row>
    <row r="16" spans="1:8" s="310" customFormat="1" ht="51.75" hidden="1" customHeight="1" x14ac:dyDescent="0.2">
      <c r="A16" s="2349" t="s">
        <v>1686</v>
      </c>
      <c r="B16" s="2349"/>
      <c r="C16" s="2349"/>
      <c r="D16" s="2349"/>
      <c r="E16" s="2349"/>
      <c r="F16" s="310" t="s">
        <v>1370</v>
      </c>
    </row>
    <row r="17" spans="1:6" hidden="1" x14ac:dyDescent="0.2">
      <c r="A17" s="316" t="s">
        <v>1687</v>
      </c>
      <c r="F17" s="1083"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&amp;LSee Notes to Financial Statements.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G25" sqref="G25"/>
    </sheetView>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371" t="s">
        <v>664</v>
      </c>
      <c r="B3" s="2372"/>
      <c r="C3" s="2372"/>
      <c r="D3" s="2373"/>
    </row>
    <row r="4" spans="1:4" x14ac:dyDescent="0.2">
      <c r="A4" s="1149" t="s">
        <v>1691</v>
      </c>
      <c r="B4" s="1150"/>
      <c r="C4" s="1151"/>
      <c r="D4" s="1152"/>
    </row>
    <row r="5" spans="1:4" ht="21" customHeight="1" x14ac:dyDescent="0.2">
      <c r="A5" s="1145"/>
      <c r="B5" s="1146">
        <v>1</v>
      </c>
      <c r="C5" s="1147" t="s">
        <v>1834</v>
      </c>
      <c r="D5" s="1148"/>
    </row>
    <row r="6" spans="1:4" s="668" customFormat="1" ht="14.25" customHeight="1" x14ac:dyDescent="0.2">
      <c r="A6" s="1135"/>
      <c r="B6" s="1090">
        <f t="shared" ref="B6:B13" si="0">B5+1</f>
        <v>2</v>
      </c>
      <c r="C6" s="1091" t="s">
        <v>863</v>
      </c>
      <c r="D6" s="1092"/>
    </row>
    <row r="7" spans="1:4" s="668" customFormat="1" ht="12.75" x14ac:dyDescent="0.2">
      <c r="A7" s="1135"/>
      <c r="B7" s="1090">
        <f t="shared" si="0"/>
        <v>3</v>
      </c>
      <c r="C7" s="2382" t="s">
        <v>1503</v>
      </c>
      <c r="D7" s="2383"/>
    </row>
    <row r="8" spans="1:4" s="668" customFormat="1" ht="12.75" x14ac:dyDescent="0.2">
      <c r="A8" s="1135"/>
      <c r="B8" s="1090"/>
      <c r="C8" s="1093" t="s">
        <v>1502</v>
      </c>
      <c r="D8" s="1094"/>
    </row>
    <row r="9" spans="1:4" s="668" customFormat="1" ht="14.25" customHeight="1" x14ac:dyDescent="0.2">
      <c r="A9" s="1135"/>
      <c r="B9" s="1090">
        <f>B7+1</f>
        <v>4</v>
      </c>
      <c r="C9" s="1091" t="s">
        <v>1912</v>
      </c>
      <c r="D9" s="1092"/>
    </row>
    <row r="10" spans="1:4" s="668" customFormat="1" ht="14.25" customHeight="1" x14ac:dyDescent="0.2">
      <c r="A10" s="1135"/>
      <c r="B10" s="1090">
        <f t="shared" si="0"/>
        <v>5</v>
      </c>
      <c r="C10" s="1091" t="s">
        <v>638</v>
      </c>
      <c r="D10" s="1092"/>
    </row>
    <row r="11" spans="1:4" s="668" customFormat="1" ht="14.25" customHeight="1" x14ac:dyDescent="0.2">
      <c r="A11" s="1135"/>
      <c r="B11" s="1090">
        <f t="shared" si="0"/>
        <v>6</v>
      </c>
      <c r="C11" s="1091" t="s">
        <v>777</v>
      </c>
      <c r="D11" s="1092"/>
    </row>
    <row r="12" spans="1:4" s="668" customFormat="1" ht="14.25" customHeight="1" x14ac:dyDescent="0.2">
      <c r="A12" s="1135"/>
      <c r="B12" s="1090">
        <f t="shared" si="0"/>
        <v>7</v>
      </c>
      <c r="C12" s="1091" t="s">
        <v>1061</v>
      </c>
      <c r="D12" s="1092"/>
    </row>
    <row r="13" spans="1:4" s="668" customFormat="1" ht="14.25" customHeight="1" x14ac:dyDescent="0.2">
      <c r="A13" s="1135"/>
      <c r="B13" s="1090">
        <f t="shared" si="0"/>
        <v>8</v>
      </c>
      <c r="C13" s="1131" t="s">
        <v>778</v>
      </c>
      <c r="D13" s="1092"/>
    </row>
    <row r="14" spans="1:4" s="668" customFormat="1" ht="14.25" customHeight="1" x14ac:dyDescent="0.2">
      <c r="A14" s="1135"/>
      <c r="B14" s="1132">
        <v>9</v>
      </c>
      <c r="C14" s="1133" t="s">
        <v>1504</v>
      </c>
      <c r="D14" s="1134"/>
    </row>
    <row r="15" spans="1:4" s="668" customFormat="1" ht="21.75" customHeight="1" x14ac:dyDescent="0.2">
      <c r="A15" s="2374" t="s">
        <v>1007</v>
      </c>
      <c r="B15" s="2375"/>
      <c r="C15" s="2375"/>
      <c r="D15" s="2376"/>
    </row>
    <row r="16" spans="1:4" s="668" customFormat="1" ht="24" customHeight="1" x14ac:dyDescent="0.2">
      <c r="A16" s="2377" t="s">
        <v>662</v>
      </c>
      <c r="B16" s="2378"/>
      <c r="C16" s="2378"/>
      <c r="D16" s="2379"/>
    </row>
    <row r="17" spans="1:10" s="668" customFormat="1" ht="12.75" customHeight="1" x14ac:dyDescent="0.2">
      <c r="A17" s="1153" t="s">
        <v>1692</v>
      </c>
      <c r="B17" s="1154"/>
      <c r="C17" s="1155"/>
      <c r="D17" s="1156"/>
    </row>
    <row r="18" spans="1:10" s="668" customFormat="1" ht="12.75" customHeight="1" x14ac:dyDescent="0.2">
      <c r="A18" s="1157" t="s">
        <v>1693</v>
      </c>
      <c r="B18" s="1158"/>
      <c r="C18" s="1159"/>
      <c r="D18" s="1160"/>
    </row>
    <row r="19" spans="1:10" ht="6.75" customHeight="1" thickBot="1" x14ac:dyDescent="0.25">
      <c r="A19" s="1161"/>
      <c r="B19" s="1162"/>
      <c r="C19" s="1163"/>
      <c r="D19" s="1164"/>
    </row>
    <row r="20" spans="1:10" s="1168" customFormat="1" ht="12.75" thickTop="1" x14ac:dyDescent="0.2">
      <c r="A20" s="1165"/>
      <c r="B20" s="1166" t="s">
        <v>1694</v>
      </c>
      <c r="C20" s="1167"/>
      <c r="D20" s="1170" t="s">
        <v>709</v>
      </c>
    </row>
    <row r="21" spans="1:10" x14ac:dyDescent="0.2">
      <c r="A21" s="1095"/>
      <c r="B21" s="1096">
        <v>1</v>
      </c>
      <c r="C21" s="2386" t="s">
        <v>313</v>
      </c>
      <c r="D21" s="2387"/>
    </row>
    <row r="22" spans="1:10" ht="12.75" x14ac:dyDescent="0.2">
      <c r="A22" s="1136"/>
      <c r="B22" s="1137">
        <v>2</v>
      </c>
      <c r="C22" s="2384" t="s">
        <v>1523</v>
      </c>
      <c r="D22" s="2385"/>
    </row>
    <row r="23" spans="1:10" ht="12.2" customHeight="1" x14ac:dyDescent="0.2">
      <c r="A23" s="1136"/>
      <c r="B23" s="1137"/>
      <c r="C23" s="1138" t="s">
        <v>953</v>
      </c>
      <c r="D23" s="1139" t="str">
        <f>IF(COVER!O11="X","CASH",IF(COVER!O12="X","ACCRUAL ","PLEASE CHECK AN ACCOUNTING BASIS."))</f>
        <v>CASH</v>
      </c>
    </row>
    <row r="24" spans="1:10" ht="12.2" customHeight="1" x14ac:dyDescent="0.2">
      <c r="A24" s="1136"/>
      <c r="B24" s="1137"/>
      <c r="C24" s="1138" t="s">
        <v>1331</v>
      </c>
      <c r="D24" s="1139" t="str">
        <f>IF(COVER!O11="X","OK",IF(AND('Aud Quest 2'!J90=0,'Aud Quest 2'!I77&lt;DATE(2017,12,31)),"ENTER ACCOUNTING INFO",IF(AND('Aud Quest 2'!J90&gt;0,'Aud Quest 2'!I77&lt;DATE(2017,12,31)),"OK")))</f>
        <v>OK</v>
      </c>
    </row>
    <row r="25" spans="1:10" x14ac:dyDescent="0.2">
      <c r="A25" s="1097"/>
      <c r="B25" s="1098"/>
      <c r="C25" s="1099" t="s">
        <v>1525</v>
      </c>
      <c r="D25" s="1100" t="str">
        <f>IF(AND(COVER!J29="X",COVER!J30="X",COVER!L30&lt;&gt;"X"),"OK",IF(AND(COVER!J29="X",COVER!J30&lt;&gt;"X",COVER!L30="X"),"OK",IF(AND(COVER!L29="X",COVER!J30&lt;&gt;"X"),"OK","PLEASE CHECK YES or NO.")))</f>
        <v>OK</v>
      </c>
    </row>
    <row r="26" spans="1:10" x14ac:dyDescent="0.2">
      <c r="A26" s="1097"/>
      <c r="B26" s="1140"/>
      <c r="C26" s="1101" t="s">
        <v>1524</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974</v>
      </c>
      <c r="D27" s="1102" t="str">
        <f>IF(AND(COVER!J29="X",COVER!J31="X",COVER!L29&lt;&gt;"X"),"OK",IF(AND(COVER!J29="X",COVER!J31&lt;&gt;"X",COVER!L31="X"),"NO FINDINGS WERE ISSUED",IF(AND(COVER!L29="X",COVER!J31&lt;&gt;"X"),"OK","PLEASE CHECK YES or NO.")))</f>
        <v>PLEASE CHECK YES or NO.</v>
      </c>
    </row>
    <row r="28" spans="1:10" ht="24" hidden="1" customHeight="1" x14ac:dyDescent="0.2">
      <c r="A28" s="1103"/>
      <c r="B28" s="1140"/>
      <c r="C28" s="1099" t="s">
        <v>841</v>
      </c>
      <c r="D28" s="1104" t="b">
        <f>IF('Aud Quest 2'!B53="X",IF('Aud Quest 2'!F53&gt;"00/00/00 ","Enter Effective Date","ok"))</f>
        <v>0</v>
      </c>
    </row>
    <row r="29" spans="1:10" x14ac:dyDescent="0.2">
      <c r="A29" s="1097"/>
      <c r="B29" s="1140"/>
      <c r="C29" s="1101" t="s">
        <v>1372</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required.</v>
      </c>
    </row>
    <row r="30" spans="1:10" ht="12.6" customHeight="1" x14ac:dyDescent="0.2">
      <c r="A30" s="1095"/>
      <c r="B30" s="1137">
        <f>B22+1</f>
        <v>3</v>
      </c>
      <c r="C30" s="1105" t="s">
        <v>824</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977</v>
      </c>
      <c r="D32" s="1100" t="str">
        <f>IF(OR(COVER!B6="x",'FP Info 3'!B31="X",'FP Info 3'!B32="X"),"OK","ENTRY IS REQUIRED!")</f>
        <v>OK</v>
      </c>
    </row>
    <row r="33" spans="1:12" s="1113" customFormat="1" ht="12.75" customHeight="1" x14ac:dyDescent="0.2">
      <c r="A33" s="1110"/>
      <c r="B33" s="1137">
        <f>B30+1</f>
        <v>4</v>
      </c>
      <c r="C33" s="1111" t="s">
        <v>779</v>
      </c>
      <c r="D33" s="1112"/>
    </row>
    <row r="34" spans="1:12" s="1113" customFormat="1" x14ac:dyDescent="0.2">
      <c r="A34" s="1114"/>
      <c r="B34" s="1137"/>
      <c r="C34" s="1115" t="s">
        <v>825</v>
      </c>
      <c r="D34" s="1100" t="str">
        <f>IF('Assets-Liab 5-6'!C4&lt;-0.49, "ERROR!","OK")</f>
        <v>OK</v>
      </c>
    </row>
    <row r="35" spans="1:12" x14ac:dyDescent="0.2">
      <c r="A35" s="1114"/>
      <c r="B35" s="1137"/>
      <c r="C35" s="1115" t="s">
        <v>305</v>
      </c>
      <c r="D35" s="1100" t="str">
        <f>IF('Assets-Liab 5-6'!D4&lt;-0.49, "ERROR!","OK")</f>
        <v>OK</v>
      </c>
      <c r="L35" s="1169"/>
    </row>
    <row r="36" spans="1:12" x14ac:dyDescent="0.2">
      <c r="A36" s="1114"/>
      <c r="B36" s="1137"/>
      <c r="C36" s="1115" t="s">
        <v>780</v>
      </c>
      <c r="D36" s="1100" t="str">
        <f>IF('Assets-Liab 5-6'!E4&lt;-0.49, "ERROR!","OK")</f>
        <v>OK</v>
      </c>
    </row>
    <row r="37" spans="1:12" x14ac:dyDescent="0.2">
      <c r="A37" s="1114"/>
      <c r="B37" s="1137"/>
      <c r="C37" s="1115" t="s">
        <v>306</v>
      </c>
      <c r="D37" s="1100" t="str">
        <f>IF('Assets-Liab 5-6'!F4&lt;-0.49, "ERROR!","OK")</f>
        <v>OK</v>
      </c>
    </row>
    <row r="38" spans="1:12" x14ac:dyDescent="0.2">
      <c r="A38" s="1114"/>
      <c r="B38" s="1137"/>
      <c r="C38" s="1115" t="s">
        <v>307</v>
      </c>
      <c r="D38" s="1100" t="str">
        <f>IF('Assets-Liab 5-6'!G4&lt;-0.49, "ERROR!","OK")</f>
        <v>OK</v>
      </c>
    </row>
    <row r="39" spans="1:12" x14ac:dyDescent="0.2">
      <c r="A39" s="1114"/>
      <c r="B39" s="1137"/>
      <c r="C39" s="1115" t="s">
        <v>781</v>
      </c>
      <c r="D39" s="1100" t="str">
        <f>IF('Assets-Liab 5-6'!H4&lt;-0.49, "ERROR!","OK")</f>
        <v>OK</v>
      </c>
    </row>
    <row r="40" spans="1:12" x14ac:dyDescent="0.2">
      <c r="A40" s="1114"/>
      <c r="B40" s="1137"/>
      <c r="C40" s="1115" t="s">
        <v>308</v>
      </c>
      <c r="D40" s="1100" t="str">
        <f>IF('Assets-Liab 5-6'!I4&lt;-0.49, "ERROR!","OK")</f>
        <v>OK</v>
      </c>
    </row>
    <row r="41" spans="1:12" x14ac:dyDescent="0.2">
      <c r="A41" s="1114"/>
      <c r="B41" s="1137"/>
      <c r="C41" s="1115" t="s">
        <v>782</v>
      </c>
      <c r="D41" s="1100" t="str">
        <f>IF('Assets-Liab 5-6'!J4&lt;-0.49, "ERROR!","OK")</f>
        <v>OK</v>
      </c>
    </row>
    <row r="42" spans="1:12" x14ac:dyDescent="0.2">
      <c r="A42" s="1114"/>
      <c r="B42" s="1137"/>
      <c r="C42" s="1115" t="s">
        <v>309</v>
      </c>
      <c r="D42" s="1100" t="str">
        <f>IF('Assets-Liab 5-6'!K4&lt;-0.49, "ERROR!","OK")</f>
        <v>OK</v>
      </c>
    </row>
    <row r="43" spans="1:12" x14ac:dyDescent="0.2">
      <c r="A43" s="1116"/>
      <c r="B43" s="1117">
        <f>B33+1</f>
        <v>5</v>
      </c>
      <c r="C43" s="2388" t="s">
        <v>535</v>
      </c>
      <c r="D43" s="2389"/>
    </row>
    <row r="44" spans="1:12" x14ac:dyDescent="0.2">
      <c r="A44" s="1116"/>
      <c r="B44" s="1118"/>
      <c r="C44" s="1119" t="s">
        <v>1334</v>
      </c>
      <c r="D44" s="1120" t="str">
        <f>IF(SUM('Assets-Liab 5-6'!C13)&lt;&gt;SUM('Assets-Liab 5-6'!C41),"ERROR!","OK")</f>
        <v>OK</v>
      </c>
    </row>
    <row r="45" spans="1:12" x14ac:dyDescent="0.2">
      <c r="A45" s="1116"/>
      <c r="B45" s="1118"/>
      <c r="C45" s="1119" t="s">
        <v>1335</v>
      </c>
      <c r="D45" s="1120" t="str">
        <f>IF(SUM('Assets-Liab 5-6'!D13)&lt;&gt;SUM('Assets-Liab 5-6'!D41),"ERROR!","OK")</f>
        <v>OK</v>
      </c>
    </row>
    <row r="46" spans="1:12" x14ac:dyDescent="0.2">
      <c r="A46" s="1116"/>
      <c r="B46" s="1118"/>
      <c r="C46" s="1119" t="s">
        <v>1336</v>
      </c>
      <c r="D46" s="1120" t="str">
        <f>IF(SUM('Assets-Liab 5-6'!E13)&lt;&gt;SUM('Assets-Liab 5-6'!E41),"ERROR!","OK")</f>
        <v>OK</v>
      </c>
    </row>
    <row r="47" spans="1:12" x14ac:dyDescent="0.2">
      <c r="A47" s="1116"/>
      <c r="B47" s="1118"/>
      <c r="C47" s="1119" t="s">
        <v>1337</v>
      </c>
      <c r="D47" s="1120" t="str">
        <f>IF(SUM('Assets-Liab 5-6'!F13)&lt;&gt;SUM('Assets-Liab 5-6'!F41),"ERROR!","OK")</f>
        <v>OK</v>
      </c>
    </row>
    <row r="48" spans="1:12" x14ac:dyDescent="0.2">
      <c r="A48" s="1116"/>
      <c r="B48" s="1118"/>
      <c r="C48" s="1119" t="s">
        <v>1338</v>
      </c>
      <c r="D48" s="1120" t="str">
        <f>IF(SUM('Assets-Liab 5-6'!G13)&lt;&gt;SUM('Assets-Liab 5-6'!G41),"ERROR!","OK")</f>
        <v>OK</v>
      </c>
    </row>
    <row r="49" spans="1:4" x14ac:dyDescent="0.2">
      <c r="A49" s="1116"/>
      <c r="B49" s="1118"/>
      <c r="C49" s="1119" t="s">
        <v>1339</v>
      </c>
      <c r="D49" s="1120" t="str">
        <f>IF(SUM('Assets-Liab 5-6'!H13)&lt;&gt;SUM('Assets-Liab 5-6'!H41),"ERROR!","OK")</f>
        <v>OK</v>
      </c>
    </row>
    <row r="50" spans="1:4" x14ac:dyDescent="0.2">
      <c r="A50" s="1116"/>
      <c r="B50" s="1118"/>
      <c r="C50" s="1119" t="s">
        <v>1340</v>
      </c>
      <c r="D50" s="1120" t="str">
        <f>IF(SUM('Assets-Liab 5-6'!I13)&lt;&gt;SUM('Assets-Liab 5-6'!I41),"ERROR!","OK")</f>
        <v>OK</v>
      </c>
    </row>
    <row r="51" spans="1:4" x14ac:dyDescent="0.2">
      <c r="A51" s="1116"/>
      <c r="B51" s="1118"/>
      <c r="C51" s="1119" t="s">
        <v>1341</v>
      </c>
      <c r="D51" s="1120" t="str">
        <f>IF(SUM('Assets-Liab 5-6'!J13)&lt;&gt;SUM('Assets-Liab 5-6'!J41),"ERROR!","OK")</f>
        <v>OK</v>
      </c>
    </row>
    <row r="52" spans="1:4" x14ac:dyDescent="0.2">
      <c r="A52" s="1116"/>
      <c r="B52" s="1118"/>
      <c r="C52" s="1119" t="s">
        <v>1342</v>
      </c>
      <c r="D52" s="1120" t="str">
        <f>IF(SUM('Assets-Liab 5-6'!K13)&lt;&gt;SUM('Assets-Liab 5-6'!K41),"ERROR!","OK")</f>
        <v>OK</v>
      </c>
    </row>
    <row r="53" spans="1:4" x14ac:dyDescent="0.2">
      <c r="A53" s="1116"/>
      <c r="B53" s="1118"/>
      <c r="C53" s="1119" t="s">
        <v>1343</v>
      </c>
      <c r="D53" s="1120" t="str">
        <f>IF(SUM('Assets-Liab 5-6'!L13)&lt;&gt;('Assets-Liab 5-6'!L41),"ERROR!","OK")</f>
        <v>OK</v>
      </c>
    </row>
    <row r="54" spans="1:4" x14ac:dyDescent="0.2">
      <c r="A54" s="1116"/>
      <c r="B54" s="1118"/>
      <c r="C54" s="1119" t="s">
        <v>1344</v>
      </c>
      <c r="D54" s="1120" t="str">
        <f>IF(SUM('Assets-Liab 5-6'!M23)&lt;&gt;('Assets-Liab 5-6'!M41),"ERROR!","OK")</f>
        <v>OK</v>
      </c>
    </row>
    <row r="55" spans="1:4" x14ac:dyDescent="0.2">
      <c r="A55" s="1116"/>
      <c r="B55" s="1118"/>
      <c r="C55" s="1119" t="s">
        <v>1345</v>
      </c>
      <c r="D55" s="1120" t="str">
        <f>IF(SUM('Assets-Liab 5-6'!N23)&lt;&gt;('Assets-Liab 5-6'!N41),"ERROR!","OK")</f>
        <v>OK</v>
      </c>
    </row>
    <row r="56" spans="1:4" x14ac:dyDescent="0.2">
      <c r="A56" s="1097"/>
      <c r="B56" s="1117">
        <f>B43+1</f>
        <v>6</v>
      </c>
      <c r="C56" s="2380" t="s">
        <v>783</v>
      </c>
      <c r="D56" s="2381"/>
    </row>
    <row r="57" spans="1:4" s="1113" customFormat="1" x14ac:dyDescent="0.2">
      <c r="A57" s="1097"/>
      <c r="B57" s="1107"/>
      <c r="C57" s="1115" t="s">
        <v>1346</v>
      </c>
      <c r="D57" s="1121" t="str">
        <f>IF('Assets-Liab 5-6'!C38+'Assets-Liab 5-6'!C39='Acct Summary 7-8'!C81,"OK","ERROR!")</f>
        <v>OK</v>
      </c>
    </row>
    <row r="58" spans="1:4" x14ac:dyDescent="0.2">
      <c r="A58" s="1097"/>
      <c r="B58" s="1107"/>
      <c r="C58" s="1115" t="s">
        <v>1347</v>
      </c>
      <c r="D58" s="1121" t="str">
        <f>IF((('Assets-Liab 5-6'!D38+'Assets-Liab 5-6'!D39) ='Acct Summary 7-8'!D81), "OK", "ERROR!" )</f>
        <v>OK</v>
      </c>
    </row>
    <row r="59" spans="1:4" s="1113" customFormat="1" x14ac:dyDescent="0.2">
      <c r="A59" s="1097"/>
      <c r="B59" s="1107"/>
      <c r="C59" s="1115" t="s">
        <v>1348</v>
      </c>
      <c r="D59" s="1121" t="str">
        <f>IF((('Assets-Liab 5-6'!E38 + 'Assets-Liab 5-6'!E39) ='Acct Summary 7-8'!E81), "OK", "ERROR!" )</f>
        <v>OK</v>
      </c>
    </row>
    <row r="60" spans="1:4" x14ac:dyDescent="0.2">
      <c r="A60" s="1097"/>
      <c r="B60" s="1107"/>
      <c r="C60" s="1115" t="s">
        <v>1349</v>
      </c>
      <c r="D60" s="1121" t="str">
        <f>IF((('Assets-Liab 5-6'!F38 + 'Assets-Liab 5-6'!F39) ='Acct Summary 7-8'!F81), "OK", "ERROR!" )</f>
        <v>OK</v>
      </c>
    </row>
    <row r="61" spans="1:4" ht="12.75" customHeight="1" x14ac:dyDescent="0.2">
      <c r="A61" s="1097"/>
      <c r="B61" s="1107"/>
      <c r="C61" s="1115" t="s">
        <v>1362</v>
      </c>
      <c r="D61" s="1121" t="str">
        <f>IF((('Assets-Liab 5-6'!G38 + 'Assets-Liab 5-6'!G39) ='Acct Summary 7-8'!G81), "OK", "ERROR!" )</f>
        <v>OK</v>
      </c>
    </row>
    <row r="62" spans="1:4" x14ac:dyDescent="0.2">
      <c r="A62" s="1097"/>
      <c r="B62" s="1107"/>
      <c r="C62" s="1115" t="s">
        <v>1350</v>
      </c>
      <c r="D62" s="1121" t="str">
        <f>IF((('Assets-Liab 5-6'!H38 + 'Assets-Liab 5-6'!H39) ='Acct Summary 7-8'!H81), "OK", "ERROR!" )</f>
        <v>OK</v>
      </c>
    </row>
    <row r="63" spans="1:4" ht="12.75" customHeight="1" x14ac:dyDescent="0.2">
      <c r="A63" s="1097"/>
      <c r="B63" s="1107"/>
      <c r="C63" s="1115" t="s">
        <v>1351</v>
      </c>
      <c r="D63" s="1121" t="str">
        <f>IF((('Assets-Liab 5-6'!I38 + 'Assets-Liab 5-6'!I39) ='Acct Summary 7-8'!I81), "OK", "ERROR!" )</f>
        <v>OK</v>
      </c>
    </row>
    <row r="64" spans="1:4" x14ac:dyDescent="0.2">
      <c r="A64" s="1097"/>
      <c r="B64" s="1107"/>
      <c r="C64" s="1115" t="s">
        <v>1352</v>
      </c>
      <c r="D64" s="1121" t="str">
        <f>IF((('Assets-Liab 5-6'!J38 + 'Assets-Liab 5-6'!J39) ='Acct Summary 7-8'!J81), "OK", "ERROR!" )</f>
        <v>OK</v>
      </c>
    </row>
    <row r="65" spans="1:4" x14ac:dyDescent="0.2">
      <c r="A65" s="1114"/>
      <c r="B65" s="1107"/>
      <c r="C65" s="1115" t="s">
        <v>1363</v>
      </c>
      <c r="D65" s="1121" t="str">
        <f>IF((('Assets-Liab 5-6'!K38 + 'Assets-Liab 5-6'!K39) ='Acct Summary 7-8'!K81), "OK", "ERROR!" )</f>
        <v>OK</v>
      </c>
    </row>
    <row r="66" spans="1:4" x14ac:dyDescent="0.2">
      <c r="A66" s="1095"/>
      <c r="B66" s="1137">
        <f>B56+1+1</f>
        <v>8</v>
      </c>
      <c r="C66" s="1143" t="s">
        <v>1913</v>
      </c>
      <c r="D66" s="1122"/>
    </row>
    <row r="67" spans="1:4" x14ac:dyDescent="0.2">
      <c r="A67" s="1116"/>
      <c r="B67" s="1137"/>
      <c r="C67" s="1144" t="s">
        <v>1020</v>
      </c>
      <c r="D67" s="1122"/>
    </row>
    <row r="68" spans="1:4" x14ac:dyDescent="0.2">
      <c r="A68" s="1097"/>
      <c r="B68" s="1107"/>
      <c r="C68" s="1099" t="s">
        <v>1914</v>
      </c>
      <c r="D68" s="1121" t="str">
        <f>IF('Short-Term Long-Term Debt 24'!F49=SUM(,'Acct Summary 7-8'!C33:K33),"OK","ERROR!")</f>
        <v>OK</v>
      </c>
    </row>
    <row r="69" spans="1:4" x14ac:dyDescent="0.2">
      <c r="A69" s="1097"/>
      <c r="B69" s="1107"/>
      <c r="C69" s="1099" t="s">
        <v>1915</v>
      </c>
      <c r="D69" s="1121" t="str">
        <f>IF('Expenditures 15-22'!H170&lt;&gt;'Short-Term Long-Term Debt 24'!H49,"ERROR!","OK")</f>
        <v>OK</v>
      </c>
    </row>
    <row r="70" spans="1:4" x14ac:dyDescent="0.2">
      <c r="A70" s="1095"/>
      <c r="B70" s="1117">
        <f>B66+1</f>
        <v>9</v>
      </c>
      <c r="C70" s="2380" t="s">
        <v>1695</v>
      </c>
      <c r="D70" s="2381"/>
    </row>
    <row r="71" spans="1:4" x14ac:dyDescent="0.2">
      <c r="A71" s="1095"/>
      <c r="B71" s="1117"/>
      <c r="C71" s="1099" t="s">
        <v>1353</v>
      </c>
      <c r="D71" s="1123" t="str">
        <f>IF(SUM('Acct Summary 7-8'!C27:K27) =SUM( 'Acct Summary 7-8'!C49:K49),"OK", "ERROR")</f>
        <v>OK</v>
      </c>
    </row>
    <row r="72" spans="1:4" x14ac:dyDescent="0.2">
      <c r="A72" s="1097"/>
      <c r="B72" s="1107"/>
      <c r="C72" s="1115" t="s">
        <v>1354</v>
      </c>
      <c r="D72" s="1121" t="str">
        <f>IF(SUM('Acct Summary 7-8'!C28:K28)=SUM('Acct Summary 7-8'!C50:K50),"OK","ERROR!")</f>
        <v>OK</v>
      </c>
    </row>
    <row r="73" spans="1:4" ht="24" x14ac:dyDescent="0.2">
      <c r="A73" s="1124"/>
      <c r="B73" s="1107"/>
      <c r="C73" s="1115" t="s">
        <v>1696</v>
      </c>
      <c r="D73" s="1123" t="str">
        <f>IF(SUM('Acct Summary 7-8'!C42:K42)&gt;=SUM( 'Acct Summary 7-8'!C74:K74),"OK", "ERROR")</f>
        <v>OK</v>
      </c>
    </row>
    <row r="74" spans="1:4" x14ac:dyDescent="0.2">
      <c r="A74" s="1095"/>
      <c r="B74" s="1117">
        <f>B70+1</f>
        <v>10</v>
      </c>
      <c r="C74" s="1111" t="s">
        <v>1916</v>
      </c>
      <c r="D74" s="1125"/>
    </row>
    <row r="75" spans="1:4" x14ac:dyDescent="0.2">
      <c r="A75" s="1097"/>
      <c r="B75" s="1107"/>
      <c r="C75" s="1115" t="s">
        <v>1376</v>
      </c>
      <c r="D75" s="1121" t="str">
        <f>IF(SUM('Assets-Liab 5-6'!C38:H38)&gt;=SUM('Rest Tax Levies-Tort Im 25'!G25:K25),"OK","ERROR")</f>
        <v>OK</v>
      </c>
    </row>
    <row r="76" spans="1:4" x14ac:dyDescent="0.2">
      <c r="A76" s="1097"/>
      <c r="B76" s="1107"/>
      <c r="C76" s="1115" t="s">
        <v>1417</v>
      </c>
      <c r="D76" s="1121" t="str">
        <f>IF(SUM('Assets-Liab 5-6'!C39:K39)&gt;0,"OK","ENTRY IS REQUIRED!")</f>
        <v>OK</v>
      </c>
    </row>
    <row r="77" spans="1:4" x14ac:dyDescent="0.2">
      <c r="A77" s="1097"/>
      <c r="B77" s="1126">
        <f>B74+1</f>
        <v>11</v>
      </c>
      <c r="C77" s="1171" t="s">
        <v>1377</v>
      </c>
      <c r="D77" s="1121"/>
    </row>
    <row r="78" spans="1:4" x14ac:dyDescent="0.2">
      <c r="A78" s="1097"/>
      <c r="B78" s="1107"/>
      <c r="C78" s="1115" t="s">
        <v>1917</v>
      </c>
      <c r="D78" s="1121" t="str">
        <f>IF(ISNUMBER('Acct Summary 7-8'!C9),"OK","ENTRY IS REQUIRED!")</f>
        <v>OK</v>
      </c>
    </row>
    <row r="79" spans="1:4" x14ac:dyDescent="0.2">
      <c r="A79" s="1116"/>
      <c r="B79" s="1117">
        <f>B74+1+1</f>
        <v>12</v>
      </c>
      <c r="C79" s="1127" t="s">
        <v>1902</v>
      </c>
      <c r="D79" s="1128" t="str">
        <f>IF(OR(COVER!$B$6="X",'PCTC-OEPP 27-28'!F78&gt;0),"OK","PLEASE ENTER 9 MO ADA.")</f>
        <v>OK</v>
      </c>
    </row>
    <row r="80" spans="1:4" x14ac:dyDescent="0.2">
      <c r="A80" s="1095"/>
      <c r="B80" s="1117">
        <v>13</v>
      </c>
      <c r="C80" s="1127" t="s">
        <v>1918</v>
      </c>
      <c r="D80" s="1128" t="str">
        <f>IF('Contracts Paid in CY 29'!D141&gt;0,"OK","PLEASE ENTER CONTRACTS PAID IN CURRENT YEAR.")</f>
        <v>OK</v>
      </c>
    </row>
    <row r="81" spans="1:4" x14ac:dyDescent="0.2">
      <c r="A81" s="1095"/>
      <c r="B81" s="1117">
        <v>14</v>
      </c>
      <c r="C81" s="1127" t="s">
        <v>1423</v>
      </c>
      <c r="D81" s="1120" t="str">
        <f>IF('Shared Outsourced Services 31'!B8="X","OK",IF('Shared Outsourced Services 31'!K34&gt;0,"OK","ENTRY REQUIRED!"))</f>
        <v>OK</v>
      </c>
    </row>
    <row r="82" spans="1:4" x14ac:dyDescent="0.2">
      <c r="A82" s="1116"/>
      <c r="B82" s="1117">
        <v>15</v>
      </c>
      <c r="C82" s="1127" t="s">
        <v>1422</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50082009026</v>
      </c>
    </row>
    <row r="3" spans="1:2" x14ac:dyDescent="0.2">
      <c r="A3" t="s">
        <v>955</v>
      </c>
      <c r="B3" s="138" t="str">
        <f>COVER!A15</f>
        <v>St. Clair</v>
      </c>
    </row>
    <row r="4" spans="1:2" x14ac:dyDescent="0.2">
      <c r="A4" t="s">
        <v>1006</v>
      </c>
      <c r="B4" s="138" t="str">
        <f>COVER!A17</f>
        <v>Lebanon CUSD 9</v>
      </c>
    </row>
    <row r="5" spans="1:2" x14ac:dyDescent="0.2">
      <c r="A5" t="s">
        <v>703</v>
      </c>
      <c r="B5" s="138" t="str">
        <f>COVER!A38</f>
        <v>Patrick Keeney</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No</v>
      </c>
    </row>
    <row r="13" spans="1:2" x14ac:dyDescent="0.2">
      <c r="A13" s="1" t="s">
        <v>1543</v>
      </c>
      <c r="B13" s="138" t="str">
        <f>IF(COVER!J30="x","Yes",IF(COVER!L30="x","No",0))</f>
        <v>No</v>
      </c>
    </row>
    <row r="14" spans="1:2" x14ac:dyDescent="0.2">
      <c r="A14" t="s">
        <v>475</v>
      </c>
      <c r="B14" s="138" t="str">
        <f>IF(COVER!J31="x","Yes",IF(COVER!L31="x","No",0))</f>
        <v>Yes</v>
      </c>
    </row>
    <row r="15" spans="1:2" x14ac:dyDescent="0.2">
      <c r="A15" t="s">
        <v>576</v>
      </c>
      <c r="B15" s="138" t="str">
        <f>COVER!T23</f>
        <v>066.004582</v>
      </c>
    </row>
    <row r="16" spans="1:2" x14ac:dyDescent="0.2">
      <c r="A16" t="s">
        <v>421</v>
      </c>
      <c r="B16" s="138" t="str">
        <f>COVER!T13</f>
        <v>Rice Sullivan, LLC</v>
      </c>
    </row>
    <row r="17" spans="1:2" x14ac:dyDescent="0.2">
      <c r="A17" t="s">
        <v>883</v>
      </c>
      <c r="B17" s="138" t="str">
        <f>COVER!T15</f>
        <v>Bill R. Dixon, CPA</v>
      </c>
    </row>
    <row r="18" spans="1:2" x14ac:dyDescent="0.2">
      <c r="A18" t="s">
        <v>1149</v>
      </c>
      <c r="B18" s="138" t="str">
        <f>COVER!T17</f>
        <v>3121 North Illinois Street, Suite A</v>
      </c>
    </row>
    <row r="19" spans="1:2" x14ac:dyDescent="0.2">
      <c r="A19" t="s">
        <v>885</v>
      </c>
      <c r="B19" s="138" t="str">
        <f>COVER!T25</f>
        <v>bdixon@rsco.net</v>
      </c>
    </row>
    <row r="20" spans="1:2" x14ac:dyDescent="0.2">
      <c r="A20" t="s">
        <v>886</v>
      </c>
      <c r="B20" s="138" t="str">
        <f>COVER!T19</f>
        <v>Swansea</v>
      </c>
    </row>
    <row r="21" spans="1:2" x14ac:dyDescent="0.2">
      <c r="A21" t="s">
        <v>478</v>
      </c>
      <c r="B21" s="138" t="str">
        <f>COVER!X19</f>
        <v>IL</v>
      </c>
    </row>
    <row r="22" spans="1:2" x14ac:dyDescent="0.2">
      <c r="A22" t="s">
        <v>887</v>
      </c>
      <c r="B22" s="138">
        <f>COVER!Z19</f>
        <v>62226</v>
      </c>
    </row>
    <row r="23" spans="1:2" x14ac:dyDescent="0.2">
      <c r="A23" t="s">
        <v>1151</v>
      </c>
      <c r="B23" s="138" t="str">
        <f>COVER!T21</f>
        <v>618-233-0186</v>
      </c>
    </row>
    <row r="24" spans="1:2" x14ac:dyDescent="0.2">
      <c r="A24" t="s">
        <v>1150</v>
      </c>
      <c r="B24" s="138">
        <f>COVER!Y21</f>
        <v>0</v>
      </c>
    </row>
    <row r="25" spans="1:2" x14ac:dyDescent="0.2">
      <c r="A25" t="s">
        <v>760</v>
      </c>
      <c r="B25" s="138" t="str">
        <f>COVER!B34</f>
        <v>X</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0</v>
      </c>
    </row>
    <row r="50" spans="1:4" x14ac:dyDescent="0.2">
      <c r="A50" s="1" t="s">
        <v>1479</v>
      </c>
      <c r="B50" s="150">
        <f>'Aud Quest 2'!H53</f>
        <v>0</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49931</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925000</v>
      </c>
      <c r="C91" s="2" t="s">
        <v>572</v>
      </c>
      <c r="D91" s="2" t="str">
        <f t="shared" si="0"/>
        <v>Error?</v>
      </c>
    </row>
    <row r="92" spans="1:4" x14ac:dyDescent="0.2">
      <c r="A92" s="5">
        <v>31</v>
      </c>
      <c r="B92" s="138">
        <f>'Assets-Liab 5-6'!C39</f>
        <v>-875069</v>
      </c>
      <c r="D92" s="2" t="str">
        <f t="shared" si="0"/>
        <v>Error?</v>
      </c>
    </row>
    <row r="93" spans="1:4" x14ac:dyDescent="0.2">
      <c r="A93" s="5">
        <v>32</v>
      </c>
      <c r="B93" s="138">
        <f>'Assets-Liab 5-6'!C41</f>
        <v>49931</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100000</v>
      </c>
      <c r="C122" s="2" t="s">
        <v>572</v>
      </c>
      <c r="D122" s="2" t="str">
        <f t="shared" si="0"/>
        <v>Error?</v>
      </c>
    </row>
    <row r="123" spans="1:4" x14ac:dyDescent="0.2">
      <c r="A123" s="5">
        <v>62</v>
      </c>
      <c r="B123" s="138">
        <f>'Assets-Liab 5-6'!D39</f>
        <v>-100000</v>
      </c>
      <c r="D123" s="2" t="str">
        <f t="shared" si="0"/>
        <v>Error?</v>
      </c>
    </row>
    <row r="124" spans="1:4" x14ac:dyDescent="0.2">
      <c r="A124" s="5">
        <v>63</v>
      </c>
      <c r="B124" s="138">
        <f>'Assets-Liab 5-6'!D41</f>
        <v>0</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507769</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507769</v>
      </c>
      <c r="D140" s="2" t="str">
        <f t="shared" si="1"/>
        <v>Error?</v>
      </c>
    </row>
    <row r="141" spans="1:4" x14ac:dyDescent="0.2">
      <c r="A141" s="5">
        <v>80</v>
      </c>
      <c r="B141" s="138">
        <f>'Assets-Liab 5-6'!E41</f>
        <v>507769</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214849</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214849</v>
      </c>
      <c r="D170" s="2" t="str">
        <f t="shared" si="1"/>
        <v>Error?</v>
      </c>
    </row>
    <row r="171" spans="1:4" x14ac:dyDescent="0.2">
      <c r="A171" s="5">
        <v>110</v>
      </c>
      <c r="B171" s="138">
        <f>'Assets-Liab 5-6'!F41</f>
        <v>214849</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872971</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872971</v>
      </c>
      <c r="D189" s="2" t="str">
        <f t="shared" si="1"/>
        <v>Error?</v>
      </c>
    </row>
    <row r="190" spans="1:4" x14ac:dyDescent="0.2">
      <c r="A190" s="5">
        <v>129</v>
      </c>
      <c r="B190" s="138">
        <f>'Assets-Liab 5-6'!G41</f>
        <v>872971</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1597</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1455462</v>
      </c>
      <c r="C211" s="2" t="s">
        <v>572</v>
      </c>
      <c r="D211" s="2" t="str">
        <f t="shared" si="2"/>
        <v>Error?</v>
      </c>
    </row>
    <row r="212" spans="1:4" x14ac:dyDescent="0.2">
      <c r="A212" s="5">
        <v>151</v>
      </c>
      <c r="B212" s="138">
        <f>'Assets-Liab 5-6'!H39</f>
        <v>-1453865</v>
      </c>
      <c r="D212" s="2" t="str">
        <f t="shared" si="2"/>
        <v>Error?</v>
      </c>
    </row>
    <row r="213" spans="1:4" x14ac:dyDescent="0.2">
      <c r="A213" s="12">
        <v>152</v>
      </c>
      <c r="B213" s="138">
        <f>'Assets-Liab 5-6'!H41</f>
        <v>1597</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1359576</v>
      </c>
      <c r="D273" s="2" t="str">
        <f t="shared" si="3"/>
        <v>Error?</v>
      </c>
    </row>
    <row r="274" spans="1:4" x14ac:dyDescent="0.2">
      <c r="A274" s="5">
        <v>213</v>
      </c>
      <c r="B274" s="138">
        <f>'Assets-Liab 5-6'!M17</f>
        <v>16143493</v>
      </c>
      <c r="D274" s="2" t="str">
        <f t="shared" si="3"/>
        <v>Error?</v>
      </c>
    </row>
    <row r="275" spans="1:4" x14ac:dyDescent="0.2">
      <c r="A275" s="5">
        <v>214</v>
      </c>
      <c r="B275" s="138">
        <f>'Assets-Liab 5-6'!M18</f>
        <v>2621392</v>
      </c>
      <c r="D275" s="2" t="str">
        <f t="shared" si="3"/>
        <v>Error?</v>
      </c>
    </row>
    <row r="276" spans="1:4" x14ac:dyDescent="0.2">
      <c r="A276" s="5">
        <v>215</v>
      </c>
      <c r="B276" s="138">
        <f>'Assets-Liab 5-6'!M19</f>
        <v>3469893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23594354</v>
      </c>
      <c r="C279" s="2" t="s">
        <v>572</v>
      </c>
      <c r="D279" s="2" t="str">
        <f t="shared" si="3"/>
        <v>Error?</v>
      </c>
    </row>
    <row r="280" spans="1:4" x14ac:dyDescent="0.2">
      <c r="A280" s="5">
        <v>219</v>
      </c>
      <c r="B280" s="138">
        <f>'Assets-Liab 5-6'!M40</f>
        <v>23594354</v>
      </c>
      <c r="D280" s="2" t="str">
        <f t="shared" si="3"/>
        <v>Error?</v>
      </c>
    </row>
    <row r="281" spans="1:4" x14ac:dyDescent="0.2">
      <c r="A281" s="5">
        <v>220</v>
      </c>
      <c r="B281" s="138">
        <f>'Assets-Liab 5-6'!M41</f>
        <v>23594354</v>
      </c>
      <c r="C281" s="2" t="s">
        <v>572</v>
      </c>
      <c r="D281" s="2" t="str">
        <f t="shared" si="3"/>
        <v>Error?</v>
      </c>
    </row>
    <row r="282" spans="1:4" x14ac:dyDescent="0.2">
      <c r="A282" s="5">
        <v>221</v>
      </c>
      <c r="B282" s="138">
        <f>'Assets-Liab 5-6'!N21</f>
        <v>507769</v>
      </c>
      <c r="D282" s="2" t="str">
        <f t="shared" si="3"/>
        <v>Error?</v>
      </c>
    </row>
    <row r="283" spans="1:4" x14ac:dyDescent="0.2">
      <c r="A283" s="5">
        <v>222</v>
      </c>
      <c r="B283" s="138">
        <f>'Assets-Liab 5-6'!N22</f>
        <v>10241275</v>
      </c>
      <c r="D283" s="2" t="str">
        <f t="shared" si="3"/>
        <v>Error?</v>
      </c>
    </row>
    <row r="284" spans="1:4" x14ac:dyDescent="0.2">
      <c r="A284" s="5">
        <v>223</v>
      </c>
      <c r="B284" s="138">
        <f>'Assets-Liab 5-6'!N23</f>
        <v>10749044</v>
      </c>
      <c r="C284" s="2" t="s">
        <v>572</v>
      </c>
      <c r="D284" s="2" t="str">
        <f t="shared" si="3"/>
        <v>Error?</v>
      </c>
    </row>
    <row r="285" spans="1:4" x14ac:dyDescent="0.2">
      <c r="A285" s="5">
        <v>224</v>
      </c>
      <c r="B285" s="138">
        <f>'Assets-Liab 5-6'!N36</f>
        <v>10749044</v>
      </c>
      <c r="D285" s="2" t="str">
        <f t="shared" si="3"/>
        <v>Error?</v>
      </c>
    </row>
    <row r="286" spans="1:4" x14ac:dyDescent="0.2">
      <c r="A286" s="10">
        <v>225</v>
      </c>
      <c r="D286" s="2" t="str">
        <f t="shared" si="3"/>
        <v>OK</v>
      </c>
    </row>
    <row r="287" spans="1:4" x14ac:dyDescent="0.2">
      <c r="A287" s="5">
        <v>226</v>
      </c>
      <c r="B287" s="138">
        <f>'Assets-Liab 5-6'!N37</f>
        <v>10749044</v>
      </c>
      <c r="C287" s="2" t="s">
        <v>572</v>
      </c>
      <c r="D287" s="2" t="str">
        <f t="shared" si="3"/>
        <v>Error?</v>
      </c>
    </row>
    <row r="288" spans="1:4" x14ac:dyDescent="0.2">
      <c r="A288" s="5">
        <v>227</v>
      </c>
      <c r="B288" s="138">
        <f>'Assets-Liab 5-6'!N41</f>
        <v>10749044</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2100391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79925</v>
      </c>
      <c r="D717" s="2" t="str">
        <f t="shared" si="10"/>
        <v>Error?</v>
      </c>
    </row>
    <row r="718" spans="1:4" x14ac:dyDescent="0.2">
      <c r="A718" s="5">
        <v>657</v>
      </c>
      <c r="B718" s="138">
        <f>'Expenditures 15-22'!C14</f>
        <v>97023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3110218</v>
      </c>
      <c r="C720" s="2" t="s">
        <v>572</v>
      </c>
      <c r="D720" s="2" t="str">
        <f t="shared" si="10"/>
        <v>Error?</v>
      </c>
    </row>
    <row r="721" spans="1:4" x14ac:dyDescent="0.2">
      <c r="A721" s="5">
        <v>660</v>
      </c>
      <c r="B721" s="138">
        <f>'Expenditures 15-22'!C36</f>
        <v>0</v>
      </c>
      <c r="D721" s="2" t="str">
        <f t="shared" si="10"/>
        <v>Error?</v>
      </c>
    </row>
    <row r="722" spans="1:4" x14ac:dyDescent="0.2">
      <c r="A722" s="5">
        <v>661</v>
      </c>
      <c r="B722" s="138">
        <f>'Expenditures 15-22'!C37</f>
        <v>62628</v>
      </c>
      <c r="D722" s="2" t="str">
        <f t="shared" si="10"/>
        <v>Error?</v>
      </c>
    </row>
    <row r="723" spans="1:4" x14ac:dyDescent="0.2">
      <c r="A723" s="5">
        <v>662</v>
      </c>
      <c r="B723" s="138">
        <f>'Expenditures 15-22'!C38</f>
        <v>29903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43728</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136259</v>
      </c>
      <c r="C727" s="2" t="s">
        <v>572</v>
      </c>
      <c r="D727" s="2" t="str">
        <f t="shared" si="10"/>
        <v>Error?</v>
      </c>
    </row>
    <row r="728" spans="1:4" x14ac:dyDescent="0.2">
      <c r="A728" s="5">
        <v>667</v>
      </c>
      <c r="B728" s="138">
        <f>'Expenditures 15-22'!C44</f>
        <v>30825</v>
      </c>
      <c r="D728" s="2" t="str">
        <f t="shared" si="10"/>
        <v>Error?</v>
      </c>
    </row>
    <row r="729" spans="1:4" x14ac:dyDescent="0.2">
      <c r="A729" s="5">
        <v>668</v>
      </c>
      <c r="B729" s="138">
        <f>'Expenditures 15-22'!C45</f>
        <v>85515</v>
      </c>
      <c r="D729" s="2" t="str">
        <f t="shared" si="10"/>
        <v>Error?</v>
      </c>
    </row>
    <row r="730" spans="1:4" x14ac:dyDescent="0.2">
      <c r="A730" s="5">
        <v>669</v>
      </c>
      <c r="B730" s="138">
        <f>'Expenditures 15-22'!C46</f>
        <v>9000</v>
      </c>
      <c r="D730" s="2" t="str">
        <f t="shared" si="10"/>
        <v>Error?</v>
      </c>
    </row>
    <row r="731" spans="1:4" x14ac:dyDescent="0.2">
      <c r="A731" s="5">
        <v>670</v>
      </c>
      <c r="B731" s="138">
        <f>'Expenditures 15-22'!C47</f>
        <v>125340</v>
      </c>
      <c r="C731" s="2" t="s">
        <v>572</v>
      </c>
      <c r="D731" s="2" t="str">
        <f t="shared" si="10"/>
        <v>Error?</v>
      </c>
    </row>
    <row r="732" spans="1:4" x14ac:dyDescent="0.2">
      <c r="A732" s="5">
        <v>671</v>
      </c>
      <c r="B732" s="138">
        <f>'Expenditures 15-22'!C49</f>
        <v>14142</v>
      </c>
      <c r="D732" s="2" t="str">
        <f t="shared" si="10"/>
        <v>Error?</v>
      </c>
    </row>
    <row r="733" spans="1:4" x14ac:dyDescent="0.2">
      <c r="A733" s="5">
        <v>672</v>
      </c>
      <c r="B733" s="138">
        <f>'Expenditures 15-22'!C50</f>
        <v>135412</v>
      </c>
      <c r="D733" s="2" t="str">
        <f t="shared" si="10"/>
        <v>Error?</v>
      </c>
    </row>
    <row r="734" spans="1:4" x14ac:dyDescent="0.2">
      <c r="A734" s="5">
        <v>673</v>
      </c>
      <c r="B734" s="138">
        <f>'Expenditures 15-22'!C53</f>
        <v>161917</v>
      </c>
      <c r="C734" s="2" t="s">
        <v>572</v>
      </c>
      <c r="D734" s="2" t="str">
        <f t="shared" si="10"/>
        <v>Error?</v>
      </c>
    </row>
    <row r="735" spans="1:4" x14ac:dyDescent="0.2">
      <c r="A735" s="5">
        <v>674</v>
      </c>
      <c r="B735" s="138">
        <f>'Expenditures 15-22'!C55</f>
        <v>218852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218852</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36798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71535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108333</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750701</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3860919</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470311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17081</v>
      </c>
      <c r="D775" s="2" t="str">
        <f t="shared" si="11"/>
        <v>Error?</v>
      </c>
    </row>
    <row r="776" spans="1:4" x14ac:dyDescent="0.2">
      <c r="A776" s="5">
        <v>715</v>
      </c>
      <c r="B776" s="138">
        <f>'Expenditures 15-22'!D14</f>
        <v>3429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647635</v>
      </c>
      <c r="C778" s="2" t="s">
        <v>572</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13411</v>
      </c>
      <c r="D780" s="2" t="str">
        <f t="shared" si="11"/>
        <v>Error?</v>
      </c>
    </row>
    <row r="781" spans="1:4" x14ac:dyDescent="0.2">
      <c r="A781" s="5">
        <v>720</v>
      </c>
      <c r="B781" s="138">
        <f>'Expenditures 15-22'!D38</f>
        <v>5558</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10837</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29806</v>
      </c>
      <c r="C785" s="2" t="s">
        <v>572</v>
      </c>
      <c r="D785" s="2" t="str">
        <f t="shared" si="11"/>
        <v>Error?</v>
      </c>
    </row>
    <row r="786" spans="1:4" x14ac:dyDescent="0.2">
      <c r="A786" s="5">
        <v>725</v>
      </c>
      <c r="B786" s="138">
        <f>'Expenditures 15-22'!D44</f>
        <v>6330</v>
      </c>
      <c r="D786" s="2" t="str">
        <f t="shared" si="11"/>
        <v>Error?</v>
      </c>
    </row>
    <row r="787" spans="1:4" x14ac:dyDescent="0.2">
      <c r="A787" s="5">
        <v>726</v>
      </c>
      <c r="B787" s="138">
        <f>'Expenditures 15-22'!D45</f>
        <v>14803</v>
      </c>
      <c r="D787" s="2" t="str">
        <f t="shared" si="11"/>
        <v>Error?</v>
      </c>
    </row>
    <row r="788" spans="1:4" x14ac:dyDescent="0.2">
      <c r="A788" s="5">
        <v>727</v>
      </c>
      <c r="B788" s="138">
        <f>'Expenditures 15-22'!D46</f>
        <v>2451</v>
      </c>
      <c r="D788" s="2" t="str">
        <f t="shared" si="11"/>
        <v>Error?</v>
      </c>
    </row>
    <row r="789" spans="1:4" x14ac:dyDescent="0.2">
      <c r="A789" s="5">
        <v>728</v>
      </c>
      <c r="B789" s="138">
        <f>'Expenditures 15-22'!D47</f>
        <v>23584</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19505</v>
      </c>
      <c r="D791" s="2" t="str">
        <f t="shared" si="11"/>
        <v>Error?</v>
      </c>
    </row>
    <row r="792" spans="1:4" x14ac:dyDescent="0.2">
      <c r="A792" s="5">
        <v>731</v>
      </c>
      <c r="B792" s="138">
        <f>'Expenditures 15-22'!D53</f>
        <v>21195</v>
      </c>
      <c r="C792" s="2" t="s">
        <v>572</v>
      </c>
      <c r="D792" s="2" t="str">
        <f t="shared" si="11"/>
        <v>Error?</v>
      </c>
    </row>
    <row r="793" spans="1:4" x14ac:dyDescent="0.2">
      <c r="A793" s="5">
        <v>732</v>
      </c>
      <c r="B793" s="138">
        <f>'Expenditures 15-22'!D55</f>
        <v>23779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23779</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6504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6504</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104868</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752503</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87218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31106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140872</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572</v>
      </c>
      <c r="D843" s="2" t="str">
        <f t="shared" si="12"/>
        <v>Error?</v>
      </c>
    </row>
    <row r="844" spans="1:4" x14ac:dyDescent="0.2">
      <c r="A844" s="5">
        <v>783</v>
      </c>
      <c r="B844" s="138">
        <f>'Expenditures 15-22'!E44</f>
        <v>23815</v>
      </c>
      <c r="D844" s="2" t="str">
        <f t="shared" si="12"/>
        <v>Error?</v>
      </c>
    </row>
    <row r="845" spans="1:4" x14ac:dyDescent="0.2">
      <c r="A845" s="5">
        <v>784</v>
      </c>
      <c r="B845" s="138">
        <f>'Expenditures 15-22'!E45</f>
        <v>2598</v>
      </c>
      <c r="D845" s="2" t="str">
        <f t="shared" si="12"/>
        <v>Error?</v>
      </c>
    </row>
    <row r="846" spans="1:4" x14ac:dyDescent="0.2">
      <c r="A846" s="5">
        <v>785</v>
      </c>
      <c r="B846" s="138">
        <f>'Expenditures 15-22'!E46</f>
        <v>5986</v>
      </c>
      <c r="D846" s="2" t="str">
        <f t="shared" si="12"/>
        <v>Error?</v>
      </c>
    </row>
    <row r="847" spans="1:4" x14ac:dyDescent="0.2">
      <c r="A847" s="5">
        <v>786</v>
      </c>
      <c r="B847" s="138">
        <f>'Expenditures 15-22'!E47</f>
        <v>32399</v>
      </c>
      <c r="C847" s="2" t="s">
        <v>572</v>
      </c>
      <c r="D847" s="2" t="str">
        <f t="shared" si="12"/>
        <v>Error?</v>
      </c>
    </row>
    <row r="848" spans="1:4" x14ac:dyDescent="0.2">
      <c r="A848" s="5">
        <v>787</v>
      </c>
      <c r="B848" s="138">
        <f>'Expenditures 15-22'!E49</f>
        <v>42293</v>
      </c>
      <c r="D848" s="2" t="str">
        <f t="shared" si="12"/>
        <v>Error?</v>
      </c>
    </row>
    <row r="849" spans="1:4" x14ac:dyDescent="0.2">
      <c r="A849" s="5">
        <v>788</v>
      </c>
      <c r="B849" s="138">
        <f>'Expenditures 15-22'!E50</f>
        <v>10239</v>
      </c>
      <c r="D849" s="2" t="str">
        <f t="shared" si="12"/>
        <v>Error?</v>
      </c>
    </row>
    <row r="850" spans="1:4" x14ac:dyDescent="0.2">
      <c r="A850" s="5">
        <v>789</v>
      </c>
      <c r="B850" s="138">
        <f>'Expenditures 15-22'!E53</f>
        <v>52532</v>
      </c>
      <c r="C850" s="2" t="s">
        <v>572</v>
      </c>
      <c r="D850" s="2" t="str">
        <f t="shared" si="12"/>
        <v>Error?</v>
      </c>
    </row>
    <row r="851" spans="1:4" x14ac:dyDescent="0.2">
      <c r="A851" s="5">
        <v>790</v>
      </c>
      <c r="B851" s="138">
        <f>'Expenditures 15-22'!E55</f>
        <v>935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935</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1891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1004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2895</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88761</v>
      </c>
      <c r="C871" s="2" t="s">
        <v>572</v>
      </c>
      <c r="D871" s="2" t="str">
        <f t="shared" si="12"/>
        <v>Error?</v>
      </c>
    </row>
    <row r="872" spans="1:4" x14ac:dyDescent="0.2">
      <c r="A872" s="5">
        <v>811</v>
      </c>
      <c r="B872" s="138">
        <f>'Expenditures 15-22'!E75</f>
        <v>425</v>
      </c>
      <c r="D872" s="2" t="str">
        <f t="shared" si="12"/>
        <v>Error?</v>
      </c>
    </row>
    <row r="873" spans="1:4" x14ac:dyDescent="0.2">
      <c r="A873" s="5">
        <v>812</v>
      </c>
      <c r="B873" s="138">
        <f>'Expenditures 15-22'!E114</f>
        <v>269162</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36793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12884</v>
      </c>
      <c r="D891" s="2" t="str">
        <f t="shared" si="12"/>
        <v>Error?</v>
      </c>
    </row>
    <row r="892" spans="1:4" x14ac:dyDescent="0.2">
      <c r="A892" s="5">
        <v>831</v>
      </c>
      <c r="B892" s="138">
        <f>'Expenditures 15-22'!F14</f>
        <v>21418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107791</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366</v>
      </c>
      <c r="D896" s="2" t="str">
        <f t="shared" si="13"/>
        <v>Error?</v>
      </c>
    </row>
    <row r="897" spans="1:4" x14ac:dyDescent="0.2">
      <c r="A897" s="5">
        <v>836</v>
      </c>
      <c r="B897" s="138">
        <f>'Expenditures 15-22'!F38</f>
        <v>1673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2039</v>
      </c>
      <c r="C901" s="2" t="s">
        <v>572</v>
      </c>
      <c r="D901" s="2" t="str">
        <f t="shared" si="13"/>
        <v>Error?</v>
      </c>
    </row>
    <row r="902" spans="1:4" x14ac:dyDescent="0.2">
      <c r="A902" s="5">
        <v>841</v>
      </c>
      <c r="B902" s="138">
        <f>'Expenditures 15-22'!F44</f>
        <v>166</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166</v>
      </c>
      <c r="C905" s="2" t="s">
        <v>572</v>
      </c>
      <c r="D905" s="2" t="str">
        <f t="shared" si="13"/>
        <v>Error?</v>
      </c>
    </row>
    <row r="906" spans="1:4" x14ac:dyDescent="0.2">
      <c r="A906" s="5">
        <v>845</v>
      </c>
      <c r="B906" s="138">
        <f>'Expenditures 15-22'!F49</f>
        <v>3362</v>
      </c>
      <c r="D906" s="2" t="str">
        <f t="shared" si="13"/>
        <v>Error?</v>
      </c>
    </row>
    <row r="907" spans="1:4" x14ac:dyDescent="0.2">
      <c r="A907" s="5">
        <v>846</v>
      </c>
      <c r="B907" s="138">
        <f>'Expenditures 15-22'!F50</f>
        <v>3859</v>
      </c>
      <c r="D907" s="2" t="str">
        <f t="shared" si="13"/>
        <v>Error?</v>
      </c>
    </row>
    <row r="908" spans="1:4" x14ac:dyDescent="0.2">
      <c r="A908" s="5">
        <v>847</v>
      </c>
      <c r="B908" s="138">
        <f>'Expenditures 15-22'!F53</f>
        <v>7221</v>
      </c>
      <c r="C908" s="2" t="s">
        <v>572</v>
      </c>
      <c r="D908" s="2" t="str">
        <f t="shared" si="13"/>
        <v>Error?</v>
      </c>
    </row>
    <row r="909" spans="1:4" x14ac:dyDescent="0.2">
      <c r="A909" s="5">
        <v>848</v>
      </c>
      <c r="B909" s="138">
        <f>'Expenditures 15-22'!F55</f>
        <v>94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94</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983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111394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112377</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7330</v>
      </c>
      <c r="D928" s="2" t="str">
        <f t="shared" si="13"/>
        <v>Error?</v>
      </c>
    </row>
    <row r="929" spans="1:4" x14ac:dyDescent="0.2">
      <c r="A929" s="5">
        <v>868</v>
      </c>
      <c r="B929" s="138">
        <f>'Expenditures 15-22'!F74</f>
        <v>129227</v>
      </c>
      <c r="C929" s="2" t="s">
        <v>572</v>
      </c>
      <c r="D929" s="2" t="str">
        <f t="shared" si="13"/>
        <v>Error?</v>
      </c>
    </row>
    <row r="930" spans="1:4" x14ac:dyDescent="0.2">
      <c r="A930" s="5">
        <v>869</v>
      </c>
      <c r="B930" s="138">
        <f>'Expenditures 15-22'!F75</f>
        <v>638</v>
      </c>
      <c r="D930" s="2" t="str">
        <f t="shared" si="13"/>
        <v>Error?</v>
      </c>
    </row>
    <row r="931" spans="1:4" x14ac:dyDescent="0.2">
      <c r="A931" s="5">
        <v>870</v>
      </c>
      <c r="B931" s="138">
        <f>'Expenditures 15-22'!F114</f>
        <v>237656</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679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679</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679</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9179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9179</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572</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386855</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412547</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2704571</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109890</v>
      </c>
      <c r="C1105" s="2" t="s">
        <v>572</v>
      </c>
      <c r="D1105" s="2" t="str">
        <f t="shared" si="16"/>
        <v>Error?</v>
      </c>
    </row>
    <row r="1106" spans="1:4" x14ac:dyDescent="0.2">
      <c r="A1106" s="5">
        <v>1045</v>
      </c>
      <c r="B1106" s="138">
        <f>'Expenditures 15-22'!K14</f>
        <v>152976</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4016374</v>
      </c>
      <c r="C1108" s="2" t="s">
        <v>572</v>
      </c>
      <c r="D1108" s="2" t="str">
        <f t="shared" si="16"/>
        <v>Error?</v>
      </c>
    </row>
    <row r="1109" spans="1:4" x14ac:dyDescent="0.2">
      <c r="A1109" s="5">
        <v>1048</v>
      </c>
      <c r="B1109" s="138">
        <f>'Expenditures 15-22'!K36</f>
        <v>0</v>
      </c>
      <c r="C1109" s="2" t="s">
        <v>572</v>
      </c>
      <c r="D1109" s="2" t="str">
        <f t="shared" si="16"/>
        <v>Error?</v>
      </c>
    </row>
    <row r="1110" spans="1:4" x14ac:dyDescent="0.2">
      <c r="A1110" s="5">
        <v>1049</v>
      </c>
      <c r="B1110" s="138">
        <f>'Expenditures 15-22'!K37</f>
        <v>76405</v>
      </c>
      <c r="C1110" s="2" t="s">
        <v>572</v>
      </c>
      <c r="D1110" s="2" t="str">
        <f t="shared" si="16"/>
        <v>Error?</v>
      </c>
    </row>
    <row r="1111" spans="1:4" x14ac:dyDescent="0.2">
      <c r="A1111" s="5">
        <v>1050</v>
      </c>
      <c r="B1111" s="138">
        <f>'Expenditures 15-22'!K38</f>
        <v>37134</v>
      </c>
      <c r="C1111" s="2" t="s">
        <v>572</v>
      </c>
      <c r="D1111" s="2" t="str">
        <f t="shared" si="16"/>
        <v>Error?</v>
      </c>
    </row>
    <row r="1112" spans="1:4" x14ac:dyDescent="0.2">
      <c r="A1112" s="5">
        <v>1051</v>
      </c>
      <c r="B1112" s="138">
        <f>'Expenditures 15-22'!K39</f>
        <v>0</v>
      </c>
      <c r="C1112" s="2" t="s">
        <v>572</v>
      </c>
      <c r="D1112" s="2" t="str">
        <f t="shared" si="16"/>
        <v>Error?</v>
      </c>
    </row>
    <row r="1113" spans="1:4" x14ac:dyDescent="0.2">
      <c r="A1113" s="5">
        <v>1052</v>
      </c>
      <c r="B1113" s="138">
        <f>'Expenditures 15-22'!K40</f>
        <v>54565</v>
      </c>
      <c r="C1113" s="2" t="s">
        <v>572</v>
      </c>
      <c r="D1113" s="2" t="str">
        <f t="shared" si="16"/>
        <v>Error?</v>
      </c>
    </row>
    <row r="1114" spans="1:4" x14ac:dyDescent="0.2">
      <c r="A1114" s="5">
        <v>1053</v>
      </c>
      <c r="B1114" s="138">
        <f>'Expenditures 15-22'!K41</f>
        <v>0</v>
      </c>
      <c r="C1114" s="2" t="s">
        <v>572</v>
      </c>
      <c r="D1114" s="2" t="str">
        <f t="shared" si="16"/>
        <v>Error?</v>
      </c>
    </row>
    <row r="1115" spans="1:4" x14ac:dyDescent="0.2">
      <c r="A1115" s="5">
        <v>1054</v>
      </c>
      <c r="B1115" s="138">
        <f>'Expenditures 15-22'!K42</f>
        <v>168104</v>
      </c>
      <c r="C1115" s="2" t="s">
        <v>572</v>
      </c>
      <c r="D1115" s="2" t="str">
        <f t="shared" si="16"/>
        <v>Error?</v>
      </c>
    </row>
    <row r="1116" spans="1:4" x14ac:dyDescent="0.2">
      <c r="A1116" s="5">
        <v>1055</v>
      </c>
      <c r="B1116" s="138">
        <f>'Expenditures 15-22'!K44</f>
        <v>61136</v>
      </c>
      <c r="C1116" s="2" t="s">
        <v>572</v>
      </c>
      <c r="D1116" s="2" t="str">
        <f t="shared" si="16"/>
        <v>Error?</v>
      </c>
    </row>
    <row r="1117" spans="1:4" x14ac:dyDescent="0.2">
      <c r="A1117" s="5">
        <v>1056</v>
      </c>
      <c r="B1117" s="138">
        <f>'Expenditures 15-22'!K45</f>
        <v>102916</v>
      </c>
      <c r="C1117" s="2" t="s">
        <v>572</v>
      </c>
      <c r="D1117" s="2" t="str">
        <f t="shared" si="16"/>
        <v>Error?</v>
      </c>
    </row>
    <row r="1118" spans="1:4" x14ac:dyDescent="0.2">
      <c r="A1118" s="5">
        <v>1057</v>
      </c>
      <c r="B1118" s="138">
        <f>'Expenditures 15-22'!K46</f>
        <v>17437</v>
      </c>
      <c r="C1118" s="2" t="s">
        <v>572</v>
      </c>
      <c r="D1118" s="2" t="str">
        <f t="shared" si="16"/>
        <v>Error?</v>
      </c>
    </row>
    <row r="1119" spans="1:4" x14ac:dyDescent="0.2">
      <c r="A1119" s="5">
        <v>1058</v>
      </c>
      <c r="B1119" s="138">
        <f>'Expenditures 15-22'!K47</f>
        <v>181489</v>
      </c>
      <c r="C1119" s="2" t="s">
        <v>572</v>
      </c>
      <c r="D1119" s="2" t="str">
        <f t="shared" si="16"/>
        <v>Error?</v>
      </c>
    </row>
    <row r="1120" spans="1:4" x14ac:dyDescent="0.2">
      <c r="A1120" s="5">
        <v>1059</v>
      </c>
      <c r="B1120" s="138">
        <f>'Expenditures 15-22'!K49</f>
        <v>59797</v>
      </c>
      <c r="C1120" s="2" t="s">
        <v>572</v>
      </c>
      <c r="D1120" s="2" t="str">
        <f t="shared" si="16"/>
        <v>Error?</v>
      </c>
    </row>
    <row r="1121" spans="1:4" x14ac:dyDescent="0.2">
      <c r="A1121" s="5">
        <v>1060</v>
      </c>
      <c r="B1121" s="138">
        <f>'Expenditures 15-22'!K50</f>
        <v>169015</v>
      </c>
      <c r="C1121" s="2" t="s">
        <v>572</v>
      </c>
      <c r="D1121" s="2" t="str">
        <f t="shared" si="16"/>
        <v>Error?</v>
      </c>
    </row>
    <row r="1122" spans="1:4" x14ac:dyDescent="0.2">
      <c r="A1122" s="5">
        <v>1061</v>
      </c>
      <c r="B1122" s="138">
        <f>'Expenditures 15-22'!K53</f>
        <v>242865</v>
      </c>
      <c r="C1122" s="2" t="s">
        <v>572</v>
      </c>
      <c r="D1122" s="2" t="str">
        <f t="shared" si="16"/>
        <v>Error?</v>
      </c>
    </row>
    <row r="1123" spans="1:4" x14ac:dyDescent="0.2">
      <c r="A1123" s="5">
        <v>1062</v>
      </c>
      <c r="B1123" s="138">
        <f>'Expenditures 15-22'!K55</f>
        <v>243660</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243660</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46176</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183933</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230109</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0</v>
      </c>
      <c r="C1141" s="2" t="s">
        <v>572</v>
      </c>
      <c r="D1141" s="2" t="str">
        <f t="shared" si="16"/>
        <v>Error?</v>
      </c>
    </row>
    <row r="1142" spans="1:4" x14ac:dyDescent="0.2">
      <c r="A1142" s="5">
        <v>1081</v>
      </c>
      <c r="B1142" s="138">
        <f>'Expenditures 15-22'!K73</f>
        <v>7330</v>
      </c>
      <c r="C1142" s="2" t="s">
        <v>572</v>
      </c>
      <c r="D1142" s="2" t="str">
        <f t="shared" si="16"/>
        <v>Error?</v>
      </c>
    </row>
    <row r="1143" spans="1:4" x14ac:dyDescent="0.2">
      <c r="A1143" s="5">
        <v>1082</v>
      </c>
      <c r="B1143" s="138">
        <f>'Expenditures 15-22'!K74</f>
        <v>1073557</v>
      </c>
      <c r="C1143" s="2" t="s">
        <v>572</v>
      </c>
      <c r="D1143" s="2" t="str">
        <f t="shared" si="16"/>
        <v>Error?</v>
      </c>
    </row>
    <row r="1144" spans="1:4" x14ac:dyDescent="0.2">
      <c r="A1144" s="5">
        <v>1083</v>
      </c>
      <c r="B1144" s="138">
        <f>'Expenditures 15-22'!K75</f>
        <v>1063</v>
      </c>
      <c r="C1144" s="2" t="s">
        <v>572</v>
      </c>
      <c r="D1144" s="2" t="str">
        <f t="shared" si="16"/>
        <v>Error?</v>
      </c>
    </row>
    <row r="1145" spans="1:4" x14ac:dyDescent="0.2">
      <c r="A1145" s="5">
        <v>1084</v>
      </c>
      <c r="B1145" s="138">
        <f>'Expenditures 15-22'!K102</f>
        <v>425959</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5533466</v>
      </c>
      <c r="C1152" s="2" t="s">
        <v>572</v>
      </c>
      <c r="D1152" s="2" t="str">
        <f t="shared" si="17"/>
        <v>Error?</v>
      </c>
    </row>
    <row r="1153" spans="1:4" x14ac:dyDescent="0.2">
      <c r="A1153" s="5">
        <v>1092</v>
      </c>
      <c r="B1153" s="138">
        <f>'Expenditures 15-22'!K115</f>
        <v>-329709</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161906</v>
      </c>
      <c r="D1221" s="2" t="str">
        <f t="shared" si="18"/>
        <v>Error?</v>
      </c>
    </row>
    <row r="1222" spans="1:4" x14ac:dyDescent="0.2">
      <c r="A1222" s="10">
        <v>1161</v>
      </c>
      <c r="D1222" s="2" t="str">
        <f t="shared" si="18"/>
        <v>OK</v>
      </c>
    </row>
    <row r="1223" spans="1:4" x14ac:dyDescent="0.2">
      <c r="A1223" s="5">
        <v>1162</v>
      </c>
      <c r="B1223" s="138">
        <f>'Expenditures 15-22'!C127</f>
        <v>161906</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161906</v>
      </c>
      <c r="C1225" s="2" t="s">
        <v>572</v>
      </c>
      <c r="D1225" s="2" t="str">
        <f t="shared" si="18"/>
        <v>Error?</v>
      </c>
    </row>
    <row r="1226" spans="1:4" x14ac:dyDescent="0.2">
      <c r="A1226" s="5">
        <v>1165</v>
      </c>
      <c r="B1226" s="138">
        <f>'Expenditures 15-22'!C151</f>
        <v>161906</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29220</v>
      </c>
      <c r="D1229" s="2" t="str">
        <f t="shared" si="18"/>
        <v>Error?</v>
      </c>
    </row>
    <row r="1230" spans="1:4" x14ac:dyDescent="0.2">
      <c r="A1230" s="10">
        <v>1169</v>
      </c>
      <c r="D1230" s="2" t="str">
        <f t="shared" si="18"/>
        <v>OK</v>
      </c>
    </row>
    <row r="1231" spans="1:4" x14ac:dyDescent="0.2">
      <c r="A1231" s="5">
        <v>1170</v>
      </c>
      <c r="B1231" s="138">
        <f>'Expenditures 15-22'!D127</f>
        <v>29220</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29220</v>
      </c>
      <c r="C1233" s="2" t="s">
        <v>572</v>
      </c>
      <c r="D1233" s="2" t="str">
        <f t="shared" si="18"/>
        <v>Error?</v>
      </c>
    </row>
    <row r="1234" spans="1:4" x14ac:dyDescent="0.2">
      <c r="A1234" s="5">
        <v>1173</v>
      </c>
      <c r="B1234" s="138">
        <f>'Expenditures 15-22'!D151</f>
        <v>29220</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129482</v>
      </c>
      <c r="D1237" s="2" t="str">
        <f t="shared" si="18"/>
        <v>Error?</v>
      </c>
    </row>
    <row r="1238" spans="1:4" x14ac:dyDescent="0.2">
      <c r="A1238" s="10">
        <v>1177</v>
      </c>
      <c r="D1238" s="2" t="str">
        <f t="shared" si="18"/>
        <v>OK</v>
      </c>
    </row>
    <row r="1239" spans="1:4" x14ac:dyDescent="0.2">
      <c r="A1239" s="5">
        <v>1178</v>
      </c>
      <c r="B1239" s="138">
        <f>'Expenditures 15-22'!E127</f>
        <v>129482</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129482</v>
      </c>
      <c r="C1241" s="2" t="s">
        <v>572</v>
      </c>
      <c r="D1241" s="2" t="str">
        <f t="shared" si="18"/>
        <v>Error?</v>
      </c>
    </row>
    <row r="1242" spans="1:4" x14ac:dyDescent="0.2">
      <c r="A1242" s="5">
        <v>1181</v>
      </c>
      <c r="B1242" s="138">
        <f>'Expenditures 15-22'!E151</f>
        <v>129482</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176804</v>
      </c>
      <c r="D1245" s="2" t="str">
        <f t="shared" si="18"/>
        <v>Error?</v>
      </c>
    </row>
    <row r="1246" spans="1:4" x14ac:dyDescent="0.2">
      <c r="A1246" s="10">
        <v>1185</v>
      </c>
      <c r="D1246" s="2" t="str">
        <f t="shared" si="18"/>
        <v>OK</v>
      </c>
    </row>
    <row r="1247" spans="1:4" x14ac:dyDescent="0.2">
      <c r="A1247" s="5">
        <v>1186</v>
      </c>
      <c r="B1247" s="138">
        <f>'Expenditures 15-22'!F127</f>
        <v>176804</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176804</v>
      </c>
      <c r="C1249" s="2" t="s">
        <v>572</v>
      </c>
      <c r="D1249" s="2" t="str">
        <f t="shared" si="18"/>
        <v>Error?</v>
      </c>
    </row>
    <row r="1250" spans="1:4" x14ac:dyDescent="0.2">
      <c r="A1250" s="5">
        <v>1189</v>
      </c>
      <c r="B1250" s="138">
        <f>'Expenditures 15-22'!F151</f>
        <v>176804</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4432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4432</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4432</v>
      </c>
      <c r="C1258" s="2" t="s">
        <v>572</v>
      </c>
      <c r="D1258" s="2" t="str">
        <f t="shared" si="18"/>
        <v>Error?</v>
      </c>
    </row>
    <row r="1259" spans="1:4" x14ac:dyDescent="0.2">
      <c r="A1259" s="5">
        <v>1198</v>
      </c>
      <c r="B1259" s="138">
        <f>'Expenditures 15-22'!G151</f>
        <v>4432</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501844</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501844</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501844</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501844</v>
      </c>
      <c r="C1288" s="2" t="s">
        <v>572</v>
      </c>
      <c r="D1288" s="2" t="str">
        <f t="shared" si="19"/>
        <v>Error?</v>
      </c>
    </row>
    <row r="1289" spans="1:4" x14ac:dyDescent="0.2">
      <c r="A1289" s="5">
        <v>1228</v>
      </c>
      <c r="B1289" s="138">
        <f>'Expenditures 15-22'!K152</f>
        <v>-33532</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480487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540000</v>
      </c>
      <c r="D1315" s="2" t="str">
        <f t="shared" si="19"/>
        <v>Error?</v>
      </c>
    </row>
    <row r="1316" spans="1:4" x14ac:dyDescent="0.2">
      <c r="A1316" s="5">
        <v>1255</v>
      </c>
      <c r="B1316" s="138">
        <f>'Expenditures 15-22'!H171</f>
        <v>1848</v>
      </c>
      <c r="D1316" s="2" t="str">
        <f t="shared" si="19"/>
        <v>Error?</v>
      </c>
    </row>
    <row r="1317" spans="1:4" x14ac:dyDescent="0.2">
      <c r="A1317" s="5">
        <v>1256</v>
      </c>
      <c r="B1317" s="138">
        <f>'Expenditures 15-22'!H172</f>
        <v>1022335</v>
      </c>
      <c r="C1317" s="2" t="s">
        <v>572</v>
      </c>
      <c r="D1317" s="2" t="str">
        <f t="shared" si="19"/>
        <v>Error?</v>
      </c>
    </row>
    <row r="1318" spans="1:4" x14ac:dyDescent="0.2">
      <c r="A1318" s="5">
        <v>1257</v>
      </c>
      <c r="B1318" s="138">
        <f>'Expenditures 15-22'!H174</f>
        <v>1022335</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480487</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540000</v>
      </c>
      <c r="C1329" s="2" t="s">
        <v>572</v>
      </c>
      <c r="D1329" s="2" t="str">
        <f t="shared" si="19"/>
        <v>Error?</v>
      </c>
    </row>
    <row r="1330" spans="1:4" x14ac:dyDescent="0.2">
      <c r="A1330" s="5">
        <v>1269</v>
      </c>
      <c r="B1330" s="138">
        <f>'Expenditures 15-22'!K171</f>
        <v>1848</v>
      </c>
      <c r="C1330" s="2" t="s">
        <v>572</v>
      </c>
      <c r="D1330" s="2" t="str">
        <f t="shared" si="19"/>
        <v>Error?</v>
      </c>
    </row>
    <row r="1331" spans="1:4" x14ac:dyDescent="0.2">
      <c r="A1331" s="5">
        <v>1270</v>
      </c>
      <c r="B1331" s="138">
        <f>'Expenditures 15-22'!K172</f>
        <v>1022335</v>
      </c>
      <c r="C1331" s="2" t="s">
        <v>572</v>
      </c>
      <c r="D1331" s="2" t="str">
        <f t="shared" si="19"/>
        <v>Error?</v>
      </c>
    </row>
    <row r="1332" spans="1:4" x14ac:dyDescent="0.2">
      <c r="A1332" s="5">
        <v>1271</v>
      </c>
      <c r="B1332" s="138">
        <f>'Expenditures 15-22'!K174</f>
        <v>1022335</v>
      </c>
      <c r="C1332" s="2" t="s">
        <v>572</v>
      </c>
      <c r="D1332" s="2" t="str">
        <f t="shared" si="19"/>
        <v>Error?</v>
      </c>
    </row>
    <row r="1333" spans="1:4" x14ac:dyDescent="0.2">
      <c r="A1333" s="5">
        <v>1272</v>
      </c>
      <c r="B1333" s="138">
        <f>'Expenditures 15-22'!K175</f>
        <v>7744</v>
      </c>
      <c r="C1333" s="2" t="s">
        <v>572</v>
      </c>
      <c r="D1333" s="2" t="str">
        <f t="shared" si="19"/>
        <v>Error?</v>
      </c>
    </row>
    <row r="1334" spans="1:4" x14ac:dyDescent="0.2">
      <c r="A1334" s="10">
        <v>1273</v>
      </c>
      <c r="D1334" s="2" t="str">
        <f t="shared" si="19"/>
        <v>OK</v>
      </c>
    </row>
    <row r="1335" spans="1:4" x14ac:dyDescent="0.2">
      <c r="A1335" s="5">
        <v>1274</v>
      </c>
      <c r="B1335" s="138">
        <f>'Expenditures 15-22'!C182</f>
        <v>138985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138985</v>
      </c>
      <c r="C1339" s="2" t="s">
        <v>572</v>
      </c>
      <c r="D1339" s="2" t="str">
        <f t="shared" si="19"/>
        <v>Error?</v>
      </c>
    </row>
    <row r="1340" spans="1:4" x14ac:dyDescent="0.2">
      <c r="A1340" s="5">
        <v>1279</v>
      </c>
      <c r="B1340" s="138">
        <f>'Expenditures 15-22'!C210</f>
        <v>138985</v>
      </c>
      <c r="C1340" s="2" t="s">
        <v>572</v>
      </c>
      <c r="D1340" s="2" t="str">
        <f t="shared" si="19"/>
        <v>Error?</v>
      </c>
    </row>
    <row r="1341" spans="1:4" x14ac:dyDescent="0.2">
      <c r="A1341" s="5">
        <v>1280</v>
      </c>
      <c r="B1341" s="138">
        <f>'Expenditures 15-22'!D182</f>
        <v>4185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4185</v>
      </c>
      <c r="C1345" s="2" t="s">
        <v>572</v>
      </c>
      <c r="D1345" s="2" t="str">
        <f t="shared" si="20"/>
        <v>Error?</v>
      </c>
    </row>
    <row r="1346" spans="1:4" x14ac:dyDescent="0.2">
      <c r="A1346" s="5">
        <v>1285</v>
      </c>
      <c r="B1346" s="138">
        <f>'Expenditures 15-22'!D210</f>
        <v>4185</v>
      </c>
      <c r="C1346" s="2" t="s">
        <v>572</v>
      </c>
      <c r="D1346" s="2" t="str">
        <f t="shared" si="20"/>
        <v>Error?</v>
      </c>
    </row>
    <row r="1347" spans="1:4" x14ac:dyDescent="0.2">
      <c r="A1347" s="5">
        <v>1286</v>
      </c>
      <c r="B1347" s="138">
        <f>'Expenditures 15-22'!E182</f>
        <v>14352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14352</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14352</v>
      </c>
      <c r="C1353" s="2" t="s">
        <v>572</v>
      </c>
      <c r="D1353" s="2" t="str">
        <f t="shared" si="20"/>
        <v>Error?</v>
      </c>
    </row>
    <row r="1354" spans="1:4" x14ac:dyDescent="0.2">
      <c r="A1354" s="5">
        <v>1293</v>
      </c>
      <c r="B1354" s="138">
        <f>'Expenditures 15-22'!F182</f>
        <v>53615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53615</v>
      </c>
      <c r="C1358" s="2" t="s">
        <v>572</v>
      </c>
      <c r="D1358" s="2" t="str">
        <f t="shared" si="20"/>
        <v>Error?</v>
      </c>
    </row>
    <row r="1359" spans="1:4" x14ac:dyDescent="0.2">
      <c r="A1359" s="5">
        <v>1298</v>
      </c>
      <c r="B1359" s="138">
        <f>'Expenditures 15-22'!F210</f>
        <v>53615</v>
      </c>
      <c r="C1359" s="2" t="s">
        <v>572</v>
      </c>
      <c r="D1359" s="2" t="str">
        <f t="shared" si="20"/>
        <v>Error?</v>
      </c>
    </row>
    <row r="1360" spans="1:4" x14ac:dyDescent="0.2">
      <c r="A1360" s="5">
        <v>1299</v>
      </c>
      <c r="B1360" s="138">
        <f>'Expenditures 15-22'!G182</f>
        <v>230768</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230768</v>
      </c>
      <c r="C1364" s="2" t="s">
        <v>572</v>
      </c>
      <c r="D1364" s="2" t="str">
        <f t="shared" si="20"/>
        <v>Error?</v>
      </c>
    </row>
    <row r="1365" spans="1:4" x14ac:dyDescent="0.2">
      <c r="A1365" s="5">
        <v>1304</v>
      </c>
      <c r="B1365" s="138">
        <f>'Expenditures 15-22'!G210</f>
        <v>230768</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116036</v>
      </c>
      <c r="C1375" s="2" t="s">
        <v>572</v>
      </c>
      <c r="D1375" s="2" t="str">
        <f t="shared" si="20"/>
        <v>Error?</v>
      </c>
    </row>
    <row r="1376" spans="1:4" x14ac:dyDescent="0.2">
      <c r="A1376" s="5">
        <v>1315</v>
      </c>
      <c r="B1376" s="138">
        <f>'Expenditures 15-22'!H210</f>
        <v>116036</v>
      </c>
      <c r="C1376" s="2" t="s">
        <v>572</v>
      </c>
      <c r="D1376" s="2" t="str">
        <f t="shared" si="20"/>
        <v>Error?</v>
      </c>
    </row>
    <row r="1377" spans="1:4" x14ac:dyDescent="0.2">
      <c r="A1377" s="5">
        <v>1316</v>
      </c>
      <c r="B1377" s="138">
        <f>'Expenditures 15-22'!K182</f>
        <v>441905</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441905</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116036</v>
      </c>
      <c r="C1387" s="2" t="s">
        <v>572</v>
      </c>
      <c r="D1387" s="2" t="str">
        <f t="shared" si="20"/>
        <v>Error?</v>
      </c>
    </row>
    <row r="1388" spans="1:4" x14ac:dyDescent="0.2">
      <c r="A1388" s="5">
        <v>1327</v>
      </c>
      <c r="B1388" s="138">
        <f>'Expenditures 15-22'!K210</f>
        <v>557941</v>
      </c>
      <c r="C1388" s="2" t="s">
        <v>572</v>
      </c>
      <c r="D1388" s="2" t="str">
        <f t="shared" si="20"/>
        <v>Error?</v>
      </c>
    </row>
    <row r="1389" spans="1:4" x14ac:dyDescent="0.2">
      <c r="A1389" s="5">
        <v>1328</v>
      </c>
      <c r="B1389" s="138">
        <f>'Expenditures 15-22'!K211</f>
        <v>-258758</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1075</v>
      </c>
      <c r="D1407" s="2" t="str">
        <f t="shared" ref="D1407:D1470" si="21">IF(ISBLANK(B1407),"OK",IF(A1407-B1407=0,"OK","Error?"))</f>
        <v>Error?</v>
      </c>
    </row>
    <row r="1408" spans="1:4" x14ac:dyDescent="0.2">
      <c r="A1408" s="5">
        <v>1347</v>
      </c>
      <c r="B1408" s="138">
        <f>'Expenditures 15-22'!D223</f>
        <v>6918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79113</v>
      </c>
      <c r="C1410" s="2" t="s">
        <v>572</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898</v>
      </c>
      <c r="D1412" s="2" t="str">
        <f t="shared" si="21"/>
        <v>Error?</v>
      </c>
    </row>
    <row r="1413" spans="1:4" x14ac:dyDescent="0.2">
      <c r="A1413" s="5">
        <v>1352</v>
      </c>
      <c r="B1413" s="138">
        <f>'Expenditures 15-22'!D234</f>
        <v>4172</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632</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5702</v>
      </c>
      <c r="C1417" s="2" t="s">
        <v>572</v>
      </c>
      <c r="D1417" s="2" t="str">
        <f t="shared" si="21"/>
        <v>Error?</v>
      </c>
    </row>
    <row r="1418" spans="1:4" x14ac:dyDescent="0.2">
      <c r="A1418" s="5">
        <v>1357</v>
      </c>
      <c r="B1418" s="138">
        <f>'Expenditures 15-22'!D240</f>
        <v>865</v>
      </c>
      <c r="D1418" s="2" t="str">
        <f t="shared" si="21"/>
        <v>Error?</v>
      </c>
    </row>
    <row r="1419" spans="1:4" x14ac:dyDescent="0.2">
      <c r="A1419" s="5">
        <v>1358</v>
      </c>
      <c r="B1419" s="138">
        <f>'Expenditures 15-22'!D241</f>
        <v>3731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4596</v>
      </c>
      <c r="C1421" s="2" t="s">
        <v>572</v>
      </c>
      <c r="D1421" s="2" t="str">
        <f t="shared" si="21"/>
        <v>Error?</v>
      </c>
    </row>
    <row r="1422" spans="1:4" x14ac:dyDescent="0.2">
      <c r="A1422" s="5">
        <v>1361</v>
      </c>
      <c r="B1422" s="138">
        <f>'Expenditures 15-22'!D245</f>
        <v>614</v>
      </c>
      <c r="D1422" s="2" t="str">
        <f t="shared" si="21"/>
        <v>Error?</v>
      </c>
    </row>
    <row r="1423" spans="1:4" x14ac:dyDescent="0.2">
      <c r="A1423" s="5">
        <v>1362</v>
      </c>
      <c r="B1423" s="138">
        <f>'Expenditures 15-22'!D246</f>
        <v>7786</v>
      </c>
      <c r="D1423" s="2" t="str">
        <f t="shared" si="21"/>
        <v>Error?</v>
      </c>
    </row>
    <row r="1424" spans="1:4" x14ac:dyDescent="0.2">
      <c r="A1424" s="5">
        <v>1363</v>
      </c>
      <c r="B1424" s="138">
        <f>'Expenditures 15-22'!D257</f>
        <v>24395</v>
      </c>
      <c r="C1424" s="2" t="s">
        <v>572</v>
      </c>
      <c r="D1424" s="2" t="str">
        <f t="shared" si="21"/>
        <v>Error?</v>
      </c>
    </row>
    <row r="1425" spans="1:4" x14ac:dyDescent="0.2">
      <c r="A1425" s="5">
        <v>1364</v>
      </c>
      <c r="B1425" s="138">
        <f>'Expenditures 15-22'!D259</f>
        <v>15218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15218</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5803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25678</v>
      </c>
      <c r="D1431" s="2" t="str">
        <f t="shared" si="21"/>
        <v>Error?</v>
      </c>
    </row>
    <row r="1432" spans="1:4" x14ac:dyDescent="0.2">
      <c r="A1432" s="5">
        <v>1371</v>
      </c>
      <c r="B1432" s="138">
        <f>'Expenditures 15-22'!D267</f>
        <v>21052</v>
      </c>
      <c r="D1432" s="2" t="str">
        <f t="shared" si="21"/>
        <v>Error?</v>
      </c>
    </row>
    <row r="1433" spans="1:4" x14ac:dyDescent="0.2">
      <c r="A1433" s="5">
        <v>1372</v>
      </c>
      <c r="B1433" s="138">
        <f>'Expenditures 15-22'!D268</f>
        <v>11267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63800</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113711</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196120</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1075</v>
      </c>
      <c r="C1471" s="2" t="s">
        <v>572</v>
      </c>
      <c r="D1471" s="2" t="str">
        <f t="shared" ref="D1471:D1534" si="22">IF(ISBLANK(B1471),"OK",IF(A1471-B1471=0,"OK","Error?"))</f>
        <v>Error?</v>
      </c>
    </row>
    <row r="1472" spans="1:4" x14ac:dyDescent="0.2">
      <c r="A1472" s="5">
        <v>1411</v>
      </c>
      <c r="B1472" s="138">
        <f>'Expenditures 15-22'!K223</f>
        <v>6918</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79113</v>
      </c>
      <c r="C1474" s="2" t="s">
        <v>572</v>
      </c>
      <c r="D1474" s="2" t="str">
        <f t="shared" si="22"/>
        <v>Error?</v>
      </c>
    </row>
    <row r="1475" spans="1:4" x14ac:dyDescent="0.2">
      <c r="A1475" s="5">
        <v>1414</v>
      </c>
      <c r="B1475" s="138">
        <f>'Expenditures 15-22'!K232</f>
        <v>0</v>
      </c>
      <c r="C1475" s="2" t="s">
        <v>572</v>
      </c>
      <c r="D1475" s="2" t="str">
        <f t="shared" si="22"/>
        <v>Error?</v>
      </c>
    </row>
    <row r="1476" spans="1:4" x14ac:dyDescent="0.2">
      <c r="A1476" s="5">
        <v>1415</v>
      </c>
      <c r="B1476" s="138">
        <f>'Expenditures 15-22'!K233</f>
        <v>898</v>
      </c>
      <c r="C1476" s="2" t="s">
        <v>572</v>
      </c>
      <c r="D1476" s="2" t="str">
        <f t="shared" si="22"/>
        <v>Error?</v>
      </c>
    </row>
    <row r="1477" spans="1:4" x14ac:dyDescent="0.2">
      <c r="A1477" s="5">
        <v>1416</v>
      </c>
      <c r="B1477" s="138">
        <f>'Expenditures 15-22'!K234</f>
        <v>4172</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632</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5702</v>
      </c>
      <c r="C1481" s="2" t="s">
        <v>572</v>
      </c>
      <c r="D1481" s="2" t="str">
        <f t="shared" si="22"/>
        <v>Error?</v>
      </c>
    </row>
    <row r="1482" spans="1:4" x14ac:dyDescent="0.2">
      <c r="A1482" s="5">
        <v>1421</v>
      </c>
      <c r="B1482" s="138">
        <f>'Expenditures 15-22'!K240</f>
        <v>865</v>
      </c>
      <c r="C1482" s="2" t="s">
        <v>572</v>
      </c>
      <c r="D1482" s="2" t="str">
        <f t="shared" si="22"/>
        <v>Error?</v>
      </c>
    </row>
    <row r="1483" spans="1:4" x14ac:dyDescent="0.2">
      <c r="A1483" s="5">
        <v>1422</v>
      </c>
      <c r="B1483" s="138">
        <f>'Expenditures 15-22'!K241</f>
        <v>3731</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4596</v>
      </c>
      <c r="C1485" s="2" t="s">
        <v>572</v>
      </c>
      <c r="D1485" s="2" t="str">
        <f t="shared" si="22"/>
        <v>Error?</v>
      </c>
    </row>
    <row r="1486" spans="1:4" x14ac:dyDescent="0.2">
      <c r="A1486" s="5">
        <v>1425</v>
      </c>
      <c r="B1486" s="138">
        <f>'Expenditures 15-22'!K245</f>
        <v>614</v>
      </c>
      <c r="C1486" s="2" t="s">
        <v>572</v>
      </c>
      <c r="D1486" s="2" t="str">
        <f t="shared" si="22"/>
        <v>Error?</v>
      </c>
    </row>
    <row r="1487" spans="1:4" x14ac:dyDescent="0.2">
      <c r="A1487" s="5">
        <v>1426</v>
      </c>
      <c r="B1487" s="138">
        <f>'Expenditures 15-22'!K246</f>
        <v>7786</v>
      </c>
      <c r="C1487" s="2" t="s">
        <v>572</v>
      </c>
      <c r="D1487" s="2" t="str">
        <f t="shared" si="22"/>
        <v>Error?</v>
      </c>
    </row>
    <row r="1488" spans="1:4" x14ac:dyDescent="0.2">
      <c r="A1488" s="5">
        <v>1427</v>
      </c>
      <c r="B1488" s="138">
        <f>'Expenditures 15-22'!K257</f>
        <v>24395</v>
      </c>
      <c r="C1488" s="2" t="s">
        <v>572</v>
      </c>
      <c r="D1488" s="2" t="str">
        <f t="shared" si="22"/>
        <v>Error?</v>
      </c>
    </row>
    <row r="1489" spans="1:4" x14ac:dyDescent="0.2">
      <c r="A1489" s="5">
        <v>1428</v>
      </c>
      <c r="B1489" s="138">
        <f>'Expenditures 15-22'!K259</f>
        <v>15218</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15218</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5803</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25678</v>
      </c>
      <c r="C1495" s="2" t="s">
        <v>572</v>
      </c>
      <c r="D1495" s="2" t="str">
        <f t="shared" si="22"/>
        <v>Error?</v>
      </c>
    </row>
    <row r="1496" spans="1:4" x14ac:dyDescent="0.2">
      <c r="A1496" s="5">
        <v>1435</v>
      </c>
      <c r="B1496" s="138">
        <f>'Expenditures 15-22'!K267</f>
        <v>21052</v>
      </c>
      <c r="C1496" s="2" t="s">
        <v>572</v>
      </c>
      <c r="D1496" s="2" t="str">
        <f t="shared" si="22"/>
        <v>Error?</v>
      </c>
    </row>
    <row r="1497" spans="1:4" x14ac:dyDescent="0.2">
      <c r="A1497" s="5">
        <v>1436</v>
      </c>
      <c r="B1497" s="138">
        <f>'Expenditures 15-22'!K268</f>
        <v>11267</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63800</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113711</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196120</v>
      </c>
      <c r="C1517" s="2" t="s">
        <v>572</v>
      </c>
      <c r="D1517" s="2" t="str">
        <f t="shared" si="22"/>
        <v>Error?</v>
      </c>
    </row>
    <row r="1518" spans="1:4" x14ac:dyDescent="0.2">
      <c r="A1518" s="5">
        <v>1457</v>
      </c>
      <c r="B1518" s="138">
        <f>'Expenditures 15-22'!K296</f>
        <v>156859</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0</v>
      </c>
      <c r="C1559" s="2" t="s">
        <v>572</v>
      </c>
      <c r="D1559" s="2" t="str">
        <f t="shared" si="23"/>
        <v>Error?</v>
      </c>
    </row>
    <row r="1560" spans="1:4" x14ac:dyDescent="0.2">
      <c r="A1560" s="5">
        <v>1499</v>
      </c>
      <c r="B1560" s="138">
        <f>'Expenditures 15-22'!K312</f>
        <v>0</v>
      </c>
      <c r="C1560" s="2" t="s">
        <v>572</v>
      </c>
      <c r="D1560" s="2" t="str">
        <f t="shared" si="23"/>
        <v>Error?</v>
      </c>
    </row>
    <row r="1561" spans="1:4" x14ac:dyDescent="0.2">
      <c r="A1561" s="5">
        <v>1500</v>
      </c>
      <c r="B1561" s="138">
        <f>'Expenditures 15-22'!K313</f>
        <v>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-545360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-875069</v>
      </c>
      <c r="C1630" s="2" t="s">
        <v>572</v>
      </c>
      <c r="D1630" s="2" t="str">
        <f t="shared" si="24"/>
        <v>Error?</v>
      </c>
    </row>
    <row r="1631" spans="1:4" x14ac:dyDescent="0.2">
      <c r="A1631" s="5">
        <v>1570</v>
      </c>
      <c r="B1631" s="138">
        <f>'Acct Summary 7-8'!D79</f>
        <v>-66468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-100000</v>
      </c>
      <c r="C1644" s="2" t="s">
        <v>572</v>
      </c>
      <c r="D1644" s="2" t="str">
        <f t="shared" si="24"/>
        <v>Error?</v>
      </c>
    </row>
    <row r="1645" spans="1:4" x14ac:dyDescent="0.2">
      <c r="A1645" s="5">
        <v>1584</v>
      </c>
      <c r="B1645" s="138">
        <f>'Acct Summary 7-8'!E79</f>
        <v>500025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507769</v>
      </c>
      <c r="C1658" s="2" t="s">
        <v>572</v>
      </c>
      <c r="D1658" s="2" t="str">
        <f t="shared" si="24"/>
        <v>Error?</v>
      </c>
    </row>
    <row r="1659" spans="1:4" x14ac:dyDescent="0.2">
      <c r="A1659" s="5">
        <v>1598</v>
      </c>
      <c r="B1659" s="138">
        <f>'Acct Summary 7-8'!F79</f>
        <v>242839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214849</v>
      </c>
      <c r="C1672" s="2" t="s">
        <v>572</v>
      </c>
      <c r="D1672" s="2" t="str">
        <f t="shared" si="25"/>
        <v>Error?</v>
      </c>
    </row>
    <row r="1673" spans="1:4" x14ac:dyDescent="0.2">
      <c r="A1673" s="5">
        <v>1612</v>
      </c>
      <c r="B1673" s="138">
        <f>'Acct Summary 7-8'!G79</f>
        <v>716112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872971</v>
      </c>
      <c r="C1686" s="2" t="s">
        <v>572</v>
      </c>
      <c r="D1686" s="2" t="str">
        <f t="shared" si="25"/>
        <v>Error?</v>
      </c>
    </row>
    <row r="1687" spans="1:4" x14ac:dyDescent="0.2">
      <c r="A1687" s="5">
        <v>1626</v>
      </c>
      <c r="B1687" s="138">
        <f>'Acct Summary 7-8'!H79</f>
        <v>-1453865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-1453865</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2545843</v>
      </c>
      <c r="C1744" s="2" t="s">
        <v>572</v>
      </c>
      <c r="D1744" s="2" t="str">
        <f t="shared" si="26"/>
        <v>Error?</v>
      </c>
    </row>
    <row r="1745" spans="1:5" x14ac:dyDescent="0.2">
      <c r="A1745" s="5">
        <v>1684</v>
      </c>
      <c r="B1745" s="138">
        <f>'Tax Sched 23'!B5</f>
        <v>399034</v>
      </c>
      <c r="C1745" s="2" t="s">
        <v>572</v>
      </c>
      <c r="D1745" s="2" t="str">
        <f t="shared" si="26"/>
        <v>Error?</v>
      </c>
    </row>
    <row r="1746" spans="1:5" x14ac:dyDescent="0.2">
      <c r="A1746" s="5">
        <v>1685</v>
      </c>
      <c r="B1746" s="138">
        <f>'Tax Sched 23'!B6</f>
        <v>1029904</v>
      </c>
      <c r="C1746" s="2" t="s">
        <v>572</v>
      </c>
      <c r="D1746" s="2" t="str">
        <f t="shared" si="26"/>
        <v>Error?</v>
      </c>
    </row>
    <row r="1747" spans="1:5" x14ac:dyDescent="0.2">
      <c r="A1747" s="5">
        <v>1686</v>
      </c>
      <c r="B1747" s="138">
        <f>'Tax Sched 23'!B7</f>
        <v>159615</v>
      </c>
      <c r="C1747" s="2" t="s">
        <v>572</v>
      </c>
      <c r="D1747" s="2" t="str">
        <f t="shared" si="26"/>
        <v>Error?</v>
      </c>
    </row>
    <row r="1748" spans="1:5" x14ac:dyDescent="0.2">
      <c r="A1748" s="5">
        <v>1687</v>
      </c>
      <c r="B1748" s="138">
        <f>'Tax Sched 23'!B8</f>
        <v>156352</v>
      </c>
      <c r="C1748" s="2" t="s">
        <v>572</v>
      </c>
      <c r="D1748" s="2" t="str">
        <f t="shared" si="26"/>
        <v>Error?</v>
      </c>
    </row>
    <row r="1749" spans="1:5" x14ac:dyDescent="0.2">
      <c r="A1749" s="5">
        <v>1688</v>
      </c>
      <c r="B1749" s="138">
        <f>'Tax Sched 23'!B10</f>
        <v>39901</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532397</v>
      </c>
      <c r="C1752" s="2" t="s">
        <v>572</v>
      </c>
      <c r="D1752" s="2" t="str">
        <f t="shared" si="26"/>
        <v>Error?</v>
      </c>
    </row>
    <row r="1753" spans="1:5" x14ac:dyDescent="0.2">
      <c r="A1753" s="5">
        <v>1692</v>
      </c>
      <c r="B1753" s="138">
        <f>'Tax Sched 23'!B12</f>
        <v>39901</v>
      </c>
      <c r="C1753" s="2" t="s">
        <v>572</v>
      </c>
      <c r="D1753" s="2" t="str">
        <f t="shared" si="26"/>
        <v>Error?</v>
      </c>
    </row>
    <row r="1754" spans="1:5" x14ac:dyDescent="0.2">
      <c r="A1754" s="5">
        <v>1693</v>
      </c>
      <c r="B1754" s="138">
        <f>'Tax Sched 23'!B14</f>
        <v>31925</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5152140</v>
      </c>
      <c r="C1759" s="2" t="s">
        <v>572</v>
      </c>
      <c r="D1759" s="2" t="str">
        <f t="shared" si="26"/>
        <v>Error?</v>
      </c>
    </row>
    <row r="1760" spans="1:5" x14ac:dyDescent="0.2">
      <c r="A1760" s="5">
        <v>1699</v>
      </c>
      <c r="B1760" s="138">
        <f>'Tax Sched 23'!D4</f>
        <v>1830962</v>
      </c>
      <c r="C1760" s="2" t="s">
        <v>572</v>
      </c>
      <c r="D1760" s="2" t="str">
        <f t="shared" si="26"/>
        <v>Error?</v>
      </c>
    </row>
    <row r="1761" spans="1:5" x14ac:dyDescent="0.2">
      <c r="A1761" s="5">
        <v>1700</v>
      </c>
      <c r="B1761" s="138">
        <f>'Tax Sched 23'!D5</f>
        <v>286983</v>
      </c>
      <c r="C1761" s="2" t="s">
        <v>572</v>
      </c>
      <c r="D1761" s="2" t="str">
        <f t="shared" si="26"/>
        <v>Error?</v>
      </c>
    </row>
    <row r="1762" spans="1:5" s="8" customFormat="1" x14ac:dyDescent="0.2">
      <c r="A1762" s="5">
        <v>1701</v>
      </c>
      <c r="B1762" s="138">
        <f>'Tax Sched 23'!D6</f>
        <v>746103</v>
      </c>
      <c r="C1762" s="2" t="s">
        <v>572</v>
      </c>
      <c r="D1762" s="2" t="str">
        <f t="shared" si="26"/>
        <v>Error?</v>
      </c>
      <c r="E1762" s="9"/>
    </row>
    <row r="1763" spans="1:5" x14ac:dyDescent="0.2">
      <c r="A1763" s="5">
        <v>1702</v>
      </c>
      <c r="B1763" s="138">
        <f>'Tax Sched 23'!D7</f>
        <v>114795</v>
      </c>
      <c r="C1763" s="2" t="s">
        <v>572</v>
      </c>
      <c r="D1763" s="2" t="str">
        <f t="shared" si="26"/>
        <v>Error?</v>
      </c>
    </row>
    <row r="1764" spans="1:5" x14ac:dyDescent="0.2">
      <c r="A1764" s="5">
        <v>1703</v>
      </c>
      <c r="B1764" s="138">
        <f>'Tax Sched 23'!D8</f>
        <v>112383</v>
      </c>
      <c r="C1764" s="2" t="s">
        <v>572</v>
      </c>
      <c r="D1764" s="2" t="str">
        <f t="shared" si="26"/>
        <v>Error?</v>
      </c>
    </row>
    <row r="1765" spans="1:5" x14ac:dyDescent="0.2">
      <c r="A1765" s="5">
        <v>1704</v>
      </c>
      <c r="B1765" s="138">
        <f>'Tax Sched 23'!D10</f>
        <v>28696</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382721</v>
      </c>
      <c r="C1768" s="2" t="s">
        <v>572</v>
      </c>
      <c r="D1768" s="2" t="str">
        <f t="shared" si="26"/>
        <v>Error?</v>
      </c>
    </row>
    <row r="1769" spans="1:5" x14ac:dyDescent="0.2">
      <c r="A1769" s="5">
        <v>1708</v>
      </c>
      <c r="B1769" s="138">
        <f>'Tax Sched 23'!D12</f>
        <v>28696</v>
      </c>
      <c r="C1769" s="2" t="s">
        <v>572</v>
      </c>
      <c r="D1769" s="2" t="str">
        <f t="shared" si="26"/>
        <v>Error?</v>
      </c>
    </row>
    <row r="1770" spans="1:5" x14ac:dyDescent="0.2">
      <c r="A1770" s="5">
        <v>1709</v>
      </c>
      <c r="B1770" s="138">
        <f>'Tax Sched 23'!D14</f>
        <v>22961</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3710478</v>
      </c>
      <c r="C1775" s="2" t="s">
        <v>572</v>
      </c>
      <c r="D1775" s="2" t="str">
        <f t="shared" si="26"/>
        <v>Error?</v>
      </c>
    </row>
    <row r="1776" spans="1:5" x14ac:dyDescent="0.2">
      <c r="A1776" s="5">
        <v>1715</v>
      </c>
      <c r="B1776" s="138">
        <f>'Tax Sched 23'!C4</f>
        <v>714881</v>
      </c>
      <c r="D1776" s="2" t="str">
        <f t="shared" si="26"/>
        <v>Error?</v>
      </c>
    </row>
    <row r="1777" spans="1:4" x14ac:dyDescent="0.2">
      <c r="A1777" s="5">
        <v>1716</v>
      </c>
      <c r="B1777" s="138">
        <f>'Tax Sched 23'!C5</f>
        <v>112051</v>
      </c>
      <c r="D1777" s="2" t="str">
        <f t="shared" si="26"/>
        <v>Error?</v>
      </c>
    </row>
    <row r="1778" spans="1:4" x14ac:dyDescent="0.2">
      <c r="A1778" s="5">
        <v>1717</v>
      </c>
      <c r="B1778" s="138">
        <f>'Tax Sched 23'!C6</f>
        <v>283801</v>
      </c>
      <c r="D1778" s="2" t="str">
        <f t="shared" si="26"/>
        <v>Error?</v>
      </c>
    </row>
    <row r="1779" spans="1:4" x14ac:dyDescent="0.2">
      <c r="A1779" s="5">
        <v>1718</v>
      </c>
      <c r="B1779" s="138">
        <f>'Tax Sched 23'!C7</f>
        <v>44820</v>
      </c>
      <c r="D1779" s="2" t="str">
        <f t="shared" si="26"/>
        <v>Error?</v>
      </c>
    </row>
    <row r="1780" spans="1:4" x14ac:dyDescent="0.2">
      <c r="A1780" s="5">
        <v>1719</v>
      </c>
      <c r="B1780" s="138">
        <f>'Tax Sched 23'!C8</f>
        <v>43969</v>
      </c>
      <c r="D1780" s="2" t="str">
        <f t="shared" si="26"/>
        <v>Error?</v>
      </c>
    </row>
    <row r="1781" spans="1:4" x14ac:dyDescent="0.2">
      <c r="A1781" s="5">
        <v>1720</v>
      </c>
      <c r="B1781" s="138">
        <f>'Tax Sched 23'!C10</f>
        <v>11205</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149676</v>
      </c>
      <c r="D1784" s="2" t="str">
        <f t="shared" si="26"/>
        <v>Error?</v>
      </c>
    </row>
    <row r="1785" spans="1:4" x14ac:dyDescent="0.2">
      <c r="A1785" s="5">
        <v>1724</v>
      </c>
      <c r="B1785" s="138">
        <f>'Tax Sched 23'!C12</f>
        <v>11205</v>
      </c>
      <c r="D1785" s="2" t="str">
        <f t="shared" si="26"/>
        <v>Error?</v>
      </c>
    </row>
    <row r="1786" spans="1:4" x14ac:dyDescent="0.2">
      <c r="A1786" s="5">
        <v>1725</v>
      </c>
      <c r="B1786" s="138">
        <f>'Tax Sched 23'!C14</f>
        <v>8964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1441662</v>
      </c>
      <c r="C1791" s="2" t="s">
        <v>572</v>
      </c>
      <c r="D1791" s="2" t="str">
        <f t="shared" ref="D1791:D1854" si="27">IF(ISBLANK(B1791),"OK",IF(A1791-B1791=0,"OK","Error?"))</f>
        <v>Error?</v>
      </c>
    </row>
    <row r="1792" spans="1:4" x14ac:dyDescent="0.2">
      <c r="A1792" s="5">
        <v>1731</v>
      </c>
      <c r="B1792" s="138">
        <f>'Tax Sched 23'!F4</f>
        <v>1881132</v>
      </c>
      <c r="C1792" s="2" t="s">
        <v>572</v>
      </c>
      <c r="D1792" s="2" t="str">
        <f t="shared" si="27"/>
        <v>Error?</v>
      </c>
    </row>
    <row r="1793" spans="1:4" x14ac:dyDescent="0.2">
      <c r="A1793" s="5">
        <v>1732</v>
      </c>
      <c r="B1793" s="138">
        <f>'Tax Sched 23'!F5</f>
        <v>294848</v>
      </c>
      <c r="C1793" s="2" t="s">
        <v>572</v>
      </c>
      <c r="D1793" s="2" t="str">
        <f t="shared" si="27"/>
        <v>Error?</v>
      </c>
    </row>
    <row r="1794" spans="1:4" x14ac:dyDescent="0.2">
      <c r="A1794" s="5">
        <v>1733</v>
      </c>
      <c r="B1794" s="138">
        <f>'Tax Sched 23'!F6</f>
        <v>746792</v>
      </c>
      <c r="C1794" s="2" t="s">
        <v>572</v>
      </c>
      <c r="D1794" s="2" t="str">
        <f t="shared" si="27"/>
        <v>Error?</v>
      </c>
    </row>
    <row r="1795" spans="1:4" x14ac:dyDescent="0.2">
      <c r="A1795" s="5">
        <v>1734</v>
      </c>
      <c r="B1795" s="138">
        <f>'Tax Sched 23'!F7</f>
        <v>117939</v>
      </c>
      <c r="C1795" s="2" t="s">
        <v>572</v>
      </c>
      <c r="D1795" s="2" t="str">
        <f t="shared" si="27"/>
        <v>Error?</v>
      </c>
    </row>
    <row r="1796" spans="1:4" x14ac:dyDescent="0.2">
      <c r="A1796" s="5">
        <v>1735</v>
      </c>
      <c r="B1796" s="138">
        <f>'Tax Sched 23'!F8</f>
        <v>115698</v>
      </c>
      <c r="C1796" s="2" t="s">
        <v>572</v>
      </c>
      <c r="D1796" s="2" t="str">
        <f t="shared" si="27"/>
        <v>Error?</v>
      </c>
    </row>
    <row r="1797" spans="1:4" x14ac:dyDescent="0.2">
      <c r="A1797" s="5">
        <v>1736</v>
      </c>
      <c r="B1797" s="138">
        <f>'Tax Sched 23'!F10</f>
        <v>29485</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393859</v>
      </c>
      <c r="C1800" s="2" t="s">
        <v>572</v>
      </c>
      <c r="D1800" s="2" t="str">
        <f t="shared" si="27"/>
        <v>Error?</v>
      </c>
    </row>
    <row r="1801" spans="1:4" x14ac:dyDescent="0.2">
      <c r="A1801" s="5">
        <v>1740</v>
      </c>
      <c r="B1801" s="138">
        <f>'Tax Sched 23'!F12</f>
        <v>29485</v>
      </c>
      <c r="C1801" s="2" t="s">
        <v>572</v>
      </c>
      <c r="D1801" s="2" t="str">
        <f t="shared" si="27"/>
        <v>Error?</v>
      </c>
    </row>
    <row r="1802" spans="1:4" x14ac:dyDescent="0.2">
      <c r="A1802" s="5">
        <v>1741</v>
      </c>
      <c r="B1802" s="138">
        <f>'Tax Sched 23'!F14</f>
        <v>23588</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3793577</v>
      </c>
      <c r="C1807" s="2" t="s">
        <v>572</v>
      </c>
      <c r="D1807" s="2" t="str">
        <f t="shared" si="27"/>
        <v>Error?</v>
      </c>
    </row>
    <row r="1808" spans="1:4" x14ac:dyDescent="0.2">
      <c r="A1808" s="5">
        <v>1747</v>
      </c>
      <c r="B1808" s="138">
        <f>'Tax Sched 23'!E4</f>
        <v>2596013</v>
      </c>
      <c r="D1808" s="2" t="str">
        <f t="shared" si="27"/>
        <v>Error?</v>
      </c>
    </row>
    <row r="1809" spans="1:4" x14ac:dyDescent="0.2">
      <c r="A1809" s="5">
        <v>1748</v>
      </c>
      <c r="B1809" s="138">
        <f>'Tax Sched 23'!E5</f>
        <v>406899</v>
      </c>
      <c r="D1809" s="2" t="str">
        <f t="shared" si="27"/>
        <v>Error?</v>
      </c>
    </row>
    <row r="1810" spans="1:4" x14ac:dyDescent="0.2">
      <c r="A1810" s="5">
        <v>1749</v>
      </c>
      <c r="B1810" s="138">
        <f>'Tax Sched 23'!E6</f>
        <v>1030593</v>
      </c>
      <c r="D1810" s="2" t="str">
        <f t="shared" si="27"/>
        <v>Error?</v>
      </c>
    </row>
    <row r="1811" spans="1:4" x14ac:dyDescent="0.2">
      <c r="A1811" s="5">
        <v>1750</v>
      </c>
      <c r="B1811" s="138">
        <f>'Tax Sched 23'!E7</f>
        <v>162759</v>
      </c>
      <c r="D1811" s="2" t="str">
        <f t="shared" si="27"/>
        <v>Error?</v>
      </c>
    </row>
    <row r="1812" spans="1:4" x14ac:dyDescent="0.2">
      <c r="A1812" s="5">
        <v>1751</v>
      </c>
      <c r="B1812" s="138">
        <f>'Tax Sched 23'!E8</f>
        <v>159667</v>
      </c>
      <c r="D1812" s="2" t="str">
        <f t="shared" si="27"/>
        <v>Error?</v>
      </c>
    </row>
    <row r="1813" spans="1:4" x14ac:dyDescent="0.2">
      <c r="A1813" s="5">
        <v>1752</v>
      </c>
      <c r="B1813" s="138">
        <f>'Tax Sched 23'!E10</f>
        <v>40690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543535</v>
      </c>
      <c r="D1816" s="2" t="str">
        <f t="shared" si="27"/>
        <v>Error?</v>
      </c>
    </row>
    <row r="1817" spans="1:4" x14ac:dyDescent="0.2">
      <c r="A1817" s="5">
        <v>1756</v>
      </c>
      <c r="B1817" s="138">
        <f>'Tax Sched 23'!E12</f>
        <v>40690</v>
      </c>
      <c r="D1817" s="2" t="str">
        <f t="shared" si="27"/>
        <v>Error?</v>
      </c>
    </row>
    <row r="1818" spans="1:4" x14ac:dyDescent="0.2">
      <c r="A1818" s="5">
        <v>1757</v>
      </c>
      <c r="B1818" s="138">
        <f>'Tax Sched 23'!E14</f>
        <v>32552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5235239</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520000</v>
      </c>
      <c r="D1834" s="2" t="str">
        <f t="shared" si="27"/>
        <v>Error?</v>
      </c>
    </row>
    <row r="1835" spans="1:4" x14ac:dyDescent="0.2">
      <c r="A1835" s="5">
        <v>1774</v>
      </c>
      <c r="B1835" s="138">
        <f>'Short-Term Long-Term Debt 24'!C18</f>
        <v>80000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600000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400000</v>
      </c>
      <c r="D1848" s="2" t="str">
        <f t="shared" si="27"/>
        <v>Error?</v>
      </c>
    </row>
    <row r="1849" spans="1:4" x14ac:dyDescent="0.2">
      <c r="A1849" s="5">
        <v>1788</v>
      </c>
      <c r="B1849" s="138">
        <f>'Short-Term Long-Term Debt 24'!D18</f>
        <v>100000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500000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520000</v>
      </c>
      <c r="D1862" s="2" t="str">
        <f t="shared" si="28"/>
        <v>Error?</v>
      </c>
    </row>
    <row r="1863" spans="1:4" x14ac:dyDescent="0.2">
      <c r="A1863" s="5">
        <v>1802</v>
      </c>
      <c r="B1863" s="138">
        <f>'Short-Term Long-Term Debt 24'!E18</f>
        <v>80000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600000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400000</v>
      </c>
      <c r="C1876" s="2" t="s">
        <v>572</v>
      </c>
      <c r="D1876" s="2" t="str">
        <f t="shared" si="28"/>
        <v>Error?</v>
      </c>
    </row>
    <row r="1877" spans="1:4" x14ac:dyDescent="0.2">
      <c r="A1877" s="5">
        <v>1816</v>
      </c>
      <c r="B1877" s="138">
        <f>'Short-Term Long-Term Debt 24'!F18</f>
        <v>100000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500000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11169101</v>
      </c>
      <c r="C1939" s="2" t="s">
        <v>572</v>
      </c>
      <c r="D1939" s="2" t="str">
        <f t="shared" si="29"/>
        <v>Error?</v>
      </c>
    </row>
    <row r="1940" spans="1:5" x14ac:dyDescent="0.2">
      <c r="A1940" s="5">
        <v>1879</v>
      </c>
      <c r="B1940" s="138">
        <f>'Short-Term Long-Term Debt 24'!F49</f>
        <v>230768</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31925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31925</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31925</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1359576</v>
      </c>
      <c r="D2008" s="2" t="str">
        <f t="shared" si="30"/>
        <v>Error?</v>
      </c>
    </row>
    <row r="2009" spans="1:4" x14ac:dyDescent="0.2">
      <c r="A2009" s="5">
        <v>1948</v>
      </c>
      <c r="B2009" s="138">
        <f>'Cap Outlay Deprec 26'!C8</f>
        <v>16143493</v>
      </c>
      <c r="D2009" s="2" t="str">
        <f t="shared" si="30"/>
        <v>Error?</v>
      </c>
    </row>
    <row r="2010" spans="1:4" x14ac:dyDescent="0.2">
      <c r="A2010" s="5">
        <v>1949</v>
      </c>
      <c r="B2010" s="138">
        <f>'Cap Outlay Deprec 26'!C10</f>
        <v>2621392</v>
      </c>
      <c r="D2010" s="2" t="str">
        <f t="shared" si="30"/>
        <v>Error?</v>
      </c>
    </row>
    <row r="2011" spans="1:4" x14ac:dyDescent="0.2">
      <c r="A2011" s="5">
        <v>1950</v>
      </c>
      <c r="B2011" s="138">
        <f>'Cap Outlay Deprec 26'!C12</f>
        <v>1926022</v>
      </c>
      <c r="D2011" s="2" t="str">
        <f t="shared" si="30"/>
        <v>Error?</v>
      </c>
    </row>
    <row r="2012" spans="1:4" x14ac:dyDescent="0.2">
      <c r="A2012" s="5">
        <v>1951</v>
      </c>
      <c r="B2012" s="138">
        <f>'Cap Outlay Deprec 26'!C13</f>
        <v>1301992</v>
      </c>
      <c r="D2012" s="2" t="str">
        <f t="shared" si="30"/>
        <v>Error?</v>
      </c>
    </row>
    <row r="2013" spans="1:4" x14ac:dyDescent="0.2">
      <c r="A2013" s="5">
        <v>1952</v>
      </c>
      <c r="B2013" s="138">
        <f>'Cap Outlay Deprec 26'!C16</f>
        <v>23352475</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241879</v>
      </c>
      <c r="D2018" s="2" t="str">
        <f t="shared" si="30"/>
        <v>Error?</v>
      </c>
    </row>
    <row r="2019" spans="1:4" x14ac:dyDescent="0.2">
      <c r="A2019" s="5">
        <v>1958</v>
      </c>
      <c r="B2019" s="138">
        <f>'Cap Outlay Deprec 26'!D16</f>
        <v>241879</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572</v>
      </c>
      <c r="D2025" s="2" t="str">
        <f t="shared" si="30"/>
        <v>Error?</v>
      </c>
    </row>
    <row r="2026" spans="1:4" x14ac:dyDescent="0.2">
      <c r="A2026" s="5">
        <v>1965</v>
      </c>
      <c r="B2026" s="138">
        <f>'Cap Outlay Deprec 26'!F5</f>
        <v>1359576</v>
      </c>
      <c r="C2026" s="2" t="s">
        <v>572</v>
      </c>
      <c r="D2026" s="2" t="str">
        <f t="shared" si="30"/>
        <v>Error?</v>
      </c>
    </row>
    <row r="2027" spans="1:4" x14ac:dyDescent="0.2">
      <c r="A2027" s="5">
        <v>1966</v>
      </c>
      <c r="B2027" s="138">
        <f>'Cap Outlay Deprec 26'!F8</f>
        <v>16143493</v>
      </c>
      <c r="C2027" s="2" t="s">
        <v>572</v>
      </c>
      <c r="D2027" s="2" t="str">
        <f t="shared" si="30"/>
        <v>Error?</v>
      </c>
    </row>
    <row r="2028" spans="1:4" x14ac:dyDescent="0.2">
      <c r="A2028" s="5">
        <v>1967</v>
      </c>
      <c r="B2028" s="138">
        <f>'Cap Outlay Deprec 26'!F10</f>
        <v>2621392</v>
      </c>
      <c r="C2028" s="2" t="s">
        <v>572</v>
      </c>
      <c r="D2028" s="2" t="str">
        <f t="shared" si="30"/>
        <v>Error?</v>
      </c>
    </row>
    <row r="2029" spans="1:4" x14ac:dyDescent="0.2">
      <c r="A2029" s="5">
        <v>1968</v>
      </c>
      <c r="B2029" s="138">
        <f>'Cap Outlay Deprec 26'!F12</f>
        <v>1926022</v>
      </c>
      <c r="C2029" s="2" t="s">
        <v>572</v>
      </c>
      <c r="D2029" s="2" t="str">
        <f t="shared" si="30"/>
        <v>Error?</v>
      </c>
    </row>
    <row r="2030" spans="1:4" x14ac:dyDescent="0.2">
      <c r="A2030" s="5">
        <v>1969</v>
      </c>
      <c r="B2030" s="138">
        <f>'Cap Outlay Deprec 26'!F13</f>
        <v>1543871</v>
      </c>
      <c r="C2030" s="2" t="s">
        <v>572</v>
      </c>
      <c r="D2030" s="2" t="str">
        <f t="shared" si="30"/>
        <v>Error?</v>
      </c>
    </row>
    <row r="2031" spans="1:4" x14ac:dyDescent="0.2">
      <c r="A2031" s="5">
        <v>1970</v>
      </c>
      <c r="B2031" s="138">
        <f>'Cap Outlay Deprec 26'!F16</f>
        <v>23594354</v>
      </c>
      <c r="C2031" s="2" t="s">
        <v>572</v>
      </c>
      <c r="D2031" s="2" t="str">
        <f t="shared" si="30"/>
        <v>Error?</v>
      </c>
    </row>
    <row r="2032" spans="1:4" x14ac:dyDescent="0.2">
      <c r="A2032" s="10">
        <v>1971</v>
      </c>
      <c r="D2032" s="2" t="str">
        <f t="shared" si="30"/>
        <v>OK</v>
      </c>
    </row>
    <row r="2033" spans="1:4" x14ac:dyDescent="0.2">
      <c r="A2033" s="5">
        <v>1972</v>
      </c>
      <c r="B2033" s="138">
        <f>'Cap Outlay Deprec 26'!H8</f>
        <v>5808849</v>
      </c>
      <c r="D2033" s="2" t="str">
        <f t="shared" si="30"/>
        <v>Error?</v>
      </c>
    </row>
    <row r="2034" spans="1:4" x14ac:dyDescent="0.2">
      <c r="A2034" s="5">
        <v>1973</v>
      </c>
      <c r="B2034" s="138">
        <f>'Cap Outlay Deprec 26'!H10</f>
        <v>958740</v>
      </c>
      <c r="D2034" s="2" t="str">
        <f t="shared" si="30"/>
        <v>Error?</v>
      </c>
    </row>
    <row r="2035" spans="1:4" x14ac:dyDescent="0.2">
      <c r="A2035" s="5">
        <v>1974</v>
      </c>
      <c r="B2035" s="138">
        <f>'Cap Outlay Deprec 26'!H12</f>
        <v>1683792</v>
      </c>
      <c r="D2035" s="2" t="str">
        <f t="shared" si="30"/>
        <v>Error?</v>
      </c>
    </row>
    <row r="2036" spans="1:4" x14ac:dyDescent="0.2">
      <c r="A2036" s="5">
        <v>1975</v>
      </c>
      <c r="B2036" s="138">
        <f>'Cap Outlay Deprec 26'!H13</f>
        <v>1005969</v>
      </c>
      <c r="D2036" s="2" t="str">
        <f t="shared" si="30"/>
        <v>Error?</v>
      </c>
    </row>
    <row r="2037" spans="1:4" x14ac:dyDescent="0.2">
      <c r="A2037" s="5">
        <v>1976</v>
      </c>
      <c r="B2037" s="138">
        <f>'Cap Outlay Deprec 26'!H16</f>
        <v>9457350</v>
      </c>
      <c r="C2037" s="2" t="s">
        <v>572</v>
      </c>
      <c r="D2037" s="2" t="str">
        <f t="shared" si="30"/>
        <v>Error?</v>
      </c>
    </row>
    <row r="2038" spans="1:4" x14ac:dyDescent="0.2">
      <c r="A2038" s="10">
        <v>1977</v>
      </c>
      <c r="D2038" s="2" t="str">
        <f t="shared" si="30"/>
        <v>OK</v>
      </c>
    </row>
    <row r="2039" spans="1:4" x14ac:dyDescent="0.2">
      <c r="A2039" s="5">
        <v>1978</v>
      </c>
      <c r="B2039" s="138">
        <f>'Cap Outlay Deprec 26'!I8</f>
        <v>322869</v>
      </c>
      <c r="D2039" s="2" t="str">
        <f t="shared" si="30"/>
        <v>Error?</v>
      </c>
    </row>
    <row r="2040" spans="1:4" x14ac:dyDescent="0.2">
      <c r="A2040" s="5">
        <v>1979</v>
      </c>
      <c r="B2040" s="138">
        <f>'Cap Outlay Deprec 26'!I10</f>
        <v>124618</v>
      </c>
      <c r="D2040" s="2" t="str">
        <f t="shared" si="30"/>
        <v>Error?</v>
      </c>
    </row>
    <row r="2041" spans="1:4" x14ac:dyDescent="0.2">
      <c r="A2041" s="5">
        <v>1980</v>
      </c>
      <c r="B2041" s="138">
        <f>'Cap Outlay Deprec 26'!I12</f>
        <v>61591</v>
      </c>
      <c r="D2041" s="2" t="str">
        <f t="shared" si="30"/>
        <v>Error?</v>
      </c>
    </row>
    <row r="2042" spans="1:4" x14ac:dyDescent="0.2">
      <c r="A2042" s="5">
        <v>1981</v>
      </c>
      <c r="B2042" s="138">
        <f>'Cap Outlay Deprec 26'!I13</f>
        <v>110393</v>
      </c>
      <c r="D2042" s="2" t="str">
        <f t="shared" si="30"/>
        <v>Error?</v>
      </c>
    </row>
    <row r="2043" spans="1:4" x14ac:dyDescent="0.2">
      <c r="A2043" s="5">
        <v>1982</v>
      </c>
      <c r="B2043" s="138">
        <f>'Cap Outlay Deprec 26'!I16</f>
        <v>619471</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6131718</v>
      </c>
      <c r="C2051" s="2" t="s">
        <v>572</v>
      </c>
      <c r="D2051" s="2" t="str">
        <f t="shared" si="31"/>
        <v>Error?</v>
      </c>
    </row>
    <row r="2052" spans="1:4" x14ac:dyDescent="0.2">
      <c r="A2052" s="5">
        <v>1991</v>
      </c>
      <c r="B2052" s="138">
        <f>'Cap Outlay Deprec 26'!K10</f>
        <v>1083358</v>
      </c>
      <c r="C2052" s="2" t="s">
        <v>572</v>
      </c>
      <c r="D2052" s="2" t="str">
        <f t="shared" si="31"/>
        <v>Error?</v>
      </c>
    </row>
    <row r="2053" spans="1:4" x14ac:dyDescent="0.2">
      <c r="A2053" s="5">
        <v>1992</v>
      </c>
      <c r="B2053" s="138">
        <f>'Cap Outlay Deprec 26'!K12</f>
        <v>1745383</v>
      </c>
      <c r="C2053" s="2" t="s">
        <v>572</v>
      </c>
      <c r="D2053" s="2" t="str">
        <f t="shared" si="31"/>
        <v>Error?</v>
      </c>
    </row>
    <row r="2054" spans="1:4" x14ac:dyDescent="0.2">
      <c r="A2054" s="5">
        <v>1993</v>
      </c>
      <c r="B2054" s="138">
        <f>'Cap Outlay Deprec 26'!K13</f>
        <v>1116362</v>
      </c>
      <c r="C2054" s="2" t="s">
        <v>572</v>
      </c>
      <c r="D2054" s="2" t="str">
        <f t="shared" si="31"/>
        <v>Error?</v>
      </c>
    </row>
    <row r="2055" spans="1:4" x14ac:dyDescent="0.2">
      <c r="A2055" s="5">
        <v>1994</v>
      </c>
      <c r="B2055" s="138">
        <f>'Cap Outlay Deprec 26'!K16</f>
        <v>10076821</v>
      </c>
      <c r="C2055" s="2" t="s">
        <v>572</v>
      </c>
      <c r="D2055" s="2" t="str">
        <f t="shared" si="31"/>
        <v>Error?</v>
      </c>
    </row>
    <row r="2056" spans="1:4" x14ac:dyDescent="0.2">
      <c r="A2056" s="5">
        <v>1995</v>
      </c>
      <c r="B2056" s="138">
        <f>'Cap Outlay Deprec 26'!L5</f>
        <v>1359576</v>
      </c>
      <c r="C2056" s="2" t="s">
        <v>572</v>
      </c>
      <c r="D2056" s="2" t="str">
        <f t="shared" si="31"/>
        <v>Error?</v>
      </c>
    </row>
    <row r="2057" spans="1:4" x14ac:dyDescent="0.2">
      <c r="A2057" s="5">
        <v>1996</v>
      </c>
      <c r="B2057" s="138">
        <f>'Cap Outlay Deprec 26'!L8</f>
        <v>10011775</v>
      </c>
      <c r="C2057" s="2" t="s">
        <v>572</v>
      </c>
      <c r="D2057" s="2" t="str">
        <f t="shared" si="31"/>
        <v>Error?</v>
      </c>
    </row>
    <row r="2058" spans="1:4" x14ac:dyDescent="0.2">
      <c r="A2058" s="5">
        <v>1997</v>
      </c>
      <c r="B2058" s="138">
        <f>'Cap Outlay Deprec 26'!L10</f>
        <v>1538034</v>
      </c>
      <c r="C2058" s="2" t="s">
        <v>572</v>
      </c>
      <c r="D2058" s="2" t="str">
        <f t="shared" si="31"/>
        <v>Error?</v>
      </c>
    </row>
    <row r="2059" spans="1:4" x14ac:dyDescent="0.2">
      <c r="A2059" s="5">
        <v>1998</v>
      </c>
      <c r="B2059" s="138">
        <f>'Cap Outlay Deprec 26'!L12</f>
        <v>180639</v>
      </c>
      <c r="C2059" s="2" t="s">
        <v>572</v>
      </c>
      <c r="D2059" s="2" t="str">
        <f t="shared" si="31"/>
        <v>Error?</v>
      </c>
    </row>
    <row r="2060" spans="1:4" x14ac:dyDescent="0.2">
      <c r="A2060" s="5">
        <v>1999</v>
      </c>
      <c r="B2060" s="138">
        <f>'Cap Outlay Deprec 26'!L13</f>
        <v>427509</v>
      </c>
      <c r="C2060" s="2" t="s">
        <v>572</v>
      </c>
      <c r="D2060" s="2" t="str">
        <f t="shared" si="31"/>
        <v>Error?</v>
      </c>
    </row>
    <row r="2061" spans="1:4" x14ac:dyDescent="0.2">
      <c r="A2061" s="5">
        <v>2000</v>
      </c>
      <c r="B2061" s="138">
        <f>'Cap Outlay Deprec 26'!L16</f>
        <v>13517533</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39104</v>
      </c>
      <c r="C2088" s="2" t="s">
        <v>572</v>
      </c>
      <c r="D2088" s="2" t="str">
        <f t="shared" si="31"/>
        <v>Error?</v>
      </c>
    </row>
    <row r="2089" spans="1:4" x14ac:dyDescent="0.2">
      <c r="A2089" s="5">
        <v>2028</v>
      </c>
      <c r="B2089" s="138">
        <f>'Expenditures 15-22'!K92</f>
        <v>386855</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2861756</v>
      </c>
      <c r="C2551" s="2" t="s">
        <v>572</v>
      </c>
      <c r="D2551" s="2" t="str">
        <f t="shared" si="38"/>
        <v>Error?</v>
      </c>
    </row>
    <row r="2552" spans="1:4" x14ac:dyDescent="0.2">
      <c r="A2552" s="10">
        <v>2491</v>
      </c>
      <c r="D2552" s="2" t="str">
        <f t="shared" si="38"/>
        <v>OK</v>
      </c>
    </row>
    <row r="2553" spans="1:4" x14ac:dyDescent="0.2">
      <c r="A2553" s="5">
        <v>2492</v>
      </c>
      <c r="B2553" s="138">
        <f>'Acct Summary 7-8'!C6</f>
        <v>1739377</v>
      </c>
      <c r="C2553" s="2" t="s">
        <v>572</v>
      </c>
      <c r="D2553" s="2" t="str">
        <f t="shared" si="38"/>
        <v>Error?</v>
      </c>
    </row>
    <row r="2554" spans="1:4" x14ac:dyDescent="0.2">
      <c r="A2554" s="5">
        <v>2493</v>
      </c>
      <c r="B2554" s="138">
        <f>'Acct Summary 7-8'!C7</f>
        <v>602624</v>
      </c>
      <c r="C2554" s="2" t="s">
        <v>572</v>
      </c>
      <c r="D2554" s="2" t="str">
        <f t="shared" si="38"/>
        <v>Error?</v>
      </c>
    </row>
    <row r="2555" spans="1:4" x14ac:dyDescent="0.2">
      <c r="A2555" s="5">
        <v>2494</v>
      </c>
      <c r="B2555" s="138">
        <f>'Acct Summary 7-8'!C8</f>
        <v>5203757</v>
      </c>
      <c r="C2555" s="2" t="s">
        <v>572</v>
      </c>
      <c r="D2555" s="2" t="str">
        <f t="shared" si="38"/>
        <v>Error?</v>
      </c>
    </row>
    <row r="2556" spans="1:4" x14ac:dyDescent="0.2">
      <c r="A2556" s="5">
        <v>2495</v>
      </c>
      <c r="B2556" s="138">
        <f>'Acct Summary 7-8'!C12</f>
        <v>4016374</v>
      </c>
      <c r="C2556" s="2" t="s">
        <v>572</v>
      </c>
      <c r="D2556" s="2" t="str">
        <f t="shared" si="38"/>
        <v>Error?</v>
      </c>
    </row>
    <row r="2557" spans="1:4" x14ac:dyDescent="0.2">
      <c r="A2557" s="5">
        <v>2496</v>
      </c>
      <c r="B2557" s="138">
        <f>'Acct Summary 7-8'!C13</f>
        <v>1073557</v>
      </c>
      <c r="C2557" s="2" t="s">
        <v>572</v>
      </c>
      <c r="D2557" s="2" t="str">
        <f t="shared" si="38"/>
        <v>Error?</v>
      </c>
    </row>
    <row r="2558" spans="1:4" x14ac:dyDescent="0.2">
      <c r="A2558" s="5">
        <v>2497</v>
      </c>
      <c r="B2558" s="138">
        <f>'Acct Summary 7-8'!C14</f>
        <v>1063</v>
      </c>
      <c r="C2558" s="2" t="s">
        <v>572</v>
      </c>
      <c r="D2558" s="2" t="str">
        <f t="shared" si="38"/>
        <v>Error?</v>
      </c>
    </row>
    <row r="2559" spans="1:4" x14ac:dyDescent="0.2">
      <c r="A2559" s="5">
        <v>2498</v>
      </c>
      <c r="B2559" s="138">
        <f>'Acct Summary 7-8'!C15</f>
        <v>425959</v>
      </c>
      <c r="C2559" s="2" t="s">
        <v>572</v>
      </c>
      <c r="D2559" s="2" t="str">
        <f t="shared" ref="D2559:D2622" si="39">IF(ISBLANK(B2559),"OK",IF(A2559-B2559=0,"OK","Error?"))</f>
        <v>Error?</v>
      </c>
    </row>
    <row r="2560" spans="1:4" x14ac:dyDescent="0.2">
      <c r="A2560" s="5">
        <v>2499</v>
      </c>
      <c r="B2560" s="138">
        <f>'Acct Summary 7-8'!C16</f>
        <v>16513</v>
      </c>
      <c r="C2560" s="2" t="s">
        <v>572</v>
      </c>
      <c r="D2560" s="2" t="str">
        <f t="shared" si="39"/>
        <v>Error?</v>
      </c>
    </row>
    <row r="2561" spans="1:4" x14ac:dyDescent="0.2">
      <c r="A2561" s="5">
        <v>2500</v>
      </c>
      <c r="B2561" s="138">
        <f>'Acct Summary 7-8'!C17</f>
        <v>5533466</v>
      </c>
      <c r="C2561" s="2" t="s">
        <v>572</v>
      </c>
      <c r="D2561" s="2" t="str">
        <f t="shared" si="39"/>
        <v>Error?</v>
      </c>
    </row>
    <row r="2562" spans="1:4" x14ac:dyDescent="0.2">
      <c r="A2562" s="5">
        <v>2501</v>
      </c>
      <c r="B2562" s="138">
        <f>'Acct Summary 7-8'!C20</f>
        <v>-329709</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399271</v>
      </c>
      <c r="C2564" s="2" t="s">
        <v>572</v>
      </c>
      <c r="D2564" s="2" t="str">
        <f t="shared" si="39"/>
        <v>Error?</v>
      </c>
    </row>
    <row r="2565" spans="1:4" x14ac:dyDescent="0.2">
      <c r="A2565" s="10">
        <v>2504</v>
      </c>
      <c r="D2565" s="2" t="str">
        <f t="shared" si="39"/>
        <v>OK</v>
      </c>
    </row>
    <row r="2566" spans="1:4" x14ac:dyDescent="0.2">
      <c r="A2566" s="5">
        <v>2505</v>
      </c>
      <c r="B2566" s="138">
        <f>'Acct Summary 7-8'!D6</f>
        <v>69041</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468312</v>
      </c>
      <c r="C2568" s="2" t="s">
        <v>572</v>
      </c>
      <c r="D2568" s="2" t="str">
        <f t="shared" si="39"/>
        <v>Error?</v>
      </c>
    </row>
    <row r="2569" spans="1:4" x14ac:dyDescent="0.2">
      <c r="A2569" s="5">
        <v>2508</v>
      </c>
      <c r="B2569" s="138">
        <f>'Acct Summary 7-8'!D13</f>
        <v>501844</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501844</v>
      </c>
      <c r="C2573" s="2" t="s">
        <v>572</v>
      </c>
      <c r="D2573" s="2" t="str">
        <f t="shared" si="39"/>
        <v>Error?</v>
      </c>
    </row>
    <row r="2574" spans="1:4" x14ac:dyDescent="0.2">
      <c r="A2574" s="5">
        <v>2513</v>
      </c>
      <c r="B2574" s="138">
        <f>'Acct Summary 7-8'!D20</f>
        <v>-33532</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171874</v>
      </c>
      <c r="C2591" s="2" t="s">
        <v>572</v>
      </c>
      <c r="D2591" s="2" t="str">
        <f t="shared" si="39"/>
        <v>Error?</v>
      </c>
    </row>
    <row r="2592" spans="1:4" x14ac:dyDescent="0.2">
      <c r="A2592" s="10">
        <v>2531</v>
      </c>
      <c r="D2592" s="2" t="str">
        <f t="shared" si="39"/>
        <v>OK</v>
      </c>
    </row>
    <row r="2593" spans="1:4" x14ac:dyDescent="0.2">
      <c r="A2593" s="5">
        <v>2532</v>
      </c>
      <c r="B2593" s="138">
        <f>'Acct Summary 7-8'!F6</f>
        <v>127309</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299183</v>
      </c>
      <c r="C2595" s="2" t="s">
        <v>572</v>
      </c>
      <c r="D2595" s="2" t="str">
        <f t="shared" si="39"/>
        <v>Error?</v>
      </c>
    </row>
    <row r="2596" spans="1:4" x14ac:dyDescent="0.2">
      <c r="A2596" s="5">
        <v>2535</v>
      </c>
      <c r="B2596" s="138">
        <f>'Acct Summary 7-8'!F13</f>
        <v>441905</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116036</v>
      </c>
      <c r="C2599" s="2" t="s">
        <v>572</v>
      </c>
      <c r="D2599" s="2" t="str">
        <f t="shared" si="39"/>
        <v>Error?</v>
      </c>
    </row>
    <row r="2600" spans="1:4" x14ac:dyDescent="0.2">
      <c r="A2600" s="5">
        <v>2539</v>
      </c>
      <c r="B2600" s="138">
        <f>'Acct Summary 7-8'!F17</f>
        <v>557941</v>
      </c>
      <c r="C2600" s="2" t="s">
        <v>572</v>
      </c>
      <c r="D2600" s="2" t="str">
        <f t="shared" si="39"/>
        <v>Error?</v>
      </c>
    </row>
    <row r="2601" spans="1:4" x14ac:dyDescent="0.2">
      <c r="A2601" s="5">
        <v>2540</v>
      </c>
      <c r="B2601" s="138">
        <f>'Acct Summary 7-8'!F20</f>
        <v>-258758</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352979</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352979</v>
      </c>
      <c r="C2606" s="2" t="s">
        <v>572</v>
      </c>
      <c r="D2606" s="2" t="str">
        <f t="shared" si="39"/>
        <v>Error?</v>
      </c>
    </row>
    <row r="2607" spans="1:4" x14ac:dyDescent="0.2">
      <c r="A2607" s="5">
        <v>2546</v>
      </c>
      <c r="B2607" s="138">
        <f>'Acct Summary 7-8'!G12</f>
        <v>79113</v>
      </c>
      <c r="C2607" s="2" t="s">
        <v>572</v>
      </c>
      <c r="D2607" s="2" t="str">
        <f t="shared" si="39"/>
        <v>Error?</v>
      </c>
    </row>
    <row r="2608" spans="1:4" x14ac:dyDescent="0.2">
      <c r="A2608" s="5">
        <v>2547</v>
      </c>
      <c r="B2608" s="138">
        <f>'Acct Summary 7-8'!G13</f>
        <v>113711</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196120</v>
      </c>
      <c r="C2612" s="2" t="s">
        <v>572</v>
      </c>
      <c r="D2612" s="2" t="str">
        <f t="shared" si="39"/>
        <v>Error?</v>
      </c>
    </row>
    <row r="2613" spans="1:4" x14ac:dyDescent="0.2">
      <c r="A2613" s="5">
        <v>2552</v>
      </c>
      <c r="B2613" s="138">
        <f>'Acct Summary 7-8'!G20</f>
        <v>156859</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1030079</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1030079</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1022335</v>
      </c>
      <c r="C2634" s="2" t="s">
        <v>572</v>
      </c>
      <c r="D2634" s="2" t="str">
        <f t="shared" si="40"/>
        <v>Error?</v>
      </c>
    </row>
    <row r="2635" spans="1:4" x14ac:dyDescent="0.2">
      <c r="A2635" s="5">
        <v>2574</v>
      </c>
      <c r="B2635" s="138">
        <f>'Acct Summary 7-8'!E17</f>
        <v>1022335</v>
      </c>
      <c r="C2635" s="2" t="s">
        <v>572</v>
      </c>
      <c r="D2635" s="2" t="str">
        <f t="shared" si="40"/>
        <v>Error?</v>
      </c>
    </row>
    <row r="2636" spans="1:4" x14ac:dyDescent="0.2">
      <c r="A2636" s="5">
        <v>2575</v>
      </c>
      <c r="B2636" s="138">
        <f>'Acct Summary 7-8'!E20</f>
        <v>7744</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0</v>
      </c>
      <c r="C2658" s="2" t="s">
        <v>572</v>
      </c>
      <c r="D2658" s="2" t="str">
        <f t="shared" si="40"/>
        <v>Error?</v>
      </c>
    </row>
    <row r="2659" spans="1:4" x14ac:dyDescent="0.2">
      <c r="A2659" s="5">
        <v>2598</v>
      </c>
      <c r="B2659" s="138">
        <f>'Acct Summary 7-8'!H13</f>
        <v>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0</v>
      </c>
      <c r="C2661" s="2" t="s">
        <v>572</v>
      </c>
      <c r="D2661" s="2" t="str">
        <f t="shared" si="40"/>
        <v>Error?</v>
      </c>
    </row>
    <row r="2662" spans="1:4" x14ac:dyDescent="0.2">
      <c r="A2662" s="5">
        <v>2601</v>
      </c>
      <c r="B2662" s="138">
        <f>'Acct Summary 7-8'!H20</f>
        <v>0</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12363</v>
      </c>
      <c r="D2718" s="2" t="str">
        <f t="shared" si="41"/>
        <v>Error?</v>
      </c>
    </row>
    <row r="2719" spans="1:4" x14ac:dyDescent="0.2">
      <c r="A2719" s="5">
        <v>2658</v>
      </c>
      <c r="B2719" s="138">
        <f>'Expenditures 15-22'!D51</f>
        <v>1690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14053</v>
      </c>
      <c r="C2724" s="2" t="s">
        <v>572</v>
      </c>
      <c r="D2724" s="2" t="str">
        <f t="shared" si="41"/>
        <v>Error?</v>
      </c>
    </row>
    <row r="2725" spans="1:4" x14ac:dyDescent="0.2">
      <c r="A2725" s="5">
        <v>2664</v>
      </c>
      <c r="B2725" s="138">
        <f>'Expenditures 15-22'!D247</f>
        <v>179</v>
      </c>
      <c r="D2725" s="2" t="str">
        <f t="shared" si="41"/>
        <v>Error?</v>
      </c>
    </row>
    <row r="2726" spans="1:4" x14ac:dyDescent="0.2">
      <c r="A2726" s="5">
        <v>2665</v>
      </c>
      <c r="B2726" s="138">
        <f>'Expenditures 15-22'!K247</f>
        <v>179</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39104</v>
      </c>
      <c r="C2789" s="2" t="s">
        <v>572</v>
      </c>
      <c r="D2789" s="2" t="str">
        <f t="shared" si="42"/>
        <v>Error?</v>
      </c>
    </row>
    <row r="2790" spans="1:4" x14ac:dyDescent="0.2">
      <c r="A2790" s="5">
        <v>2729</v>
      </c>
      <c r="B2790" s="138">
        <f>'Expenditures 15-22'!E102</f>
        <v>39104</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2105260</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108309</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2105260</v>
      </c>
      <c r="D2912" s="2" t="str">
        <f t="shared" si="44"/>
        <v>Error?</v>
      </c>
    </row>
    <row r="2913" spans="1:4" x14ac:dyDescent="0.2">
      <c r="A2913" s="5">
        <v>2852</v>
      </c>
      <c r="B2913" s="138">
        <f>'Assets-Liab 5-6'!I41</f>
        <v>2105260</v>
      </c>
      <c r="C2913" s="2" t="s">
        <v>572</v>
      </c>
      <c r="D2913" s="2" t="str">
        <f t="shared" si="44"/>
        <v>Error?</v>
      </c>
    </row>
    <row r="2914" spans="1:4" x14ac:dyDescent="0.2">
      <c r="A2914" s="5">
        <v>2853</v>
      </c>
      <c r="B2914" s="138">
        <f>'Assets-Liab 5-6'!L33</f>
        <v>84313</v>
      </c>
      <c r="D2914" s="2" t="str">
        <f t="shared" si="44"/>
        <v>Error?</v>
      </c>
    </row>
    <row r="2915" spans="1:4" x14ac:dyDescent="0.2">
      <c r="A2915" s="10">
        <v>2854</v>
      </c>
      <c r="D2915" s="2" t="str">
        <f t="shared" si="44"/>
        <v>OK</v>
      </c>
    </row>
    <row r="2916" spans="1:4" x14ac:dyDescent="0.2">
      <c r="A2916" s="5">
        <v>2855</v>
      </c>
      <c r="B2916" s="138">
        <f>'Assets-Liab 5-6'!L34</f>
        <v>84313</v>
      </c>
      <c r="C2916" s="2" t="s">
        <v>572</v>
      </c>
      <c r="D2916" s="2" t="str">
        <f t="shared" si="44"/>
        <v>Error?</v>
      </c>
    </row>
    <row r="2917" spans="1:4" x14ac:dyDescent="0.2">
      <c r="A2917" s="5">
        <v>2856</v>
      </c>
      <c r="B2917" s="138">
        <f>'Assets-Liab 5-6'!L41</f>
        <v>108309</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39104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39104</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104671</v>
      </c>
      <c r="D3055" s="2" t="str">
        <f t="shared" si="46"/>
        <v>Error?</v>
      </c>
    </row>
    <row r="3056" spans="1:4" x14ac:dyDescent="0.2">
      <c r="A3056" s="5">
        <v>2995</v>
      </c>
      <c r="B3056" s="138">
        <f>'Expenditures 15-22'!D10</f>
        <v>27884</v>
      </c>
      <c r="D3056" s="2" t="str">
        <f t="shared" si="46"/>
        <v>Error?</v>
      </c>
    </row>
    <row r="3057" spans="1:4" x14ac:dyDescent="0.2">
      <c r="A3057" s="5">
        <v>2996</v>
      </c>
      <c r="B3057" s="138">
        <f>'Expenditures 15-22'!E10</f>
        <v>13360</v>
      </c>
      <c r="D3057" s="2" t="str">
        <f t="shared" si="46"/>
        <v>Error?</v>
      </c>
    </row>
    <row r="3058" spans="1:4" x14ac:dyDescent="0.2">
      <c r="A3058" s="5">
        <v>2997</v>
      </c>
      <c r="B3058" s="138">
        <f>'Expenditures 15-22'!F10</f>
        <v>30986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176901</v>
      </c>
      <c r="C3062" s="2" t="s">
        <v>572</v>
      </c>
      <c r="D3062" s="2" t="str">
        <f t="shared" si="46"/>
        <v>Error?</v>
      </c>
    </row>
    <row r="3063" spans="1:4" x14ac:dyDescent="0.2">
      <c r="A3063" s="10">
        <v>3002</v>
      </c>
      <c r="D3063" s="2" t="str">
        <f t="shared" si="46"/>
        <v>OK</v>
      </c>
    </row>
    <row r="3064" spans="1:4" x14ac:dyDescent="0.2">
      <c r="A3064" s="5">
        <v>3003</v>
      </c>
      <c r="B3064" s="138">
        <f>'Expenditures 15-22'!D219</f>
        <v>2249</v>
      </c>
      <c r="D3064" s="2" t="str">
        <f t="shared" si="46"/>
        <v>Error?</v>
      </c>
    </row>
    <row r="3065" spans="1:4" x14ac:dyDescent="0.2">
      <c r="A3065" s="5">
        <v>3004</v>
      </c>
      <c r="B3065" s="138">
        <f>'Expenditures 15-22'!K219</f>
        <v>2249</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23996</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230768</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39926</v>
      </c>
      <c r="C3225" s="2" t="s">
        <v>572</v>
      </c>
      <c r="D3225" s="2" t="str">
        <f t="shared" si="49"/>
        <v>Error?</v>
      </c>
    </row>
    <row r="3226" spans="1:4" x14ac:dyDescent="0.2">
      <c r="A3226" s="5">
        <v>3165</v>
      </c>
      <c r="B3226" s="138">
        <f>'Acct Summary 7-8'!I8</f>
        <v>39926</v>
      </c>
      <c r="C3226" s="2" t="s">
        <v>572</v>
      </c>
      <c r="D3226" s="2" t="str">
        <f t="shared" si="49"/>
        <v>Error?</v>
      </c>
    </row>
    <row r="3227" spans="1:4" x14ac:dyDescent="0.2">
      <c r="A3227" s="5">
        <v>3166</v>
      </c>
      <c r="B3227" s="138">
        <f>'Acct Summary 7-8'!I20</f>
        <v>39926</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0</v>
      </c>
      <c r="C3232" s="2" t="s">
        <v>572</v>
      </c>
      <c r="D3232" s="2" t="str">
        <f t="shared" si="49"/>
        <v>Error?</v>
      </c>
    </row>
    <row r="3233" spans="1:4" x14ac:dyDescent="0.2">
      <c r="A3233" s="5">
        <v>3172</v>
      </c>
      <c r="B3233" s="138">
        <f>'Acct Summary 7-8'!C78</f>
        <v>-329709</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-33532</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230768</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230768</v>
      </c>
      <c r="C3255" s="2" t="s">
        <v>572</v>
      </c>
      <c r="D3255" s="2" t="str">
        <f t="shared" si="49"/>
        <v>Error?</v>
      </c>
    </row>
    <row r="3256" spans="1:4" x14ac:dyDescent="0.2">
      <c r="A3256" s="5">
        <v>3195</v>
      </c>
      <c r="B3256" s="138">
        <f>'Acct Summary 7-8'!F78</f>
        <v>-27990</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156859</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0</v>
      </c>
      <c r="C3277" s="2" t="s">
        <v>572</v>
      </c>
      <c r="D3277" s="2" t="str">
        <f t="shared" si="50"/>
        <v>Error?</v>
      </c>
    </row>
    <row r="3278" spans="1:4" x14ac:dyDescent="0.2">
      <c r="A3278" s="5">
        <v>3217</v>
      </c>
      <c r="B3278" s="138">
        <f>'Acct Summary 7-8'!E78</f>
        <v>7744</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39926</v>
      </c>
      <c r="C3320" s="2" t="s">
        <v>572</v>
      </c>
      <c r="D3320" s="2" t="str">
        <f t="shared" si="50"/>
        <v>Error?</v>
      </c>
    </row>
    <row r="3321" spans="1:4" x14ac:dyDescent="0.2">
      <c r="A3321" s="5">
        <v>3260</v>
      </c>
      <c r="B3321" s="138">
        <f>'Acct Summary 7-8'!I79</f>
        <v>2065334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2105260</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662383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117185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8378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4595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792541</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35471</v>
      </c>
      <c r="D3387" s="2" t="str">
        <f t="shared" si="51"/>
        <v>Error?</v>
      </c>
    </row>
    <row r="3388" spans="1:4" x14ac:dyDescent="0.2">
      <c r="A3388" s="5">
        <v>3327</v>
      </c>
      <c r="B3388" s="138">
        <f>'Expenditures 15-22'!D217</f>
        <v>30657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35471</v>
      </c>
      <c r="C3390" s="2" t="s">
        <v>572</v>
      </c>
      <c r="D3390" s="2" t="str">
        <f t="shared" si="51"/>
        <v>Error?</v>
      </c>
    </row>
    <row r="3391" spans="1:4" x14ac:dyDescent="0.2">
      <c r="A3391" s="5">
        <v>3330</v>
      </c>
      <c r="B3391" s="138">
        <f>'Expenditures 15-22'!K217</f>
        <v>30657</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49931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507769</v>
      </c>
      <c r="D3417" s="2" t="str">
        <f t="shared" si="52"/>
        <v>Error?</v>
      </c>
    </row>
    <row r="3418" spans="1:4" x14ac:dyDescent="0.2">
      <c r="A3418" s="10">
        <v>3357</v>
      </c>
      <c r="D3418" s="2" t="str">
        <f t="shared" si="52"/>
        <v>OK</v>
      </c>
    </row>
    <row r="3419" spans="1:4" x14ac:dyDescent="0.2">
      <c r="A3419" s="5">
        <v>3358</v>
      </c>
      <c r="B3419" s="138">
        <f>'Assets-Liab 5-6'!F4</f>
        <v>214849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872971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1597</v>
      </c>
      <c r="D3425" s="2" t="str">
        <f t="shared" si="52"/>
        <v>Error?</v>
      </c>
    </row>
    <row r="3426" spans="1:4" x14ac:dyDescent="0.2">
      <c r="A3426" s="10">
        <v>3365</v>
      </c>
      <c r="D3426" s="2" t="str">
        <f t="shared" si="52"/>
        <v>OK</v>
      </c>
    </row>
    <row r="3427" spans="1:4" x14ac:dyDescent="0.2">
      <c r="A3427" s="5">
        <v>3366</v>
      </c>
      <c r="B3427" s="138">
        <f>'Assets-Liab 5-6'!I4</f>
        <v>124798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108309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193622</v>
      </c>
      <c r="C3446" s="2" t="s">
        <v>572</v>
      </c>
      <c r="D3446" s="2" t="str">
        <f t="shared" si="52"/>
        <v>Error?</v>
      </c>
    </row>
    <row r="3447" spans="1:4" x14ac:dyDescent="0.2">
      <c r="A3447" s="5">
        <v>3386</v>
      </c>
      <c r="B3447" s="138">
        <f>'Tax Sched 23'!D16</f>
        <v>139188</v>
      </c>
      <c r="C3447" s="2" t="s">
        <v>572</v>
      </c>
      <c r="D3447" s="2" t="str">
        <f t="shared" si="52"/>
        <v>Error?</v>
      </c>
    </row>
    <row r="3448" spans="1:4" x14ac:dyDescent="0.2">
      <c r="A3448" s="5">
        <v>3387</v>
      </c>
      <c r="B3448" s="138">
        <f>'Tax Sched 23'!C16</f>
        <v>54434</v>
      </c>
      <c r="D3448" s="2" t="str">
        <f t="shared" si="52"/>
        <v>Error?</v>
      </c>
    </row>
    <row r="3449" spans="1:4" x14ac:dyDescent="0.2">
      <c r="A3449" s="5">
        <v>3388</v>
      </c>
      <c r="B3449" s="138">
        <f>'Tax Sched 23'!F16</f>
        <v>143237</v>
      </c>
      <c r="C3449" s="2" t="s">
        <v>572</v>
      </c>
      <c r="D3449" s="2" t="str">
        <f t="shared" si="52"/>
        <v>Error?</v>
      </c>
    </row>
    <row r="3450" spans="1:4" x14ac:dyDescent="0.2">
      <c r="A3450" s="5">
        <v>3389</v>
      </c>
      <c r="B3450" s="138">
        <f>'Tax Sched 23'!E16</f>
        <v>197671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572</v>
      </c>
      <c r="D3568" s="2" t="str">
        <f t="shared" si="54"/>
        <v>Error?</v>
      </c>
    </row>
    <row r="3569" spans="1:4" x14ac:dyDescent="0.2">
      <c r="A3569" s="5">
        <v>3508</v>
      </c>
      <c r="B3569" s="138">
        <f>'Acct Summary 7-8'!K4</f>
        <v>39907</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39907</v>
      </c>
      <c r="C3571" s="2" t="s">
        <v>572</v>
      </c>
      <c r="D3571" s="2" t="str">
        <f t="shared" si="54"/>
        <v>Error?</v>
      </c>
    </row>
    <row r="3572" spans="1:4" x14ac:dyDescent="0.2">
      <c r="A3572" s="5">
        <v>3511</v>
      </c>
      <c r="B3572" s="138">
        <f>'Acct Summary 7-8'!K13</f>
        <v>40141</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40141</v>
      </c>
      <c r="C3575" s="2" t="s">
        <v>572</v>
      </c>
      <c r="D3575" s="2" t="str">
        <f t="shared" si="54"/>
        <v>Error?</v>
      </c>
    </row>
    <row r="3576" spans="1:4" x14ac:dyDescent="0.2">
      <c r="A3576" s="5">
        <v>3515</v>
      </c>
      <c r="B3576" s="138">
        <f>'Acct Summary 7-8'!K20</f>
        <v>-234</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-234</v>
      </c>
      <c r="C3588" s="2" t="s">
        <v>572</v>
      </c>
      <c r="D3588" s="2" t="str">
        <f t="shared" si="55"/>
        <v>Error?</v>
      </c>
    </row>
    <row r="3589" spans="1:4" x14ac:dyDescent="0.2">
      <c r="A3589" s="5">
        <v>3528</v>
      </c>
      <c r="B3589" s="138">
        <f>'Acct Summary 7-8'!K79</f>
        <v>234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32997</v>
      </c>
      <c r="D3632" s="2" t="str">
        <f t="shared" si="55"/>
        <v>Error?</v>
      </c>
    </row>
    <row r="3633" spans="1:4" x14ac:dyDescent="0.2">
      <c r="A3633" s="5">
        <v>3572</v>
      </c>
      <c r="B3633" s="138">
        <f>'Expenditures 15-22'!E350</f>
        <v>32997</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32997</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1144</v>
      </c>
      <c r="D3639" s="2" t="str">
        <f t="shared" si="55"/>
        <v>Error?</v>
      </c>
    </row>
    <row r="3640" spans="1:4" x14ac:dyDescent="0.2">
      <c r="A3640" s="5">
        <v>3579</v>
      </c>
      <c r="B3640" s="138">
        <f>'Expenditures 15-22'!F350</f>
        <v>1144</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1144</v>
      </c>
      <c r="C3642" s="2" t="s">
        <v>572</v>
      </c>
      <c r="D3642" s="2" t="str">
        <f t="shared" si="55"/>
        <v>Error?</v>
      </c>
    </row>
    <row r="3643" spans="1:4" x14ac:dyDescent="0.2">
      <c r="A3643" s="5">
        <v>3582</v>
      </c>
      <c r="B3643" s="138">
        <f>'Expenditures 15-22'!F367</f>
        <v>1144</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6000</v>
      </c>
      <c r="D3646" s="2" t="str">
        <f t="shared" si="55"/>
        <v>Error?</v>
      </c>
    </row>
    <row r="3647" spans="1:4" x14ac:dyDescent="0.2">
      <c r="A3647" s="5">
        <v>3586</v>
      </c>
      <c r="B3647" s="138">
        <f>'Expenditures 15-22'!G350</f>
        <v>6000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6000</v>
      </c>
      <c r="C3649" s="2" t="s">
        <v>572</v>
      </c>
      <c r="D3649" s="2" t="str">
        <f t="shared" si="56"/>
        <v>Error?</v>
      </c>
    </row>
    <row r="3650" spans="1:4" x14ac:dyDescent="0.2">
      <c r="A3650" s="5">
        <v>3589</v>
      </c>
      <c r="B3650" s="138">
        <f>'Expenditures 15-22'!G367</f>
        <v>6000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40141</v>
      </c>
      <c r="C3669" s="2" t="s">
        <v>572</v>
      </c>
      <c r="D3669" s="2" t="str">
        <f t="shared" si="56"/>
        <v>Error?</v>
      </c>
    </row>
    <row r="3670" spans="1:4" x14ac:dyDescent="0.2">
      <c r="A3670" s="5">
        <v>3609</v>
      </c>
      <c r="B3670" s="138">
        <f>'Expenditures 15-22'!K350</f>
        <v>40141</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40141</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40141</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-234</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3296</v>
      </c>
      <c r="D3721" s="2" t="str">
        <f t="shared" si="57"/>
        <v>Error?</v>
      </c>
    </row>
    <row r="3722" spans="1:4" x14ac:dyDescent="0.2">
      <c r="A3722" s="5">
        <v>3661</v>
      </c>
      <c r="B3722" s="138">
        <f>'Expenditures 15-22'!D285</f>
        <v>3296</v>
      </c>
      <c r="C3722" s="2" t="s">
        <v>572</v>
      </c>
      <c r="D3722" s="2" t="str">
        <f t="shared" si="57"/>
        <v>Error?</v>
      </c>
    </row>
    <row r="3723" spans="1:4" x14ac:dyDescent="0.2">
      <c r="A3723" s="5">
        <v>3662</v>
      </c>
      <c r="B3723" s="138">
        <f>'Expenditures 15-22'!K283</f>
        <v>3296</v>
      </c>
      <c r="C3723" s="2" t="s">
        <v>572</v>
      </c>
      <c r="D3723" s="2" t="str">
        <f t="shared" si="57"/>
        <v>Error?</v>
      </c>
    </row>
    <row r="3724" spans="1:4" x14ac:dyDescent="0.2">
      <c r="A3724" s="5">
        <v>3663</v>
      </c>
      <c r="B3724" s="138">
        <f>'Expenditures 15-22'!K285</f>
        <v>3296</v>
      </c>
      <c r="C3724" s="2" t="s">
        <v>572</v>
      </c>
      <c r="D3724" s="2" t="str">
        <f t="shared" si="57"/>
        <v>Error?</v>
      </c>
    </row>
    <row r="3725" spans="1:4" x14ac:dyDescent="0.2">
      <c r="A3725" s="5">
        <v>3664</v>
      </c>
      <c r="B3725" s="138">
        <f>'Tax Sched 23'!B13</f>
        <v>23646</v>
      </c>
      <c r="C3725" s="2" t="s">
        <v>572</v>
      </c>
      <c r="D3725" s="2" t="str">
        <f t="shared" si="57"/>
        <v>Error?</v>
      </c>
    </row>
    <row r="3726" spans="1:4" x14ac:dyDescent="0.2">
      <c r="A3726" s="5">
        <v>3665</v>
      </c>
      <c r="B3726" s="138">
        <f>'Tax Sched 23'!D13</f>
        <v>16990</v>
      </c>
      <c r="C3726" s="2" t="s">
        <v>572</v>
      </c>
      <c r="D3726" s="2" t="str">
        <f t="shared" si="57"/>
        <v>Error?</v>
      </c>
    </row>
    <row r="3727" spans="1:4" x14ac:dyDescent="0.2">
      <c r="A3727" s="5">
        <v>3666</v>
      </c>
      <c r="B3727" s="138">
        <f>'Tax Sched 23'!C13</f>
        <v>6656</v>
      </c>
      <c r="D3727" s="2" t="str">
        <f t="shared" si="57"/>
        <v>Error?</v>
      </c>
    </row>
    <row r="3728" spans="1:4" x14ac:dyDescent="0.2">
      <c r="A3728" s="5">
        <v>3667</v>
      </c>
      <c r="B3728" s="138">
        <f>'Tax Sched 23'!F13</f>
        <v>17514</v>
      </c>
      <c r="C3728" s="2" t="s">
        <v>572</v>
      </c>
      <c r="D3728" s="2" t="str">
        <f t="shared" si="57"/>
        <v>Error?</v>
      </c>
    </row>
    <row r="3729" spans="1:4" x14ac:dyDescent="0.2">
      <c r="A3729" s="5">
        <v>3668</v>
      </c>
      <c r="B3729" s="138">
        <f>'Tax Sched 23'!E13</f>
        <v>24170</v>
      </c>
      <c r="D3729" s="2" t="str">
        <f t="shared" si="57"/>
        <v>Error?</v>
      </c>
    </row>
    <row r="3730" spans="1:4" x14ac:dyDescent="0.2">
      <c r="A3730" s="5">
        <v>3669</v>
      </c>
      <c r="B3730" s="138">
        <f>'ICR Computation 30'!E10</f>
        <v>123498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2676497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7880254</v>
      </c>
      <c r="C4122" s="2" t="s">
        <v>572</v>
      </c>
      <c r="D4122" s="2" t="str">
        <f t="shared" si="63"/>
        <v>Error?</v>
      </c>
    </row>
    <row r="4123" spans="1:4" x14ac:dyDescent="0.2">
      <c r="A4123" s="5">
        <v>4062</v>
      </c>
      <c r="B4123" s="138">
        <f>'Acct Summary 7-8'!D10</f>
        <v>468312</v>
      </c>
      <c r="C4123" s="2" t="s">
        <v>572</v>
      </c>
      <c r="D4123" s="2" t="str">
        <f t="shared" si="63"/>
        <v>Error?</v>
      </c>
    </row>
    <row r="4124" spans="1:4" x14ac:dyDescent="0.2">
      <c r="A4124" s="5">
        <v>4063</v>
      </c>
      <c r="B4124" s="138">
        <f>'Acct Summary 7-8'!E10</f>
        <v>1030079</v>
      </c>
      <c r="C4124" s="2" t="s">
        <v>572</v>
      </c>
      <c r="D4124" s="2" t="str">
        <f t="shared" si="63"/>
        <v>Error?</v>
      </c>
    </row>
    <row r="4125" spans="1:4" x14ac:dyDescent="0.2">
      <c r="A4125" s="5">
        <v>4064</v>
      </c>
      <c r="B4125" s="138">
        <f>'Acct Summary 7-8'!F10</f>
        <v>299183</v>
      </c>
      <c r="C4125" s="2" t="s">
        <v>572</v>
      </c>
      <c r="D4125" s="2" t="str">
        <f t="shared" si="63"/>
        <v>Error?</v>
      </c>
    </row>
    <row r="4126" spans="1:4" x14ac:dyDescent="0.2">
      <c r="A4126" s="5">
        <v>4065</v>
      </c>
      <c r="B4126" s="138">
        <f>'Acct Summary 7-8'!G10</f>
        <v>352979</v>
      </c>
      <c r="C4126" s="2" t="s">
        <v>572</v>
      </c>
      <c r="D4126" s="2" t="str">
        <f t="shared" si="63"/>
        <v>Error?</v>
      </c>
    </row>
    <row r="4127" spans="1:4" x14ac:dyDescent="0.2">
      <c r="A4127" s="5">
        <v>4066</v>
      </c>
      <c r="B4127" s="138">
        <f>'Acct Summary 7-8'!H10</f>
        <v>0</v>
      </c>
      <c r="C4127" s="2" t="s">
        <v>572</v>
      </c>
      <c r="D4127" s="2" t="str">
        <f t="shared" si="63"/>
        <v>Error?</v>
      </c>
    </row>
    <row r="4128" spans="1:4" x14ac:dyDescent="0.2">
      <c r="A4128" s="5">
        <v>4067</v>
      </c>
      <c r="B4128" s="138">
        <f>'Acct Summary 7-8'!I10</f>
        <v>39926</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39907</v>
      </c>
      <c r="C4130" s="2" t="s">
        <v>572</v>
      </c>
      <c r="D4130" s="2" t="str">
        <f t="shared" si="63"/>
        <v>Error?</v>
      </c>
    </row>
    <row r="4131" spans="1:4" x14ac:dyDescent="0.2">
      <c r="A4131" s="5">
        <v>4070</v>
      </c>
      <c r="B4131" s="138">
        <f>'Acct Summary 7-8'!C18</f>
        <v>2676497</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8209963</v>
      </c>
      <c r="C4136" s="2" t="s">
        <v>572</v>
      </c>
      <c r="D4136" s="2" t="str">
        <f t="shared" si="63"/>
        <v>Error?</v>
      </c>
    </row>
    <row r="4137" spans="1:4" x14ac:dyDescent="0.2">
      <c r="A4137" s="5">
        <v>4076</v>
      </c>
      <c r="B4137" s="138">
        <f>'Acct Summary 7-8'!D19</f>
        <v>501844</v>
      </c>
      <c r="C4137" s="2" t="s">
        <v>572</v>
      </c>
      <c r="D4137" s="2" t="str">
        <f t="shared" si="63"/>
        <v>Error?</v>
      </c>
    </row>
    <row r="4138" spans="1:4" x14ac:dyDescent="0.2">
      <c r="A4138" s="5">
        <v>4077</v>
      </c>
      <c r="B4138" s="138">
        <f>'Acct Summary 7-8'!E19</f>
        <v>1022335</v>
      </c>
      <c r="C4138" s="2" t="s">
        <v>572</v>
      </c>
      <c r="D4138" s="2" t="str">
        <f t="shared" si="63"/>
        <v>Error?</v>
      </c>
    </row>
    <row r="4139" spans="1:4" x14ac:dyDescent="0.2">
      <c r="A4139" s="5">
        <v>4078</v>
      </c>
      <c r="B4139" s="138">
        <f>'Acct Summary 7-8'!F19</f>
        <v>557941</v>
      </c>
      <c r="C4139" s="2" t="s">
        <v>572</v>
      </c>
      <c r="D4139" s="2" t="str">
        <f t="shared" si="63"/>
        <v>Error?</v>
      </c>
    </row>
    <row r="4140" spans="1:4" x14ac:dyDescent="0.2">
      <c r="A4140" s="5">
        <v>4079</v>
      </c>
      <c r="B4140" s="138">
        <f>'Acct Summary 7-8'!G19</f>
        <v>196120</v>
      </c>
      <c r="C4140" s="2" t="s">
        <v>572</v>
      </c>
      <c r="D4140" s="2" t="str">
        <f t="shared" si="63"/>
        <v>Error?</v>
      </c>
    </row>
    <row r="4141" spans="1:4" x14ac:dyDescent="0.2">
      <c r="A4141" s="5">
        <v>4080</v>
      </c>
      <c r="B4141" s="138">
        <f>'Acct Summary 7-8'!H19</f>
        <v>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40141</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10749044</v>
      </c>
      <c r="C4171" s="2" t="s">
        <v>572</v>
      </c>
      <c r="D4171" s="2" t="str">
        <f t="shared" si="64"/>
        <v>Error?</v>
      </c>
    </row>
    <row r="4172" spans="1:4" x14ac:dyDescent="0.2">
      <c r="A4172" s="5">
        <v>4111</v>
      </c>
      <c r="B4172" s="138">
        <f>'Short-Term Long-Term Debt 24'!J49</f>
        <v>10241275</v>
      </c>
      <c r="C4172" s="2" t="s">
        <v>572</v>
      </c>
      <c r="D4172" s="2" t="str">
        <f t="shared" si="64"/>
        <v>Error?</v>
      </c>
    </row>
    <row r="4173" spans="1:4" x14ac:dyDescent="0.2">
      <c r="A4173" s="5">
        <v>4112</v>
      </c>
      <c r="B4173" s="138">
        <f>'Short-Term Long-Term Debt 24'!H49</f>
        <v>540000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-110825</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110826</v>
      </c>
      <c r="D4210" s="2" t="str">
        <f t="shared" si="64"/>
        <v>Error?</v>
      </c>
    </row>
    <row r="4211" spans="1:4" x14ac:dyDescent="0.2">
      <c r="A4211" s="5">
        <v>4150</v>
      </c>
      <c r="B4211" s="138">
        <f>'Expenditures 15-22'!K206</f>
        <v>110826</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3190</v>
      </c>
      <c r="C4265" s="2" t="s">
        <v>572</v>
      </c>
      <c r="D4265" s="2" t="str">
        <f t="shared" si="65"/>
        <v>Error?</v>
      </c>
      <c r="E4265" s="128"/>
    </row>
    <row r="4266" spans="1:5" x14ac:dyDescent="0.2">
      <c r="A4266" s="12">
        <v>4205</v>
      </c>
      <c r="B4266" s="138">
        <f>('FP Info 3'!F10)*100000</f>
        <v>500</v>
      </c>
      <c r="C4266" s="2" t="s">
        <v>572</v>
      </c>
      <c r="D4266" s="2" t="str">
        <f t="shared" si="65"/>
        <v>Error?</v>
      </c>
      <c r="E4266" s="128"/>
    </row>
    <row r="4267" spans="1:5" x14ac:dyDescent="0.2">
      <c r="A4267" s="12">
        <v>4206</v>
      </c>
      <c r="B4267" s="138">
        <f>('FP Info 3'!H10)*100000</f>
        <v>200</v>
      </c>
      <c r="C4267" s="2" t="s">
        <v>572</v>
      </c>
      <c r="D4267" s="2" t="str">
        <f t="shared" si="65"/>
        <v>Error?</v>
      </c>
      <c r="E4267" s="128"/>
    </row>
    <row r="4268" spans="1:5" x14ac:dyDescent="0.2">
      <c r="A4268" s="12">
        <v>4207</v>
      </c>
      <c r="B4268" s="138">
        <f>('FP Info 3'!J10)*100000</f>
        <v>3889.9999999999995</v>
      </c>
      <c r="C4268" s="2" t="s">
        <v>572</v>
      </c>
      <c r="D4268" s="2" t="str">
        <f t="shared" si="65"/>
        <v>Error?</v>
      </c>
    </row>
    <row r="4269" spans="1:5" x14ac:dyDescent="0.2">
      <c r="A4269" s="12">
        <v>4208</v>
      </c>
      <c r="B4269" s="138">
        <f>'FP Info 3'!J16</f>
        <v>1345040</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777</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11034</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12579</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30894</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51766</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81379721</v>
      </c>
      <c r="D4995" s="2" t="str">
        <f t="shared" si="77"/>
        <v>Error?</v>
      </c>
    </row>
    <row r="4996" spans="1:4" x14ac:dyDescent="0.2">
      <c r="A4996" s="12">
        <v>4935</v>
      </c>
      <c r="B4996" s="138">
        <f>'FP Info 3'!H31</f>
        <v>11230401.498000002</v>
      </c>
      <c r="D4996" s="2" t="str">
        <f t="shared" si="77"/>
        <v>Error?</v>
      </c>
    </row>
    <row r="4997" spans="1:4" x14ac:dyDescent="0.2">
      <c r="A4997" s="12">
        <v>4936</v>
      </c>
      <c r="B4997" s="138">
        <f>'FP Info 3'!H37</f>
        <v>10749044</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23646</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2545843</v>
      </c>
      <c r="D5061" s="2" t="str">
        <f t="shared" si="78"/>
        <v>Error?</v>
      </c>
    </row>
    <row r="5062" spans="1:4" x14ac:dyDescent="0.2">
      <c r="A5062" s="10">
        <v>5001</v>
      </c>
      <c r="D5062" s="2" t="str">
        <f t="shared" si="78"/>
        <v>OK</v>
      </c>
    </row>
    <row r="5063" spans="1:4" x14ac:dyDescent="0.2">
      <c r="A5063" s="5">
        <v>5002</v>
      </c>
      <c r="B5063" s="138">
        <f>'Revenues 9-14'!C7</f>
        <v>31925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2601414</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86094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86094</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29471</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29471</v>
      </c>
      <c r="C5087" s="2" t="s">
        <v>572</v>
      </c>
      <c r="D5087" s="2" t="str">
        <f t="shared" si="78"/>
        <v>Error?</v>
      </c>
    </row>
    <row r="5088" spans="1:4" x14ac:dyDescent="0.2">
      <c r="A5088" s="5">
        <v>5027</v>
      </c>
      <c r="B5088" s="138">
        <f>'Revenues 9-14'!C65</f>
        <v>129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129</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66462</v>
      </c>
      <c r="C5096" s="2" t="s">
        <v>572</v>
      </c>
      <c r="D5096" s="2" t="str">
        <f t="shared" si="78"/>
        <v>Error?</v>
      </c>
    </row>
    <row r="5097" spans="1:4" x14ac:dyDescent="0.2">
      <c r="A5097" s="5">
        <v>5036</v>
      </c>
      <c r="B5097" s="138">
        <f>'Revenues 9-14'!C77</f>
        <v>10261</v>
      </c>
      <c r="D5097" s="2" t="str">
        <f t="shared" si="78"/>
        <v>Error?</v>
      </c>
    </row>
    <row r="5098" spans="1:4" x14ac:dyDescent="0.2">
      <c r="A5098" s="5">
        <v>5037</v>
      </c>
      <c r="B5098" s="138">
        <f>'Revenues 9-14'!C78</f>
        <v>888</v>
      </c>
      <c r="D5098" s="2" t="str">
        <f t="shared" si="78"/>
        <v>Error?</v>
      </c>
    </row>
    <row r="5099" spans="1:4" x14ac:dyDescent="0.2">
      <c r="A5099" s="5">
        <v>5038</v>
      </c>
      <c r="B5099" s="138">
        <f>'Revenues 9-14'!C79</f>
        <v>16079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15901</v>
      </c>
      <c r="D5101" s="2" t="str">
        <f t="shared" si="78"/>
        <v>Error?</v>
      </c>
    </row>
    <row r="5102" spans="1:4" x14ac:dyDescent="0.2">
      <c r="A5102" s="5">
        <v>5041</v>
      </c>
      <c r="B5102" s="138">
        <f>'Revenues 9-14'!C82</f>
        <v>43129</v>
      </c>
      <c r="C5102" s="2" t="s">
        <v>572</v>
      </c>
      <c r="D5102" s="2" t="str">
        <f t="shared" si="78"/>
        <v>Error?</v>
      </c>
    </row>
    <row r="5103" spans="1:4" x14ac:dyDescent="0.2">
      <c r="A5103" s="5">
        <v>5042</v>
      </c>
      <c r="B5103" s="138">
        <f>'Revenues 9-14'!C84</f>
        <v>26351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26351</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1032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7674</v>
      </c>
      <c r="D5119" s="2" t="str">
        <f t="shared" ref="D5119:D5182" si="79">IF(ISBLANK(B5119),"OK",IF(A5119-B5119=0,"OK","Error?"))</f>
        <v>Error?</v>
      </c>
    </row>
    <row r="5120" spans="1:4" x14ac:dyDescent="0.2">
      <c r="A5120" s="5">
        <v>5059</v>
      </c>
      <c r="B5120" s="138">
        <f>'Revenues 9-14'!C108</f>
        <v>8706</v>
      </c>
      <c r="C5120" s="2" t="s">
        <v>572</v>
      </c>
      <c r="D5120" s="2" t="str">
        <f t="shared" si="79"/>
        <v>Error?</v>
      </c>
    </row>
    <row r="5121" spans="1:4" x14ac:dyDescent="0.2">
      <c r="A5121" s="5">
        <v>5060</v>
      </c>
      <c r="B5121" s="138">
        <f>'Revenues 9-14'!C109</f>
        <v>2861756</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1674391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1674391</v>
      </c>
      <c r="C5132" s="2" t="s">
        <v>572</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42661</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42661</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4842</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4842</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2464</v>
      </c>
      <c r="D5167" s="2" t="str">
        <f t="shared" si="79"/>
        <v>Error?</v>
      </c>
    </row>
    <row r="5168" spans="1:4" x14ac:dyDescent="0.2">
      <c r="A5168" s="5">
        <v>5107</v>
      </c>
      <c r="B5168" s="138">
        <f>'Revenues 9-14'!C148</f>
        <v>6935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7334</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64986</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1739377</v>
      </c>
      <c r="C5223" s="2" t="s">
        <v>572</v>
      </c>
      <c r="D5223" s="2" t="str">
        <f t="shared" si="80"/>
        <v>Error?</v>
      </c>
    </row>
    <row r="5224" spans="1:4" x14ac:dyDescent="0.2">
      <c r="A5224" s="5">
        <v>5163</v>
      </c>
      <c r="B5224" s="138">
        <f>'Revenues 9-14'!C173</f>
        <v>2333</v>
      </c>
      <c r="D5224" s="2" t="str">
        <f t="shared" si="80"/>
        <v>Error?</v>
      </c>
    </row>
    <row r="5225" spans="1:4" x14ac:dyDescent="0.2">
      <c r="A5225" s="5">
        <v>5164</v>
      </c>
      <c r="B5225" s="138">
        <f>'Revenues 9-14'!C175</f>
        <v>2333</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88063</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33755</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121818</v>
      </c>
      <c r="C5246" s="2" t="s">
        <v>572</v>
      </c>
      <c r="D5246" s="2" t="str">
        <f t="shared" si="80"/>
        <v>Error?</v>
      </c>
    </row>
    <row r="5247" spans="1:4" x14ac:dyDescent="0.2">
      <c r="A5247" s="5">
        <v>5186</v>
      </c>
      <c r="B5247" s="138">
        <f>'Revenues 9-14'!C200</f>
        <v>245725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246502</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125698</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125698</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11034</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600291</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602624</v>
      </c>
      <c r="C5326" s="2" t="s">
        <v>572</v>
      </c>
      <c r="D5326" s="2" t="str">
        <f t="shared" si="82"/>
        <v>Error?</v>
      </c>
    </row>
    <row r="5327" spans="1:5" x14ac:dyDescent="0.2">
      <c r="A5327" s="5">
        <v>5266</v>
      </c>
      <c r="B5327" s="138">
        <f>'Revenues 9-14'!C268</f>
        <v>5203757</v>
      </c>
      <c r="C5327" s="2" t="s">
        <v>572</v>
      </c>
      <c r="D5327" s="2" t="str">
        <f t="shared" si="82"/>
        <v>Error?</v>
      </c>
    </row>
    <row r="5328" spans="1:5" x14ac:dyDescent="0.2">
      <c r="A5328" s="5">
        <v>5267</v>
      </c>
      <c r="B5328" s="138">
        <f>'Revenues 9-14'!D5</f>
        <v>399034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399034</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23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23</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214</v>
      </c>
      <c r="D5354" s="2" t="str">
        <f t="shared" si="82"/>
        <v>Error?</v>
      </c>
    </row>
    <row r="5355" spans="1:4" x14ac:dyDescent="0.2">
      <c r="A5355" s="5">
        <v>5294</v>
      </c>
      <c r="B5355" s="138">
        <f>'Revenues 9-14'!D108</f>
        <v>214</v>
      </c>
      <c r="C5355" s="2" t="s">
        <v>572</v>
      </c>
      <c r="D5355" s="2" t="str">
        <f t="shared" si="82"/>
        <v>Error?</v>
      </c>
    </row>
    <row r="5356" spans="1:4" x14ac:dyDescent="0.2">
      <c r="A5356" s="5">
        <v>5295</v>
      </c>
      <c r="B5356" s="138">
        <f>'Revenues 9-14'!D109</f>
        <v>399271</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69041</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69041</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69041</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468312</v>
      </c>
      <c r="C5508" s="2" t="s">
        <v>572</v>
      </c>
      <c r="D5508" s="2" t="str">
        <f t="shared" si="85"/>
        <v>Error?</v>
      </c>
    </row>
    <row r="5509" spans="1:4" x14ac:dyDescent="0.2">
      <c r="A5509" s="5">
        <v>5448</v>
      </c>
      <c r="B5509" s="138">
        <f>'Revenues 9-14'!E5</f>
        <v>1029904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1029904</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175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175</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1030079</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1030079</v>
      </c>
      <c r="C5552" s="2" t="s">
        <v>572</v>
      </c>
      <c r="D5552" s="2" t="str">
        <f t="shared" si="85"/>
        <v>Error?</v>
      </c>
    </row>
    <row r="5553" spans="1:4" x14ac:dyDescent="0.2">
      <c r="A5553" s="5">
        <v>5492</v>
      </c>
      <c r="B5553" s="138">
        <f>'Revenues 9-14'!F5</f>
        <v>159615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159615</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10591</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10591</v>
      </c>
      <c r="C5579" s="2" t="s">
        <v>572</v>
      </c>
      <c r="D5579" s="2" t="str">
        <f t="shared" si="86"/>
        <v>Error?</v>
      </c>
    </row>
    <row r="5580" spans="1:4" x14ac:dyDescent="0.2">
      <c r="A5580" s="5">
        <v>5519</v>
      </c>
      <c r="B5580" s="138">
        <f>'Revenues 9-14'!F65</f>
        <v>56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56</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1612</v>
      </c>
      <c r="D5586" s="2" t="str">
        <f t="shared" si="86"/>
        <v>Error?</v>
      </c>
    </row>
    <row r="5587" spans="1:4" x14ac:dyDescent="0.2">
      <c r="A5587" s="5">
        <v>5526</v>
      </c>
      <c r="B5587" s="138">
        <f>'Revenues 9-14'!F108</f>
        <v>1612</v>
      </c>
      <c r="C5587" s="2" t="s">
        <v>572</v>
      </c>
      <c r="D5587" s="2" t="str">
        <f t="shared" si="86"/>
        <v>Error?</v>
      </c>
    </row>
    <row r="5588" spans="1:4" x14ac:dyDescent="0.2">
      <c r="A5588" s="5">
        <v>5527</v>
      </c>
      <c r="B5588" s="138">
        <f>'Revenues 9-14'!F109</f>
        <v>171874</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28393</v>
      </c>
      <c r="D5615" s="2" t="str">
        <f t="shared" si="86"/>
        <v>Error?</v>
      </c>
    </row>
    <row r="5616" spans="1:4" x14ac:dyDescent="0.2">
      <c r="A5616" s="10">
        <v>5555</v>
      </c>
      <c r="D5616" s="2" t="str">
        <f t="shared" si="86"/>
        <v>OK</v>
      </c>
    </row>
    <row r="5617" spans="1:5" x14ac:dyDescent="0.2">
      <c r="A5617" s="5">
        <v>5556</v>
      </c>
      <c r="B5617" s="138">
        <f>'Revenues 9-14'!F153</f>
        <v>98916</v>
      </c>
      <c r="D5617" s="2" t="str">
        <f t="shared" si="86"/>
        <v>Error?</v>
      </c>
    </row>
    <row r="5618" spans="1:5" x14ac:dyDescent="0.2">
      <c r="A5618" s="5">
        <v>5557</v>
      </c>
      <c r="B5618" s="138">
        <f>'Revenues 9-14'!F155</f>
        <v>127309</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127309</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127309</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299183</v>
      </c>
      <c r="C5720" s="2" t="s">
        <v>572</v>
      </c>
      <c r="D5720" s="2" t="str">
        <f t="shared" si="88"/>
        <v>Error?</v>
      </c>
    </row>
    <row r="5721" spans="1:4" x14ac:dyDescent="0.2">
      <c r="A5721" s="5">
        <v>5660</v>
      </c>
      <c r="B5721" s="138">
        <f>'Revenues 9-14'!G5</f>
        <v>156352</v>
      </c>
      <c r="D5721" s="2" t="str">
        <f t="shared" si="88"/>
        <v>Error?</v>
      </c>
    </row>
    <row r="5722" spans="1:4" x14ac:dyDescent="0.2">
      <c r="A5722" s="5">
        <v>5661</v>
      </c>
      <c r="B5722" s="138">
        <f>'Revenues 9-14'!G7</f>
        <v>0</v>
      </c>
      <c r="D5722" s="2" t="str">
        <f t="shared" si="88"/>
        <v>Error?</v>
      </c>
    </row>
    <row r="5723" spans="1:4" x14ac:dyDescent="0.2">
      <c r="A5723" s="5">
        <v>5662</v>
      </c>
      <c r="B5723" s="138">
        <f>'Revenues 9-14'!G8</f>
        <v>193622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349974</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2818</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2818</v>
      </c>
      <c r="C5730" s="2" t="s">
        <v>572</v>
      </c>
      <c r="D5730" s="2" t="str">
        <f t="shared" si="88"/>
        <v>Error?</v>
      </c>
    </row>
    <row r="5731" spans="1:4" x14ac:dyDescent="0.2">
      <c r="A5731" s="5">
        <v>5670</v>
      </c>
      <c r="B5731" s="138">
        <f>'Revenues 9-14'!G65</f>
        <v>187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187</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352979</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0</v>
      </c>
      <c r="C5915" s="2" t="s">
        <v>572</v>
      </c>
      <c r="D5915" s="2" t="str">
        <f t="shared" si="91"/>
        <v>Error?</v>
      </c>
    </row>
    <row r="5916" spans="1:4" x14ac:dyDescent="0.2">
      <c r="A5916" s="5">
        <v>5855</v>
      </c>
      <c r="B5916" s="138">
        <f>'Revenues 9-14'!I5</f>
        <v>39901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39901</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25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25</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39926</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39901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39901</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39907</v>
      </c>
      <c r="C6023" s="2" t="s">
        <v>572</v>
      </c>
      <c r="D6023" s="2" t="str">
        <f t="shared" si="93"/>
        <v>Error?</v>
      </c>
    </row>
    <row r="6024" spans="1:5" x14ac:dyDescent="0.2">
      <c r="A6024" s="5">
        <v>5963</v>
      </c>
      <c r="B6024" s="138">
        <f>'Revenues 9-14'!G109</f>
        <v>352979</v>
      </c>
      <c r="C6024" s="2" t="s">
        <v>572</v>
      </c>
      <c r="D6024" s="2" t="str">
        <f t="shared" si="93"/>
        <v>Error?</v>
      </c>
    </row>
    <row r="6025" spans="1:5" x14ac:dyDescent="0.2">
      <c r="A6025" s="5">
        <v>5964</v>
      </c>
      <c r="B6025" s="138">
        <f>'Revenues 9-14'!H109</f>
        <v>0</v>
      </c>
      <c r="C6025" s="2" t="s">
        <v>572</v>
      </c>
      <c r="D6025" s="2" t="str">
        <f t="shared" si="93"/>
        <v>Error?</v>
      </c>
    </row>
    <row r="6026" spans="1:5" x14ac:dyDescent="0.2">
      <c r="A6026" s="5">
        <v>5965</v>
      </c>
      <c r="B6026" s="138">
        <f>'Revenues 9-14'!I109</f>
        <v>39926</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39907</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66462</v>
      </c>
      <c r="D6031" s="2" t="str">
        <f t="shared" si="93"/>
        <v>Error?</v>
      </c>
    </row>
    <row r="6032" spans="1:5" x14ac:dyDescent="0.2">
      <c r="A6032" s="5">
        <v>5971</v>
      </c>
      <c r="B6032" s="138">
        <f>'Acct Summary 7-8'!G15</f>
        <v>3296</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17615</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520</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1980462</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1141744</v>
      </c>
      <c r="D6124" s="2" t="str">
        <f t="shared" si="94"/>
        <v>Error?</v>
      </c>
      <c r="E6124" s="2" t="s">
        <v>190</v>
      </c>
    </row>
    <row r="6125" spans="1:5" x14ac:dyDescent="0.2">
      <c r="A6125">
        <v>6064</v>
      </c>
      <c r="B6125" s="138">
        <f>'Assets-Liab 5-6'!C25</f>
        <v>525000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1455462</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400000</v>
      </c>
      <c r="D6142" s="2" t="str">
        <f t="shared" si="94"/>
        <v>Error?</v>
      </c>
      <c r="E6142" s="2" t="s">
        <v>190</v>
      </c>
    </row>
    <row r="6143" spans="1:5" x14ac:dyDescent="0.2">
      <c r="A6143">
        <v>6082</v>
      </c>
      <c r="B6143" s="138">
        <f>'Assets-Liab 5-6'!D27</f>
        <v>100000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1141744</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1141744</v>
      </c>
      <c r="D6216" s="2" t="str">
        <f t="shared" si="96"/>
        <v>Error?</v>
      </c>
      <c r="E6216" s="2" t="s">
        <v>190</v>
      </c>
    </row>
    <row r="6217" spans="1:5" x14ac:dyDescent="0.2">
      <c r="A6217">
        <v>6156</v>
      </c>
      <c r="B6217" s="138">
        <f>'Assets-Liab 5-6'!J4</f>
        <v>1141744</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533729</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533729</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533729</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407786</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407786</v>
      </c>
      <c r="D6229" s="2" t="str">
        <f t="shared" si="96"/>
        <v>Error?</v>
      </c>
      <c r="E6229" s="2" t="s">
        <v>190</v>
      </c>
    </row>
    <row r="6230" spans="1:5" x14ac:dyDescent="0.2">
      <c r="A6230">
        <v>6169</v>
      </c>
      <c r="B6230" s="138">
        <f>'Acct Summary 7-8'!J20</f>
        <v>125943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125943</v>
      </c>
      <c r="D6263" s="2" t="str">
        <f t="shared" si="96"/>
        <v>Error?</v>
      </c>
      <c r="E6263" s="2" t="s">
        <v>190</v>
      </c>
    </row>
    <row r="6264" spans="1:5" x14ac:dyDescent="0.2">
      <c r="A6264">
        <v>6203</v>
      </c>
      <c r="B6264" s="138">
        <f>'Acct Summary 7-8'!J79</f>
        <v>1015801</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1141744</v>
      </c>
      <c r="D6266" s="2" t="str">
        <f t="shared" si="96"/>
        <v>Error?</v>
      </c>
      <c r="E6266" s="2" t="s">
        <v>190</v>
      </c>
    </row>
    <row r="6267" spans="1:5" x14ac:dyDescent="0.2">
      <c r="A6267">
        <v>6206</v>
      </c>
      <c r="B6267" s="138">
        <f>'Acct Summary 7-8'!C82</f>
        <v>-329709</v>
      </c>
      <c r="D6267" s="2" t="str">
        <f t="shared" si="96"/>
        <v>Error?</v>
      </c>
      <c r="E6267" s="2" t="s">
        <v>190</v>
      </c>
    </row>
    <row r="6268" spans="1:5" x14ac:dyDescent="0.2">
      <c r="A6268">
        <v>6207</v>
      </c>
      <c r="B6268" s="138">
        <f>'Acct Summary 7-8'!D82</f>
        <v>-33532</v>
      </c>
      <c r="D6268" s="2" t="str">
        <f t="shared" si="96"/>
        <v>Error?</v>
      </c>
      <c r="E6268" s="2" t="s">
        <v>190</v>
      </c>
    </row>
    <row r="6269" spans="1:5" x14ac:dyDescent="0.2">
      <c r="A6269">
        <v>6208</v>
      </c>
      <c r="B6269" s="138">
        <f>'Acct Summary 7-8'!E82</f>
        <v>7744</v>
      </c>
      <c r="D6269" s="2" t="str">
        <f t="shared" si="96"/>
        <v>Error?</v>
      </c>
      <c r="E6269" s="2" t="s">
        <v>190</v>
      </c>
    </row>
    <row r="6270" spans="1:5" x14ac:dyDescent="0.2">
      <c r="A6270">
        <v>6209</v>
      </c>
      <c r="B6270" s="138">
        <f>'Acct Summary 7-8'!F82</f>
        <v>-27990</v>
      </c>
      <c r="D6270" s="2" t="str">
        <f t="shared" si="96"/>
        <v>Error?</v>
      </c>
      <c r="E6270" s="2" t="s">
        <v>190</v>
      </c>
    </row>
    <row r="6271" spans="1:5" x14ac:dyDescent="0.2">
      <c r="A6271">
        <v>6210</v>
      </c>
      <c r="B6271" s="138">
        <f>'Acct Summary 7-8'!G82</f>
        <v>156859</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39926</v>
      </c>
      <c r="D6273" s="2" t="str">
        <f t="shared" si="97"/>
        <v>Error?</v>
      </c>
      <c r="E6273" s="2" t="s">
        <v>190</v>
      </c>
    </row>
    <row r="6274" spans="1:5" x14ac:dyDescent="0.2">
      <c r="A6274">
        <v>6213</v>
      </c>
      <c r="B6274" s="138">
        <f>'Acct Summary 7-8'!J82</f>
        <v>125943</v>
      </c>
      <c r="D6274" s="2" t="str">
        <f t="shared" si="97"/>
        <v>Error?</v>
      </c>
      <c r="E6274" s="2" t="s">
        <v>190</v>
      </c>
    </row>
    <row r="6275" spans="1:5" x14ac:dyDescent="0.2">
      <c r="A6275">
        <v>6214</v>
      </c>
      <c r="B6275" s="138">
        <f>'Acct Summary 7-8'!K82</f>
        <v>-234</v>
      </c>
      <c r="D6275" s="2" t="str">
        <f t="shared" si="97"/>
        <v>Error?</v>
      </c>
      <c r="E6275" s="2" t="s">
        <v>190</v>
      </c>
    </row>
    <row r="6276" spans="1:5" x14ac:dyDescent="0.2">
      <c r="A6276">
        <v>6215</v>
      </c>
      <c r="B6276" s="138">
        <f>'Acct Summary 7-8'!C83</f>
        <v>0.37678057387474589</v>
      </c>
      <c r="D6276" s="2" t="str">
        <f t="shared" si="97"/>
        <v>Error?</v>
      </c>
      <c r="E6276" s="2" t="s">
        <v>190</v>
      </c>
    </row>
    <row r="6277" spans="1:5" x14ac:dyDescent="0.2">
      <c r="A6277">
        <v>6216</v>
      </c>
      <c r="B6277" s="138">
        <f>'Acct Summary 7-8'!D83</f>
        <v>0.33532000000000001</v>
      </c>
      <c r="D6277" s="2" t="str">
        <f t="shared" si="97"/>
        <v>Error?</v>
      </c>
      <c r="E6277" s="2" t="s">
        <v>190</v>
      </c>
    </row>
    <row r="6278" spans="1:5" x14ac:dyDescent="0.2">
      <c r="A6278">
        <v>6217</v>
      </c>
      <c r="B6278" s="138">
        <f>'Acct Summary 7-8'!E83</f>
        <v>1.5251029503573476E-2</v>
      </c>
      <c r="D6278" s="2" t="str">
        <f t="shared" si="97"/>
        <v>Error?</v>
      </c>
      <c r="E6278" s="2" t="s">
        <v>190</v>
      </c>
    </row>
    <row r="6279" spans="1:5" x14ac:dyDescent="0.2">
      <c r="A6279">
        <v>6218</v>
      </c>
      <c r="B6279" s="138">
        <f>'Acct Summary 7-8'!F83</f>
        <v>-0.13027754376329423</v>
      </c>
      <c r="D6279" s="2" t="str">
        <f t="shared" si="97"/>
        <v>Error?</v>
      </c>
      <c r="E6279" s="2" t="s">
        <v>190</v>
      </c>
    </row>
    <row r="6280" spans="1:5" x14ac:dyDescent="0.2">
      <c r="A6280">
        <v>6219</v>
      </c>
      <c r="B6280" s="138">
        <f>'Acct Summary 7-8'!G83</f>
        <v>0.17968409030769636</v>
      </c>
      <c r="D6280" s="2" t="str">
        <f t="shared" si="97"/>
        <v>Error?</v>
      </c>
      <c r="E6280" s="2" t="s">
        <v>190</v>
      </c>
    </row>
    <row r="6281" spans="1:5" x14ac:dyDescent="0.2">
      <c r="A6281">
        <v>6220</v>
      </c>
      <c r="B6281" s="138">
        <f>'Acct Summary 7-8'!H83</f>
        <v>0</v>
      </c>
      <c r="D6281" s="2" t="str">
        <f t="shared" si="97"/>
        <v>Error?</v>
      </c>
      <c r="E6281" s="2" t="s">
        <v>190</v>
      </c>
    </row>
    <row r="6282" spans="1:5" x14ac:dyDescent="0.2">
      <c r="A6282">
        <v>6221</v>
      </c>
      <c r="B6282" s="138">
        <f>'Acct Summary 7-8'!I83</f>
        <v>1.896487844731767E-2</v>
      </c>
      <c r="D6282" s="2" t="str">
        <f t="shared" si="97"/>
        <v>Error?</v>
      </c>
      <c r="E6282" s="2" t="s">
        <v>190</v>
      </c>
    </row>
    <row r="6283" spans="1:5" x14ac:dyDescent="0.2">
      <c r="A6283">
        <v>6222</v>
      </c>
      <c r="B6283" s="138">
        <f>'Acct Summary 7-8'!J83</f>
        <v>0.11030756456788912</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532397</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532397</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238</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238</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1094</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1094</v>
      </c>
      <c r="D6351" s="2" t="str">
        <f t="shared" si="98"/>
        <v>Error?</v>
      </c>
      <c r="E6351" s="2" t="s">
        <v>190</v>
      </c>
    </row>
    <row r="6352" spans="1:5" x14ac:dyDescent="0.2">
      <c r="A6352">
        <v>6291</v>
      </c>
      <c r="B6352" s="138">
        <f>'Revenues 9-14'!J109</f>
        <v>533729</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30115</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36472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35099</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7924</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386855</v>
      </c>
      <c r="D6983" s="2" t="str">
        <f t="shared" si="108"/>
        <v>Error?</v>
      </c>
    </row>
    <row r="6984" spans="1:4" x14ac:dyDescent="0.2">
      <c r="A6984">
        <v>6923</v>
      </c>
      <c r="B6984" s="138">
        <f>'Expenditures 15-22'!K86</f>
        <v>386855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386855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16513</v>
      </c>
      <c r="D7016" s="2" t="str">
        <f t="shared" si="108"/>
        <v>Error?</v>
      </c>
    </row>
    <row r="7017" spans="1:4" x14ac:dyDescent="0.2">
      <c r="A7017">
        <v>6956</v>
      </c>
      <c r="B7017" s="138">
        <f>'Expenditures 15-22'!K111</f>
        <v>16513</v>
      </c>
      <c r="D7017" s="2" t="str">
        <f t="shared" si="108"/>
        <v>Error?</v>
      </c>
    </row>
    <row r="7018" spans="1:4" x14ac:dyDescent="0.2">
      <c r="A7018">
        <v>6957</v>
      </c>
      <c r="B7018" s="138">
        <f>'Expenditures 15-22'!H112</f>
        <v>16513</v>
      </c>
      <c r="D7018" s="2" t="str">
        <f t="shared" si="108"/>
        <v>Error?</v>
      </c>
    </row>
    <row r="7019" spans="1:4" x14ac:dyDescent="0.2">
      <c r="A7019">
        <v>6958</v>
      </c>
      <c r="B7019" s="138">
        <f>'Expenditures 15-22'!K112</f>
        <v>16513</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407786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533729</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5210</v>
      </c>
      <c r="D7067" s="2" t="str">
        <f t="shared" si="109"/>
        <v>Error?</v>
      </c>
    </row>
    <row r="7068" spans="1:4" x14ac:dyDescent="0.2">
      <c r="A7068">
        <v>7007</v>
      </c>
      <c r="B7068" s="138">
        <f>'Expenditures 15-22'!K205</f>
        <v>5210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1308</v>
      </c>
      <c r="D7073" s="2" t="str">
        <f t="shared" si="109"/>
        <v>Error?</v>
      </c>
    </row>
    <row r="7074" spans="1:4" x14ac:dyDescent="0.2">
      <c r="A7074">
        <v>7013</v>
      </c>
      <c r="B7074" s="138">
        <f>'Expenditures 15-22'!K216</f>
        <v>1308</v>
      </c>
      <c r="D7074" s="2" t="str">
        <f t="shared" si="109"/>
        <v>Error?</v>
      </c>
    </row>
    <row r="7075" spans="1:4" x14ac:dyDescent="0.2">
      <c r="A7075">
        <v>7014</v>
      </c>
      <c r="B7075" s="138">
        <f>'Expenditures 15-22'!D218</f>
        <v>1346</v>
      </c>
      <c r="D7075" s="2" t="str">
        <f t="shared" si="109"/>
        <v>Error?</v>
      </c>
    </row>
    <row r="7076" spans="1:4" x14ac:dyDescent="0.2">
      <c r="A7076">
        <v>7015</v>
      </c>
      <c r="B7076" s="138">
        <f>'Expenditures 15-22'!K218</f>
        <v>1346</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89</v>
      </c>
      <c r="D7079" s="2" t="str">
        <f t="shared" si="109"/>
        <v>Error?</v>
      </c>
    </row>
    <row r="7080" spans="1:4" x14ac:dyDescent="0.2">
      <c r="A7080">
        <v>7019</v>
      </c>
      <c r="B7080" s="138">
        <f>'Expenditures 15-22'!K226</f>
        <v>89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15816</v>
      </c>
      <c r="D7093" s="2" t="str">
        <f t="shared" si="109"/>
        <v>Error?</v>
      </c>
    </row>
    <row r="7094" spans="1:4" x14ac:dyDescent="0.2">
      <c r="A7094">
        <v>7033</v>
      </c>
      <c r="B7094" s="138">
        <f>'Expenditures 15-22'!K254</f>
        <v>15816</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31203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31203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578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578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237084</v>
      </c>
      <c r="D7172" s="2" t="str">
        <f t="shared" si="111"/>
        <v>Error?</v>
      </c>
    </row>
    <row r="7173" spans="1:4" x14ac:dyDescent="0.2">
      <c r="A7173">
        <v>7112</v>
      </c>
      <c r="B7173" s="138">
        <f>'Expenditures 15-22'!D325</f>
        <v>35443</v>
      </c>
      <c r="D7173" s="2" t="str">
        <f t="shared" si="111"/>
        <v>Error?</v>
      </c>
    </row>
    <row r="7174" spans="1:4" x14ac:dyDescent="0.2">
      <c r="A7174">
        <v>7113</v>
      </c>
      <c r="B7174" s="138">
        <f>'Expenditures 15-22'!E325</f>
        <v>18720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291247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15963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15963</v>
      </c>
      <c r="D7198" s="2" t="str">
        <f t="shared" si="111"/>
        <v>Error?</v>
      </c>
    </row>
    <row r="7199" spans="1:4" x14ac:dyDescent="0.2">
      <c r="A7199">
        <v>7138</v>
      </c>
      <c r="B7199" s="138">
        <f>'Expenditures 15-22'!C330</f>
        <v>237084</v>
      </c>
      <c r="D7199" s="2" t="str">
        <f t="shared" si="111"/>
        <v>Error?</v>
      </c>
    </row>
    <row r="7200" spans="1:4" x14ac:dyDescent="0.2">
      <c r="A7200">
        <v>7139</v>
      </c>
      <c r="B7200" s="138">
        <f>'Expenditures 15-22'!D330</f>
        <v>35443</v>
      </c>
      <c r="D7200" s="2" t="str">
        <f t="shared" si="111"/>
        <v>Error?</v>
      </c>
    </row>
    <row r="7201" spans="1:4" x14ac:dyDescent="0.2">
      <c r="A7201">
        <v>7140</v>
      </c>
      <c r="B7201" s="138">
        <f>'Expenditures 15-22'!E330</f>
        <v>135259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407786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237084</v>
      </c>
      <c r="D7216" s="2" t="str">
        <f t="shared" si="111"/>
        <v>Error?</v>
      </c>
    </row>
    <row r="7217" spans="1:4" x14ac:dyDescent="0.2">
      <c r="A7217">
        <v>7156</v>
      </c>
      <c r="B7217" s="138">
        <f>'Expenditures 15-22'!D342</f>
        <v>35443</v>
      </c>
      <c r="D7217" s="2" t="str">
        <f t="shared" si="111"/>
        <v>Error?</v>
      </c>
    </row>
    <row r="7218" spans="1:4" x14ac:dyDescent="0.2">
      <c r="A7218">
        <v>7157</v>
      </c>
      <c r="B7218" s="138">
        <f>'Expenditures 15-22'!E342</f>
        <v>135259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407786</v>
      </c>
      <c r="D7224" s="2" t="str">
        <f t="shared" si="111"/>
        <v>Error?</v>
      </c>
    </row>
    <row r="7225" spans="1:4" x14ac:dyDescent="0.2">
      <c r="A7225">
        <v>7164</v>
      </c>
      <c r="B7225" s="138">
        <f>'Expenditures 15-22'!K343</f>
        <v>125943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5528</v>
      </c>
      <c r="D7246" s="2" t="str">
        <f t="shared" si="112"/>
        <v>Error?</v>
      </c>
    </row>
    <row r="7247" spans="1:4" x14ac:dyDescent="0.2">
      <c r="A7247">
        <f t="shared" si="113"/>
        <v>7186</v>
      </c>
      <c r="B7247" s="138">
        <f>'Expenditures 15-22'!E7</f>
        <v>778</v>
      </c>
      <c r="D7247" s="2" t="str">
        <f t="shared" si="112"/>
        <v>Error?</v>
      </c>
    </row>
    <row r="7248" spans="1:4" x14ac:dyDescent="0.2">
      <c r="A7248">
        <f t="shared" si="113"/>
        <v>7187</v>
      </c>
      <c r="B7248" s="138">
        <f>'Expenditures 15-22'!F7</f>
        <v>51</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29590</v>
      </c>
      <c r="D7251" s="2" t="str">
        <f t="shared" si="112"/>
        <v>Error?</v>
      </c>
    </row>
    <row r="7252" spans="1:4" x14ac:dyDescent="0.2">
      <c r="A7252">
        <f t="shared" si="113"/>
        <v>7191</v>
      </c>
      <c r="B7252" s="138">
        <f>'Expenditures 15-22'!D9</f>
        <v>5477</v>
      </c>
      <c r="D7252" s="2" t="str">
        <f t="shared" si="112"/>
        <v>Error?</v>
      </c>
    </row>
    <row r="7253" spans="1:4" x14ac:dyDescent="0.2">
      <c r="A7253">
        <f t="shared" si="113"/>
        <v>7192</v>
      </c>
      <c r="B7253" s="138">
        <f>'Expenditures 15-22'!E9</f>
        <v>32</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6120</v>
      </c>
      <c r="D7263" s="2" t="str">
        <f t="shared" si="112"/>
        <v>Error?</v>
      </c>
    </row>
    <row r="7264" spans="1:4" x14ac:dyDescent="0.2">
      <c r="A7264">
        <f t="shared" si="113"/>
        <v>7203</v>
      </c>
      <c r="B7264" s="138">
        <f>'Expenditures 15-22'!D17</f>
        <v>740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1064</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619471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68795</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68795</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31925</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1</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1</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191807</v>
      </c>
      <c r="D7797" s="2" t="str">
        <f t="shared" si="127"/>
        <v>Error?</v>
      </c>
      <c r="E7797" s="4" t="s">
        <v>1903</v>
      </c>
    </row>
    <row r="7798" spans="1:5" x14ac:dyDescent="0.2">
      <c r="A7798">
        <v>7737</v>
      </c>
      <c r="B7798" s="138">
        <f>'Contracts Paid in CY 29'!F141</f>
        <v>182825</v>
      </c>
      <c r="D7798" s="2" t="str">
        <f t="shared" si="127"/>
        <v>Error?</v>
      </c>
      <c r="E7798" s="4" t="s">
        <v>1903</v>
      </c>
    </row>
    <row r="7799" spans="1:5" x14ac:dyDescent="0.2">
      <c r="A7799">
        <v>7738</v>
      </c>
      <c r="B7799" s="138">
        <f>'Contracts Paid in CY 29'!G141</f>
        <v>8982</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390" t="s">
        <v>1190</v>
      </c>
      <c r="B2" s="2390"/>
      <c r="C2" s="2390"/>
      <c r="D2" s="2390"/>
      <c r="E2" s="2390"/>
      <c r="F2" s="2390"/>
      <c r="G2" s="2390"/>
      <c r="H2" s="2390"/>
      <c r="I2" s="2390"/>
      <c r="J2" s="2390"/>
      <c r="K2" s="2390"/>
      <c r="L2" s="2390"/>
    </row>
    <row r="3" spans="1:29" ht="13.5" customHeight="1" x14ac:dyDescent="0.2">
      <c r="A3" s="2421" t="s">
        <v>1189</v>
      </c>
      <c r="B3" s="2421"/>
      <c r="C3" s="2421"/>
      <c r="D3" s="2421"/>
      <c r="E3" s="2421"/>
      <c r="F3" s="2421"/>
      <c r="G3" s="2421"/>
      <c r="H3" s="2421"/>
      <c r="I3" s="2421"/>
      <c r="J3" s="2421"/>
      <c r="K3" s="2421"/>
      <c r="L3" s="2421"/>
    </row>
    <row r="4" spans="1:29" ht="13.5" customHeight="1" x14ac:dyDescent="0.2">
      <c r="A4" s="2390" t="s">
        <v>1988</v>
      </c>
      <c r="B4" s="2411"/>
      <c r="C4" s="2411"/>
      <c r="D4" s="2411"/>
      <c r="E4" s="2411"/>
      <c r="F4" s="2411"/>
      <c r="G4" s="2411"/>
      <c r="H4" s="2411"/>
      <c r="I4" s="2411"/>
      <c r="J4" s="2411"/>
      <c r="K4" s="2411"/>
      <c r="L4" s="2411"/>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1188</v>
      </c>
      <c r="B6" s="1182"/>
      <c r="C6" s="1183"/>
      <c r="D6" s="1183"/>
      <c r="E6" s="1184" t="s">
        <v>1187</v>
      </c>
      <c r="F6" s="1185"/>
      <c r="G6" s="1186" t="s">
        <v>1186</v>
      </c>
      <c r="H6" s="1183"/>
      <c r="I6" s="1183"/>
      <c r="J6" s="1183"/>
      <c r="K6" s="1183"/>
      <c r="L6" s="1187"/>
      <c r="V6" s="1180"/>
      <c r="W6" s="1180"/>
      <c r="X6" s="1180"/>
      <c r="Y6" s="1180"/>
      <c r="Z6" s="1180"/>
      <c r="AA6" s="1180"/>
      <c r="AB6" s="1180"/>
      <c r="AC6" s="1180"/>
    </row>
    <row r="7" spans="1:29" ht="16.5" customHeight="1" x14ac:dyDescent="0.2">
      <c r="A7" s="2412" t="str">
        <f>COVER!A17</f>
        <v>Lebanon CUSD 9</v>
      </c>
      <c r="B7" s="2413"/>
      <c r="C7" s="2413"/>
      <c r="D7" s="2414"/>
      <c r="E7" s="2415">
        <f>COVER!A13</f>
        <v>50082009026</v>
      </c>
      <c r="F7" s="2416"/>
      <c r="G7" s="2422" t="str">
        <f>COVER!T23</f>
        <v>066.004582</v>
      </c>
      <c r="H7" s="2423"/>
      <c r="I7" s="2423"/>
      <c r="J7" s="2423"/>
      <c r="K7" s="2423"/>
      <c r="L7" s="2424"/>
    </row>
    <row r="8" spans="1:29" ht="13.5" customHeight="1" x14ac:dyDescent="0.2">
      <c r="A8" s="1181" t="s">
        <v>1516</v>
      </c>
      <c r="B8" s="1182"/>
      <c r="C8" s="1183"/>
      <c r="D8" s="1183"/>
      <c r="E8" s="1188"/>
      <c r="F8" s="1187"/>
      <c r="G8" s="1189" t="s">
        <v>1185</v>
      </c>
      <c r="H8" s="1190"/>
      <c r="I8" s="1190"/>
      <c r="J8" s="1190"/>
      <c r="K8" s="1190"/>
      <c r="L8" s="1191"/>
    </row>
    <row r="9" spans="1:29" ht="13.5" customHeight="1" x14ac:dyDescent="0.2">
      <c r="A9" s="2425"/>
      <c r="B9" s="2426"/>
      <c r="C9" s="2426"/>
      <c r="D9" s="2426"/>
      <c r="E9" s="2426"/>
      <c r="F9" s="2427"/>
      <c r="G9" s="2396" t="str">
        <f>COVER!T13</f>
        <v>Rice Sullivan, LLC</v>
      </c>
      <c r="H9" s="2428"/>
      <c r="I9" s="2428"/>
      <c r="J9" s="2428"/>
      <c r="K9" s="2428"/>
      <c r="L9" s="2429"/>
    </row>
    <row r="10" spans="1:29" ht="13.5" customHeight="1" x14ac:dyDescent="0.2">
      <c r="A10" s="2402" t="str">
        <f>COVER!A38</f>
        <v>Patrick Keeney</v>
      </c>
      <c r="B10" s="2403"/>
      <c r="C10" s="2403"/>
      <c r="D10" s="2403"/>
      <c r="E10" s="2403"/>
      <c r="F10" s="2404"/>
      <c r="G10" s="2396" t="str">
        <f>COVER!T17</f>
        <v>3121 North Illinois Street, Suite A</v>
      </c>
      <c r="H10" s="2397"/>
      <c r="I10" s="2397"/>
      <c r="J10" s="2397"/>
      <c r="K10" s="2397"/>
      <c r="L10" s="2398"/>
    </row>
    <row r="11" spans="1:29" ht="13.5" customHeight="1" x14ac:dyDescent="0.2">
      <c r="A11" s="1181" t="s">
        <v>1518</v>
      </c>
      <c r="B11" s="1182"/>
      <c r="C11" s="1183"/>
      <c r="D11" s="1188"/>
      <c r="E11" s="1183"/>
      <c r="F11" s="1187"/>
      <c r="G11" s="2396" t="str">
        <f>COVER!T19</f>
        <v>Swansea</v>
      </c>
      <c r="H11" s="2397"/>
      <c r="I11" s="2397"/>
      <c r="J11" s="2397"/>
      <c r="K11" s="2397"/>
      <c r="L11" s="2398"/>
    </row>
    <row r="12" spans="1:29" ht="13.5" customHeight="1" x14ac:dyDescent="0.2">
      <c r="A12" s="2405" t="s">
        <v>1517</v>
      </c>
      <c r="B12" s="2406"/>
      <c r="C12" s="2406"/>
      <c r="D12" s="2406"/>
      <c r="E12" s="2406"/>
      <c r="F12" s="2407"/>
      <c r="G12" s="2399"/>
      <c r="H12" s="2400"/>
      <c r="I12" s="2400"/>
      <c r="J12" s="2400"/>
      <c r="K12" s="2400"/>
      <c r="L12" s="2401"/>
    </row>
    <row r="13" spans="1:29" ht="13.5" customHeight="1" x14ac:dyDescent="0.2">
      <c r="A13" s="2396"/>
      <c r="B13" s="2397"/>
      <c r="C13" s="2397"/>
      <c r="D13" s="2397"/>
      <c r="E13" s="2397"/>
      <c r="F13" s="2398"/>
      <c r="G13" s="2391" t="s">
        <v>1519</v>
      </c>
      <c r="H13" s="2392"/>
      <c r="I13" s="2408" t="str">
        <f>COVER!T25</f>
        <v>bdixon@rsco.net</v>
      </c>
      <c r="J13" s="2409"/>
      <c r="K13" s="2409"/>
      <c r="L13" s="2410"/>
    </row>
    <row r="14" spans="1:29" ht="13.5" customHeight="1" x14ac:dyDescent="0.2">
      <c r="A14" s="2396" t="str">
        <f>COVER!A19</f>
        <v>200 West Schuetz Street</v>
      </c>
      <c r="B14" s="2397"/>
      <c r="C14" s="2397"/>
      <c r="D14" s="2397"/>
      <c r="E14" s="2397"/>
      <c r="F14" s="2398"/>
      <c r="G14" s="1192" t="s">
        <v>1184</v>
      </c>
      <c r="H14" s="1190"/>
      <c r="I14" s="1190"/>
      <c r="J14" s="1190"/>
      <c r="K14" s="1190"/>
      <c r="L14" s="1191"/>
    </row>
    <row r="15" spans="1:29" ht="13.5" customHeight="1" x14ac:dyDescent="0.2">
      <c r="A15" s="2396" t="str">
        <f>COVER!A21</f>
        <v xml:space="preserve">Lebanon  </v>
      </c>
      <c r="B15" s="2397"/>
      <c r="C15" s="2397"/>
      <c r="D15" s="2397"/>
      <c r="E15" s="2397"/>
      <c r="F15" s="2398"/>
      <c r="G15" s="2393" t="str">
        <f>COVER!T15</f>
        <v>Bill R. Dixon, CPA</v>
      </c>
      <c r="H15" s="2394"/>
      <c r="I15" s="2394"/>
      <c r="J15" s="2394"/>
      <c r="K15" s="2394"/>
      <c r="L15" s="2395"/>
    </row>
    <row r="16" spans="1:29" ht="12.2" customHeight="1" x14ac:dyDescent="0.2">
      <c r="A16" s="2418">
        <f>COVER!A25</f>
        <v>62254</v>
      </c>
      <c r="B16" s="2419"/>
      <c r="C16" s="2419"/>
      <c r="D16" s="2419"/>
      <c r="E16" s="2419"/>
      <c r="F16" s="2420"/>
      <c r="G16" s="2430"/>
      <c r="H16" s="2431"/>
      <c r="I16" s="2431"/>
      <c r="J16" s="2431"/>
      <c r="K16" s="2431"/>
      <c r="L16" s="2432"/>
    </row>
    <row r="17" spans="1:13" ht="12.2" customHeight="1" x14ac:dyDescent="0.2">
      <c r="A17" s="2433"/>
      <c r="B17" s="2419"/>
      <c r="C17" s="2419"/>
      <c r="D17" s="2419"/>
      <c r="E17" s="2419"/>
      <c r="F17" s="2420"/>
      <c r="G17" s="1192" t="s">
        <v>1183</v>
      </c>
      <c r="H17" s="1190"/>
      <c r="I17" s="1190"/>
      <c r="J17" s="1190"/>
      <c r="K17" s="1194" t="s">
        <v>1182</v>
      </c>
      <c r="L17" s="1187"/>
      <c r="M17" s="1180"/>
    </row>
    <row r="18" spans="1:13" ht="12.2" customHeight="1" x14ac:dyDescent="0.2">
      <c r="A18" s="2402"/>
      <c r="B18" s="2403"/>
      <c r="C18" s="2403"/>
      <c r="D18" s="2403"/>
      <c r="E18" s="2403"/>
      <c r="F18" s="2404"/>
      <c r="G18" s="2412" t="str">
        <f>COVER!T21</f>
        <v>618-233-0186</v>
      </c>
      <c r="H18" s="2413"/>
      <c r="I18" s="2413"/>
      <c r="J18" s="2413"/>
      <c r="K18" s="2412" t="str">
        <f>COVER!X21</f>
        <v>618-234-5804</v>
      </c>
      <c r="L18" s="2417"/>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1168</v>
      </c>
      <c r="K20" s="1173" t="s">
        <v>1168</v>
      </c>
    </row>
    <row r="21" spans="1:13" ht="12.2" customHeight="1" x14ac:dyDescent="0.2">
      <c r="A21" s="1196" t="s">
        <v>1697</v>
      </c>
    </row>
    <row r="22" spans="1:13" ht="12.2" customHeight="1" x14ac:dyDescent="0.2">
      <c r="A22" s="1197"/>
    </row>
    <row r="23" spans="1:13" ht="12.2" customHeight="1" x14ac:dyDescent="0.2">
      <c r="A23" s="1197"/>
      <c r="B23" s="1198"/>
      <c r="C23" s="1199" t="s">
        <v>1181</v>
      </c>
    </row>
    <row r="24" spans="1:13" ht="10.15" customHeight="1" x14ac:dyDescent="0.2">
      <c r="A24" s="1197"/>
      <c r="C24" s="1199" t="s">
        <v>1180</v>
      </c>
    </row>
    <row r="25" spans="1:13" ht="9" customHeight="1" x14ac:dyDescent="0.2">
      <c r="B25" s="1200" t="s">
        <v>1168</v>
      </c>
      <c r="C25" s="1201"/>
    </row>
    <row r="26" spans="1:13" s="1195" customFormat="1" ht="12.2" customHeight="1" x14ac:dyDescent="0.2">
      <c r="B26" s="1198"/>
      <c r="C26" s="1199" t="s">
        <v>1698</v>
      </c>
    </row>
    <row r="27" spans="1:13" s="1195" customFormat="1" ht="9" customHeight="1" x14ac:dyDescent="0.2">
      <c r="B27" s="1200"/>
      <c r="C27" s="1199"/>
    </row>
    <row r="28" spans="1:13" s="1195" customFormat="1" ht="12.2" customHeight="1" x14ac:dyDescent="0.2">
      <c r="A28" s="1202"/>
      <c r="B28" s="1198"/>
      <c r="C28" s="1199" t="s">
        <v>1699</v>
      </c>
    </row>
    <row r="29" spans="1:13" s="1195" customFormat="1" ht="9" customHeight="1" x14ac:dyDescent="0.2">
      <c r="A29" s="1202"/>
      <c r="B29" s="1200"/>
      <c r="C29" s="1199"/>
    </row>
    <row r="30" spans="1:13" s="1195" customFormat="1" ht="12.2" customHeight="1" x14ac:dyDescent="0.2">
      <c r="B30" s="1198"/>
      <c r="C30" s="1199" t="s">
        <v>1561</v>
      </c>
      <c r="D30" s="1193"/>
      <c r="E30" s="1193"/>
    </row>
    <row r="31" spans="1:13" s="1195" customFormat="1" ht="9" customHeight="1" x14ac:dyDescent="0.2">
      <c r="B31" s="1200"/>
      <c r="C31" s="1199"/>
      <c r="D31" s="1193"/>
      <c r="E31" s="1193"/>
    </row>
    <row r="32" spans="1:13" s="1195" customFormat="1" ht="12.2" customHeight="1" x14ac:dyDescent="0.2">
      <c r="B32" s="1198"/>
      <c r="C32" s="1199" t="s">
        <v>1562</v>
      </c>
      <c r="D32" s="1193"/>
      <c r="E32" s="1193"/>
    </row>
    <row r="33" spans="1:8" s="1195" customFormat="1" ht="10.9" customHeight="1" x14ac:dyDescent="0.2">
      <c r="B33" s="1200"/>
      <c r="C33" s="1203" t="s">
        <v>1700</v>
      </c>
      <c r="D33" s="1193"/>
      <c r="E33" s="1193"/>
    </row>
    <row r="34" spans="1:8" ht="9" customHeight="1" x14ac:dyDescent="0.2">
      <c r="B34" s="1200"/>
      <c r="C34" s="1203"/>
    </row>
    <row r="35" spans="1:8" s="1195" customFormat="1" ht="13.5" customHeight="1" x14ac:dyDescent="0.2">
      <c r="B35" s="1198"/>
      <c r="C35" s="1199" t="s">
        <v>1563</v>
      </c>
    </row>
    <row r="36" spans="1:8" s="1195" customFormat="1" ht="10.9" customHeight="1" x14ac:dyDescent="0.2">
      <c r="B36" s="1200"/>
      <c r="C36" s="1203" t="s">
        <v>1564</v>
      </c>
    </row>
    <row r="37" spans="1:8" ht="9" customHeight="1" x14ac:dyDescent="0.2">
      <c r="B37" s="1200"/>
      <c r="C37" s="1203"/>
    </row>
    <row r="38" spans="1:8" s="1195" customFormat="1" ht="12.2" customHeight="1" x14ac:dyDescent="0.2">
      <c r="B38" s="1198"/>
      <c r="C38" s="1199" t="s">
        <v>1565</v>
      </c>
    </row>
    <row r="39" spans="1:8" ht="9" customHeight="1" x14ac:dyDescent="0.2">
      <c r="B39" s="1200"/>
      <c r="C39" s="1203"/>
    </row>
    <row r="40" spans="1:8" s="1195" customFormat="1" ht="13.5" customHeight="1" x14ac:dyDescent="0.2">
      <c r="B40" s="1198"/>
      <c r="C40" s="1199" t="s">
        <v>1566</v>
      </c>
    </row>
    <row r="41" spans="1:8" ht="9" customHeight="1" x14ac:dyDescent="0.2">
      <c r="A41" s="1204"/>
      <c r="B41" s="1200"/>
      <c r="C41" s="1203"/>
    </row>
    <row r="42" spans="1:8" s="1195" customFormat="1" ht="13.5" customHeight="1" x14ac:dyDescent="0.2">
      <c r="B42" s="1198"/>
      <c r="C42" s="1199" t="s">
        <v>1835</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1179</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1567</v>
      </c>
      <c r="D46" s="1193"/>
      <c r="E46" s="1193"/>
      <c r="F46" s="1193"/>
      <c r="G46" s="1193"/>
      <c r="H46" s="1193"/>
    </row>
    <row r="47" spans="1:8" ht="9" customHeight="1" x14ac:dyDescent="0.2"/>
    <row r="48" spans="1:8" ht="12.2" customHeight="1" x14ac:dyDescent="0.2">
      <c r="B48" s="1931"/>
      <c r="C48" s="1207" t="s">
        <v>1568</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oddFooter>&amp;LSee Notes to Financial Statements.</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34" t="str">
        <f>'Single Audit Cover'!A7</f>
        <v>Lebanon CUSD 9</v>
      </c>
      <c r="B1" s="2411"/>
      <c r="C1" s="2411"/>
      <c r="D1" s="2411"/>
    </row>
    <row r="2" spans="1:11" s="1209" customFormat="1" ht="12.75" x14ac:dyDescent="0.2">
      <c r="A2" s="2435">
        <f>'Single Audit Cover'!E7</f>
        <v>50082009026</v>
      </c>
      <c r="B2" s="2436"/>
      <c r="C2" s="2436"/>
      <c r="D2" s="2436"/>
    </row>
    <row r="3" spans="1:11" s="1209" customFormat="1" ht="12.75" x14ac:dyDescent="0.2">
      <c r="A3" s="2434" t="s">
        <v>1512</v>
      </c>
      <c r="B3" s="2411"/>
      <c r="C3" s="2411"/>
      <c r="D3" s="2411"/>
    </row>
    <row r="4" spans="1:11" s="1209" customFormat="1" ht="4.5" customHeight="1" x14ac:dyDescent="0.2">
      <c r="A4" s="1210"/>
      <c r="B4" s="1211"/>
      <c r="C4" s="1211"/>
      <c r="D4" s="1211"/>
    </row>
    <row r="5" spans="1:11" x14ac:dyDescent="0.2">
      <c r="B5" s="1213" t="s">
        <v>1513</v>
      </c>
      <c r="C5" s="1214"/>
      <c r="D5" s="1215"/>
    </row>
    <row r="6" spans="1:11" x14ac:dyDescent="0.2">
      <c r="B6" s="1213" t="s">
        <v>1224</v>
      </c>
      <c r="C6" s="1214"/>
      <c r="D6" s="1215"/>
    </row>
    <row r="7" spans="1:11" x14ac:dyDescent="0.2">
      <c r="B7" s="1213" t="s">
        <v>1514</v>
      </c>
      <c r="C7" s="1214"/>
      <c r="D7" s="1215"/>
    </row>
    <row r="8" spans="1:11" ht="4.5" customHeight="1" x14ac:dyDescent="0.2">
      <c r="B8" s="1213"/>
      <c r="C8" s="1214"/>
      <c r="D8" s="1215"/>
    </row>
    <row r="9" spans="1:11" x14ac:dyDescent="0.2">
      <c r="B9" s="1217" t="s">
        <v>1223</v>
      </c>
      <c r="C9" s="1218"/>
      <c r="D9" s="1215"/>
    </row>
    <row r="10" spans="1:11" ht="4.5" customHeight="1" x14ac:dyDescent="0.2">
      <c r="B10" s="1217"/>
      <c r="C10" s="1218"/>
      <c r="D10" s="1215"/>
    </row>
    <row r="11" spans="1:11" x14ac:dyDescent="0.2">
      <c r="B11" s="1219"/>
      <c r="C11" s="1220">
        <v>1</v>
      </c>
      <c r="D11" s="1221" t="s">
        <v>1701</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1702</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1703</v>
      </c>
      <c r="E15" s="1222"/>
      <c r="F15" s="1222"/>
      <c r="G15" s="1222"/>
      <c r="H15" s="1222"/>
      <c r="I15" s="1222"/>
      <c r="J15" s="1222"/>
      <c r="K15" s="1222"/>
    </row>
    <row r="16" spans="1:11" ht="10.5" customHeight="1" x14ac:dyDescent="0.2">
      <c r="B16" s="1225"/>
      <c r="D16" s="1224" t="s">
        <v>1222</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1704</v>
      </c>
      <c r="E18" s="1222"/>
      <c r="F18" s="1222"/>
      <c r="G18" s="1222"/>
      <c r="H18" s="1222"/>
      <c r="I18" s="1222"/>
      <c r="J18" s="1222"/>
      <c r="K18" s="1222"/>
    </row>
    <row r="19" spans="1:11" ht="9.75" customHeight="1" x14ac:dyDescent="0.2">
      <c r="A19" s="1216"/>
      <c r="B19" s="1225"/>
      <c r="D19" s="1224" t="s">
        <v>1221</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1220</v>
      </c>
      <c r="E21" s="1222"/>
      <c r="F21" s="1222"/>
      <c r="G21" s="1222"/>
      <c r="H21" s="1222"/>
      <c r="I21" s="1222"/>
      <c r="J21" s="1222"/>
      <c r="K21" s="1222"/>
    </row>
    <row r="22" spans="1:11" ht="10.5" customHeight="1" x14ac:dyDescent="0.2">
      <c r="A22" s="1216"/>
      <c r="B22" s="1225"/>
      <c r="D22" s="1224" t="s">
        <v>1219</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1725</v>
      </c>
      <c r="E24" s="1222"/>
      <c r="F24" s="1222"/>
      <c r="G24" s="1222"/>
      <c r="H24" s="1222"/>
      <c r="I24" s="1222"/>
      <c r="J24" s="1222"/>
      <c r="K24" s="1222"/>
    </row>
    <row r="25" spans="1:11" x14ac:dyDescent="0.2">
      <c r="A25" s="1216"/>
      <c r="B25" s="1225"/>
      <c r="D25" s="1224" t="s">
        <v>1705</v>
      </c>
      <c r="E25" s="1222"/>
      <c r="F25" s="1222"/>
      <c r="G25" s="1222"/>
      <c r="H25" s="1222"/>
      <c r="I25" s="1222"/>
      <c r="J25" s="1222"/>
      <c r="K25" s="1222"/>
    </row>
    <row r="26" spans="1:11" x14ac:dyDescent="0.2">
      <c r="A26" s="1216"/>
      <c r="B26" s="1225"/>
      <c r="D26" s="1229" t="s">
        <v>1706</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1569</v>
      </c>
      <c r="E28" s="1222"/>
      <c r="F28" s="1222"/>
      <c r="G28" s="1222"/>
      <c r="H28" s="1222"/>
      <c r="I28" s="1222"/>
      <c r="J28" s="1222"/>
      <c r="K28" s="1222"/>
    </row>
    <row r="29" spans="1:11" ht="10.5" customHeight="1" x14ac:dyDescent="0.2">
      <c r="A29" s="1216"/>
      <c r="D29" s="1230" t="s">
        <v>1570</v>
      </c>
    </row>
    <row r="30" spans="1:11" ht="6" customHeight="1" x14ac:dyDescent="0.2">
      <c r="A30" s="1216"/>
      <c r="D30" s="1215"/>
    </row>
    <row r="31" spans="1:11" x14ac:dyDescent="0.2">
      <c r="A31" s="1216"/>
      <c r="B31" s="1217" t="s">
        <v>1218</v>
      </c>
      <c r="C31" s="1218"/>
      <c r="D31" s="1215"/>
    </row>
    <row r="32" spans="1:11" ht="4.5" customHeight="1" x14ac:dyDescent="0.2">
      <c r="A32" s="1216"/>
      <c r="B32" s="1217"/>
      <c r="C32" s="1218"/>
      <c r="D32" s="1215"/>
    </row>
    <row r="33" spans="1:5" x14ac:dyDescent="0.2">
      <c r="A33" s="1216"/>
      <c r="B33" s="1219"/>
      <c r="C33" s="1220">
        <v>8</v>
      </c>
      <c r="D33" s="1231" t="s">
        <v>1217</v>
      </c>
    </row>
    <row r="34" spans="1:5" ht="10.5" customHeight="1" x14ac:dyDescent="0.2">
      <c r="A34" s="1216"/>
      <c r="B34" s="1232"/>
      <c r="C34" s="1220"/>
      <c r="D34" s="1231" t="s">
        <v>1571</v>
      </c>
    </row>
    <row r="35" spans="1:5" ht="3" customHeight="1" x14ac:dyDescent="0.2">
      <c r="A35" s="1216"/>
      <c r="B35" s="1225"/>
      <c r="D35" s="1215"/>
    </row>
    <row r="36" spans="1:5" x14ac:dyDescent="0.2">
      <c r="A36" s="1216"/>
      <c r="B36" s="1219"/>
      <c r="C36" s="1220">
        <f>C33+1</f>
        <v>9</v>
      </c>
      <c r="D36" s="1231" t="s">
        <v>1216</v>
      </c>
    </row>
    <row r="37" spans="1:5" ht="10.5" customHeight="1" x14ac:dyDescent="0.2">
      <c r="A37" s="1216"/>
      <c r="B37" s="1225"/>
      <c r="D37" s="1231" t="s">
        <v>1571</v>
      </c>
    </row>
    <row r="38" spans="1:5" ht="3" customHeight="1" x14ac:dyDescent="0.2">
      <c r="A38" s="1216"/>
      <c r="B38" s="1233"/>
      <c r="C38" s="1234"/>
      <c r="D38" s="1215"/>
    </row>
    <row r="39" spans="1:5" x14ac:dyDescent="0.2">
      <c r="A39" s="1216"/>
      <c r="B39" s="1235"/>
      <c r="C39" s="1226">
        <f>C36+1</f>
        <v>10</v>
      </c>
      <c r="D39" s="1215" t="s">
        <v>1215</v>
      </c>
    </row>
    <row r="40" spans="1:5" ht="10.5" customHeight="1" x14ac:dyDescent="0.2">
      <c r="A40" s="1216"/>
      <c r="B40" s="1236"/>
      <c r="C40" s="1234"/>
      <c r="D40" s="1215" t="s">
        <v>1572</v>
      </c>
    </row>
    <row r="41" spans="1:5" ht="3" customHeight="1" x14ac:dyDescent="0.2">
      <c r="A41" s="1216"/>
      <c r="B41" s="1233"/>
      <c r="C41" s="1234"/>
      <c r="D41" s="1215"/>
    </row>
    <row r="42" spans="1:5" ht="10.5" customHeight="1" x14ac:dyDescent="0.2">
      <c r="A42" s="1216"/>
      <c r="B42" s="1235"/>
      <c r="C42" s="1226">
        <v>11</v>
      </c>
      <c r="D42" s="1237" t="s">
        <v>1573</v>
      </c>
      <c r="E42" s="312"/>
    </row>
    <row r="43" spans="1:5" ht="3" customHeight="1" x14ac:dyDescent="0.2">
      <c r="A43" s="1216"/>
      <c r="B43" s="1233"/>
      <c r="C43" s="1234"/>
      <c r="D43" s="1215"/>
    </row>
    <row r="44" spans="1:5" x14ac:dyDescent="0.2">
      <c r="A44" s="1216"/>
      <c r="B44" s="1219"/>
      <c r="C44" s="1220">
        <f>C42+1</f>
        <v>12</v>
      </c>
      <c r="D44" s="1231" t="s">
        <v>1214</v>
      </c>
    </row>
    <row r="45" spans="1:5" ht="10.5" customHeight="1" x14ac:dyDescent="0.2">
      <c r="A45" s="1216"/>
      <c r="B45" s="1232"/>
      <c r="C45" s="1220"/>
      <c r="D45" s="1231" t="s">
        <v>1213</v>
      </c>
    </row>
    <row r="46" spans="1:5" ht="10.5" customHeight="1" x14ac:dyDescent="0.2">
      <c r="A46" s="1216"/>
      <c r="B46" s="1233"/>
      <c r="C46" s="1234"/>
      <c r="D46" s="1231" t="s">
        <v>1212</v>
      </c>
    </row>
    <row r="47" spans="1:5" ht="3" customHeight="1" x14ac:dyDescent="0.2">
      <c r="A47" s="1216"/>
      <c r="B47" s="1233"/>
      <c r="C47" s="1234"/>
      <c r="D47" s="1231"/>
    </row>
    <row r="48" spans="1:5" x14ac:dyDescent="0.2">
      <c r="A48" s="1216"/>
      <c r="B48" s="1219"/>
      <c r="C48" s="1220">
        <f>C44+1</f>
        <v>13</v>
      </c>
      <c r="D48" s="1231" t="s">
        <v>1574</v>
      </c>
    </row>
    <row r="49" spans="1:4" ht="3" customHeight="1" x14ac:dyDescent="0.2">
      <c r="A49" s="1216"/>
      <c r="B49" s="1223"/>
      <c r="C49" s="1220"/>
      <c r="D49" s="1231"/>
    </row>
    <row r="50" spans="1:4" x14ac:dyDescent="0.2">
      <c r="A50" s="1216"/>
      <c r="B50" s="1219"/>
      <c r="C50" s="1220">
        <f>C48+1</f>
        <v>14</v>
      </c>
      <c r="D50" s="1231" t="s">
        <v>1211</v>
      </c>
    </row>
    <row r="51" spans="1:4" ht="3" customHeight="1" x14ac:dyDescent="0.2">
      <c r="A51" s="1216"/>
      <c r="B51" s="1223"/>
      <c r="C51" s="1220"/>
      <c r="D51" s="1231"/>
    </row>
    <row r="52" spans="1:4" x14ac:dyDescent="0.2">
      <c r="A52" s="1216"/>
      <c r="B52" s="1219"/>
      <c r="C52" s="1220">
        <f>C50+1</f>
        <v>15</v>
      </c>
      <c r="D52" s="1231" t="s">
        <v>1210</v>
      </c>
    </row>
    <row r="53" spans="1:4" ht="3" customHeight="1" x14ac:dyDescent="0.2">
      <c r="A53" s="1216"/>
      <c r="B53" s="1223"/>
      <c r="C53" s="1220"/>
      <c r="D53" s="1231"/>
    </row>
    <row r="54" spans="1:4" x14ac:dyDescent="0.2">
      <c r="A54" s="1216"/>
      <c r="B54" s="1219"/>
      <c r="C54" s="1220">
        <f>C52+1</f>
        <v>16</v>
      </c>
      <c r="D54" s="1231" t="s">
        <v>1209</v>
      </c>
    </row>
    <row r="55" spans="1:4" ht="3" customHeight="1" x14ac:dyDescent="0.2">
      <c r="A55" s="1216"/>
      <c r="B55" s="1223"/>
      <c r="C55" s="1220"/>
      <c r="D55" s="1231"/>
    </row>
    <row r="56" spans="1:4" x14ac:dyDescent="0.2">
      <c r="A56" s="1216"/>
      <c r="B56" s="1219"/>
      <c r="C56" s="1220">
        <f>C54+1</f>
        <v>17</v>
      </c>
      <c r="D56" s="1215" t="s">
        <v>1707</v>
      </c>
    </row>
    <row r="57" spans="1:4" ht="10.5" customHeight="1" x14ac:dyDescent="0.2">
      <c r="A57" s="1216"/>
      <c r="D57" s="1231" t="s">
        <v>1708</v>
      </c>
    </row>
    <row r="58" spans="1:4" x14ac:dyDescent="0.2">
      <c r="A58" s="1216"/>
      <c r="C58" s="1238"/>
      <c r="D58" s="1231" t="s">
        <v>1709</v>
      </c>
    </row>
    <row r="59" spans="1:4" ht="10.5" customHeight="1" x14ac:dyDescent="0.2">
      <c r="A59" s="1216"/>
      <c r="D59" s="1215" t="s">
        <v>1208</v>
      </c>
    </row>
    <row r="60" spans="1:4" ht="10.5" customHeight="1" x14ac:dyDescent="0.2">
      <c r="A60" s="1216"/>
      <c r="D60" s="1239" t="s">
        <v>1598</v>
      </c>
    </row>
    <row r="61" spans="1:4" ht="10.5" customHeight="1" x14ac:dyDescent="0.2">
      <c r="A61" s="1216"/>
      <c r="C61" s="1238"/>
      <c r="D61" s="1231" t="s">
        <v>1710</v>
      </c>
    </row>
    <row r="62" spans="1:4" ht="10.5" customHeight="1" x14ac:dyDescent="0.2">
      <c r="A62" s="1216"/>
      <c r="D62" s="1240" t="s">
        <v>1207</v>
      </c>
    </row>
    <row r="63" spans="1:4" ht="10.5" customHeight="1" x14ac:dyDescent="0.2">
      <c r="A63" s="1216"/>
      <c r="D63" s="1215" t="s">
        <v>1575</v>
      </c>
    </row>
    <row r="64" spans="1:4" ht="10.5" customHeight="1" x14ac:dyDescent="0.2">
      <c r="A64" s="1216"/>
      <c r="D64" s="1239" t="s">
        <v>1597</v>
      </c>
    </row>
    <row r="65" spans="1:4" x14ac:dyDescent="0.2">
      <c r="A65" s="1216"/>
      <c r="C65" s="1238"/>
      <c r="D65" s="1231" t="s">
        <v>1711</v>
      </c>
    </row>
    <row r="66" spans="1:4" ht="10.5" customHeight="1" x14ac:dyDescent="0.2">
      <c r="A66" s="1216"/>
      <c r="D66" s="1241" t="s">
        <v>1206</v>
      </c>
    </row>
    <row r="67" spans="1:4" ht="10.5" customHeight="1" x14ac:dyDescent="0.2">
      <c r="A67" s="1216"/>
      <c r="D67" s="1215" t="s">
        <v>1576</v>
      </c>
    </row>
    <row r="68" spans="1:4" ht="10.5" customHeight="1" x14ac:dyDescent="0.2">
      <c r="A68" s="1216"/>
      <c r="D68" s="1239" t="s">
        <v>1597</v>
      </c>
    </row>
    <row r="69" spans="1:4" ht="10.5" customHeight="1" x14ac:dyDescent="0.2">
      <c r="A69" s="1216"/>
      <c r="C69" s="1238"/>
      <c r="D69" s="1231" t="s">
        <v>1712</v>
      </c>
    </row>
    <row r="70" spans="1:4" x14ac:dyDescent="0.2">
      <c r="A70" s="1216"/>
      <c r="D70" s="1240" t="s">
        <v>1205</v>
      </c>
    </row>
    <row r="71" spans="1:4" ht="3" customHeight="1" x14ac:dyDescent="0.2">
      <c r="A71" s="1216"/>
      <c r="D71" s="1215"/>
    </row>
    <row r="72" spans="1:4" x14ac:dyDescent="0.2">
      <c r="A72" s="1216"/>
      <c r="B72" s="1219"/>
      <c r="C72" s="1220">
        <f>C56+1</f>
        <v>18</v>
      </c>
      <c r="D72" s="1241" t="s">
        <v>1713</v>
      </c>
    </row>
    <row r="73" spans="1:4" ht="3" customHeight="1" x14ac:dyDescent="0.2">
      <c r="A73" s="1216"/>
      <c r="B73" s="1223"/>
      <c r="C73" s="1220"/>
      <c r="D73" s="1241"/>
    </row>
    <row r="74" spans="1:4" x14ac:dyDescent="0.2">
      <c r="A74" s="1216"/>
      <c r="B74" s="1219"/>
      <c r="C74" s="1220">
        <f>C72+1</f>
        <v>19</v>
      </c>
      <c r="D74" s="1231" t="s">
        <v>1204</v>
      </c>
    </row>
    <row r="75" spans="1:4" ht="3" customHeight="1" x14ac:dyDescent="0.2">
      <c r="A75" s="1216"/>
      <c r="B75" s="1223"/>
      <c r="C75" s="1220"/>
      <c r="D75" s="1231"/>
    </row>
    <row r="76" spans="1:4" x14ac:dyDescent="0.2">
      <c r="A76" s="1216"/>
      <c r="B76" s="1219"/>
      <c r="C76" s="1220">
        <f>C74+1</f>
        <v>20</v>
      </c>
      <c r="D76" s="1242" t="s">
        <v>1714</v>
      </c>
    </row>
    <row r="77" spans="1:4" ht="3" customHeight="1" x14ac:dyDescent="0.2">
      <c r="A77" s="1216"/>
      <c r="B77" s="1223"/>
      <c r="C77" s="1220"/>
      <c r="D77" s="1242"/>
    </row>
    <row r="78" spans="1:4" x14ac:dyDescent="0.2">
      <c r="A78" s="1216"/>
      <c r="B78" s="1219"/>
      <c r="C78" s="1220">
        <f>C76+1</f>
        <v>21</v>
      </c>
      <c r="D78" s="1215" t="s">
        <v>1715</v>
      </c>
    </row>
    <row r="79" spans="1:4" ht="3" customHeight="1" x14ac:dyDescent="0.2">
      <c r="A79" s="1216"/>
      <c r="B79" s="1223"/>
      <c r="C79" s="1220"/>
      <c r="D79" s="1215"/>
    </row>
    <row r="80" spans="1:4" x14ac:dyDescent="0.2">
      <c r="A80" s="1216"/>
      <c r="B80" s="1219"/>
      <c r="C80" s="1220">
        <f>C78+1</f>
        <v>22</v>
      </c>
      <c r="D80" s="1243" t="s">
        <v>1716</v>
      </c>
    </row>
    <row r="81" spans="1:4" ht="3" customHeight="1" x14ac:dyDescent="0.2">
      <c r="A81" s="1216"/>
      <c r="B81" s="1223"/>
      <c r="C81" s="1220"/>
      <c r="D81" s="1243"/>
    </row>
    <row r="82" spans="1:4" x14ac:dyDescent="0.2">
      <c r="A82" s="1216"/>
      <c r="B82" s="1219"/>
      <c r="C82" s="1220">
        <f>C80+1</f>
        <v>23</v>
      </c>
      <c r="D82" s="1242" t="s">
        <v>1717</v>
      </c>
    </row>
    <row r="83" spans="1:4" ht="10.5" customHeight="1" x14ac:dyDescent="0.2">
      <c r="A83" s="1216"/>
      <c r="B83" s="1225"/>
      <c r="D83" s="1231" t="s">
        <v>1203</v>
      </c>
    </row>
    <row r="84" spans="1:4" ht="3" customHeight="1" x14ac:dyDescent="0.2">
      <c r="A84" s="1216"/>
      <c r="B84" s="1225"/>
      <c r="D84" s="1231"/>
    </row>
    <row r="85" spans="1:4" x14ac:dyDescent="0.2">
      <c r="A85" s="1216"/>
      <c r="B85" s="1219"/>
      <c r="C85" s="1220">
        <f>C82+1</f>
        <v>24</v>
      </c>
      <c r="D85" s="1231" t="s">
        <v>1202</v>
      </c>
    </row>
    <row r="86" spans="1:4" ht="3" customHeight="1" x14ac:dyDescent="0.2">
      <c r="A86" s="1216"/>
      <c r="B86" s="1223"/>
      <c r="C86" s="1220"/>
      <c r="D86" s="1231"/>
    </row>
    <row r="87" spans="1:4" x14ac:dyDescent="0.2">
      <c r="A87" s="1216"/>
      <c r="B87" s="1219"/>
      <c r="C87" s="1220">
        <f>C85+1</f>
        <v>25</v>
      </c>
      <c r="D87" s="1231" t="s">
        <v>1201</v>
      </c>
    </row>
    <row r="88" spans="1:4" ht="3" customHeight="1" x14ac:dyDescent="0.2">
      <c r="A88" s="1216"/>
      <c r="B88" s="1223"/>
      <c r="C88" s="1220"/>
      <c r="D88" s="1231"/>
    </row>
    <row r="89" spans="1:4" x14ac:dyDescent="0.2">
      <c r="A89" s="1216"/>
      <c r="B89" s="1219"/>
      <c r="C89" s="1220">
        <f>C87+1</f>
        <v>26</v>
      </c>
      <c r="D89" s="1231" t="s">
        <v>1200</v>
      </c>
    </row>
    <row r="90" spans="1:4" ht="3" customHeight="1" x14ac:dyDescent="0.2">
      <c r="A90" s="1216"/>
      <c r="B90" s="1223"/>
      <c r="C90" s="1220"/>
      <c r="D90" s="1231"/>
    </row>
    <row r="91" spans="1:4" x14ac:dyDescent="0.2">
      <c r="A91" s="1216"/>
      <c r="B91" s="1219"/>
      <c r="C91" s="1220">
        <f>C89+1</f>
        <v>27</v>
      </c>
      <c r="D91" s="1231" t="s">
        <v>1718</v>
      </c>
    </row>
    <row r="92" spans="1:4" x14ac:dyDescent="0.2">
      <c r="A92" s="1216"/>
      <c r="B92" s="1244"/>
      <c r="C92" s="1238"/>
      <c r="D92" s="1231" t="s">
        <v>1199</v>
      </c>
    </row>
    <row r="93" spans="1:4" ht="4.5" customHeight="1" x14ac:dyDescent="0.2">
      <c r="A93" s="1216"/>
      <c r="D93" s="1215"/>
    </row>
    <row r="94" spans="1:4" x14ac:dyDescent="0.2">
      <c r="A94" s="1216"/>
      <c r="B94" s="1217" t="s">
        <v>1577</v>
      </c>
      <c r="C94" s="1218"/>
      <c r="D94" s="1215"/>
    </row>
    <row r="95" spans="1:4" ht="4.5" customHeight="1" x14ac:dyDescent="0.2">
      <c r="A95" s="1216"/>
      <c r="B95" s="1217"/>
      <c r="C95" s="1218"/>
      <c r="D95" s="1215"/>
    </row>
    <row r="96" spans="1:4" x14ac:dyDescent="0.2">
      <c r="A96" s="1216"/>
      <c r="B96" s="1219"/>
      <c r="C96" s="1220">
        <f>C91+1</f>
        <v>28</v>
      </c>
      <c r="D96" s="1231" t="s">
        <v>1719</v>
      </c>
    </row>
    <row r="97" spans="1:4" ht="3" customHeight="1" x14ac:dyDescent="0.2">
      <c r="A97" s="1216"/>
      <c r="B97" s="1223"/>
      <c r="C97" s="1220"/>
      <c r="D97" s="1231"/>
    </row>
    <row r="98" spans="1:4" x14ac:dyDescent="0.2">
      <c r="A98" s="1216"/>
      <c r="B98" s="1219"/>
      <c r="C98" s="1220">
        <f>C96+1</f>
        <v>29</v>
      </c>
      <c r="D98" s="1245" t="s">
        <v>1720</v>
      </c>
    </row>
    <row r="99" spans="1:4" ht="3" customHeight="1" x14ac:dyDescent="0.2">
      <c r="A99" s="1216"/>
      <c r="B99" s="1223"/>
      <c r="C99" s="1220"/>
      <c r="D99" s="1245"/>
    </row>
    <row r="100" spans="1:4" x14ac:dyDescent="0.2">
      <c r="A100" s="1216"/>
      <c r="B100" s="1219"/>
      <c r="C100" s="1220">
        <f>C98+1</f>
        <v>30</v>
      </c>
      <c r="D100" s="1231" t="s">
        <v>1721</v>
      </c>
    </row>
    <row r="101" spans="1:4" ht="3" customHeight="1" x14ac:dyDescent="0.2">
      <c r="A101" s="1216"/>
      <c r="B101" s="1223"/>
      <c r="C101" s="1220"/>
      <c r="D101" s="1246"/>
    </row>
    <row r="102" spans="1:4" x14ac:dyDescent="0.2">
      <c r="A102" s="1216"/>
      <c r="B102" s="1219"/>
      <c r="C102" s="1220">
        <f>C100+1</f>
        <v>31</v>
      </c>
      <c r="D102" s="1231" t="s">
        <v>1578</v>
      </c>
    </row>
    <row r="103" spans="1:4" ht="4.5" customHeight="1" x14ac:dyDescent="0.2">
      <c r="A103" s="1216"/>
      <c r="B103" s="312"/>
      <c r="C103" s="1220"/>
      <c r="D103" s="1231"/>
    </row>
    <row r="104" spans="1:4" ht="14.1" customHeight="1" x14ac:dyDescent="0.2">
      <c r="A104" s="1216"/>
      <c r="B104" s="1247" t="s">
        <v>1198</v>
      </c>
    </row>
    <row r="105" spans="1:4" ht="4.5" customHeight="1" x14ac:dyDescent="0.2">
      <c r="A105" s="1216"/>
      <c r="B105" s="1247"/>
    </row>
    <row r="106" spans="1:4" x14ac:dyDescent="0.2">
      <c r="A106" s="1216"/>
      <c r="B106" s="1219"/>
      <c r="C106" s="1220">
        <f>C102+1</f>
        <v>32</v>
      </c>
      <c r="D106" s="1215" t="s">
        <v>1579</v>
      </c>
    </row>
    <row r="107" spans="1:4" ht="3" customHeight="1" x14ac:dyDescent="0.2">
      <c r="A107" s="1216"/>
      <c r="B107" s="1223"/>
      <c r="C107" s="1220"/>
      <c r="D107" s="1215"/>
    </row>
    <row r="108" spans="1:4" x14ac:dyDescent="0.2">
      <c r="A108" s="1216"/>
      <c r="B108" s="1219"/>
      <c r="C108" s="1220">
        <v>33</v>
      </c>
      <c r="D108" s="1215" t="s">
        <v>1722</v>
      </c>
    </row>
    <row r="109" spans="1:4" ht="3" customHeight="1" x14ac:dyDescent="0.2">
      <c r="A109" s="1216"/>
      <c r="B109" s="1223"/>
      <c r="C109" s="1220"/>
      <c r="D109" s="1215"/>
    </row>
    <row r="110" spans="1:4" x14ac:dyDescent="0.2">
      <c r="A110" s="1216"/>
      <c r="B110" s="1219"/>
      <c r="C110" s="1220">
        <f>C108+1</f>
        <v>34</v>
      </c>
      <c r="D110" s="1215" t="s">
        <v>1197</v>
      </c>
    </row>
    <row r="111" spans="1:4" ht="3" customHeight="1" x14ac:dyDescent="0.2">
      <c r="A111" s="1216"/>
      <c r="B111" s="1223"/>
      <c r="C111" s="1220"/>
      <c r="D111" s="1215"/>
    </row>
    <row r="112" spans="1:4" x14ac:dyDescent="0.2">
      <c r="A112" s="1216"/>
      <c r="B112" s="1219"/>
      <c r="C112" s="1220">
        <f>C110+1</f>
        <v>35</v>
      </c>
      <c r="D112" s="1215" t="s">
        <v>1196</v>
      </c>
    </row>
    <row r="113" spans="1:4" ht="11.25" customHeight="1" x14ac:dyDescent="0.2">
      <c r="A113" s="1216"/>
      <c r="B113" s="1248"/>
      <c r="C113" s="1220"/>
      <c r="D113" s="1249" t="s">
        <v>1195</v>
      </c>
    </row>
    <row r="114" spans="1:4" ht="3" customHeight="1" x14ac:dyDescent="0.2">
      <c r="A114" s="1216"/>
      <c r="B114" s="1250"/>
      <c r="C114" s="1220"/>
      <c r="D114" s="1249"/>
    </row>
    <row r="115" spans="1:4" x14ac:dyDescent="0.2">
      <c r="A115" s="1216"/>
      <c r="B115" s="1219"/>
      <c r="C115" s="1220">
        <f>C112+1</f>
        <v>36</v>
      </c>
      <c r="D115" s="1231" t="s">
        <v>1194</v>
      </c>
    </row>
    <row r="116" spans="1:4" ht="3" customHeight="1" x14ac:dyDescent="0.2">
      <c r="A116" s="1216"/>
      <c r="B116" s="1223"/>
      <c r="C116" s="1220"/>
      <c r="D116" s="1231"/>
    </row>
    <row r="117" spans="1:4" x14ac:dyDescent="0.2">
      <c r="A117" s="1216"/>
      <c r="B117" s="1219"/>
      <c r="C117" s="1220">
        <f>C115+1</f>
        <v>37</v>
      </c>
      <c r="D117" s="1231" t="s">
        <v>1723</v>
      </c>
    </row>
    <row r="118" spans="1:4" ht="3" customHeight="1" x14ac:dyDescent="0.2">
      <c r="A118" s="1216"/>
      <c r="B118" s="1223"/>
      <c r="C118" s="1220"/>
      <c r="D118" s="1231"/>
    </row>
    <row r="119" spans="1:4" x14ac:dyDescent="0.2">
      <c r="A119" s="1216"/>
      <c r="B119" s="1219"/>
      <c r="C119" s="1220">
        <f>C117+1</f>
        <v>38</v>
      </c>
      <c r="D119" s="1231" t="s">
        <v>1724</v>
      </c>
    </row>
    <row r="120" spans="1:4" ht="10.5" customHeight="1" x14ac:dyDescent="0.2">
      <c r="A120" s="1216"/>
      <c r="B120" s="1244"/>
      <c r="C120" s="1220"/>
      <c r="D120" s="1231" t="s">
        <v>1193</v>
      </c>
    </row>
    <row r="121" spans="1:4" ht="10.5" customHeight="1" x14ac:dyDescent="0.2">
      <c r="A121" s="1216"/>
      <c r="B121" s="1244"/>
      <c r="C121" s="1220"/>
      <c r="D121" s="1231" t="s">
        <v>1192</v>
      </c>
    </row>
    <row r="122" spans="1:4" ht="3" customHeight="1" x14ac:dyDescent="0.2">
      <c r="A122" s="1216"/>
      <c r="B122" s="1244"/>
      <c r="C122" s="1220"/>
      <c r="D122" s="1231"/>
    </row>
    <row r="123" spans="1:4" x14ac:dyDescent="0.2">
      <c r="A123" s="1216"/>
      <c r="B123" s="1219"/>
      <c r="C123" s="1220">
        <f>C119+1</f>
        <v>39</v>
      </c>
      <c r="D123" s="1241" t="s">
        <v>1836</v>
      </c>
    </row>
    <row r="124" spans="1:4" x14ac:dyDescent="0.2">
      <c r="A124" s="1216"/>
      <c r="B124" s="312"/>
      <c r="C124" s="1220"/>
      <c r="D124" s="1231" t="s">
        <v>1191</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oddFooter>&amp;LSee Notes to Financial Statements.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38" t="str">
        <f>'Single Audit Cover'!A7</f>
        <v>Lebanon CUSD 9</v>
      </c>
      <c r="B1" s="2438"/>
      <c r="C1" s="2438"/>
      <c r="D1" s="2438"/>
      <c r="E1" s="2438"/>
    </row>
    <row r="2" spans="1:5" x14ac:dyDescent="0.2">
      <c r="A2" s="2439">
        <f>'Single Audit Cover'!E7</f>
        <v>50082009026</v>
      </c>
      <c r="B2" s="2439"/>
      <c r="C2" s="2439"/>
      <c r="D2" s="2439"/>
      <c r="E2" s="2439"/>
    </row>
    <row r="3" spans="1:5" ht="4.5" customHeight="1" x14ac:dyDescent="0.2"/>
    <row r="4" spans="1:5" x14ac:dyDescent="0.2">
      <c r="A4" s="2438" t="s">
        <v>1244</v>
      </c>
      <c r="B4" s="2438"/>
      <c r="C4" s="2438"/>
      <c r="D4" s="2438"/>
      <c r="E4" s="2438"/>
    </row>
    <row r="5" spans="1:5" x14ac:dyDescent="0.2">
      <c r="A5" s="2441" t="str">
        <f>'Single Audit Cover'!A4</f>
        <v>Year Ending June 30, 2019</v>
      </c>
      <c r="B5" s="2441"/>
      <c r="C5" s="2441"/>
      <c r="D5" s="2441"/>
      <c r="E5" s="2441"/>
    </row>
    <row r="6" spans="1:5" x14ac:dyDescent="0.2">
      <c r="A6" s="2438" t="s">
        <v>1243</v>
      </c>
      <c r="B6" s="2438"/>
      <c r="C6" s="2438"/>
      <c r="D6" s="2438"/>
      <c r="E6" s="2438"/>
    </row>
    <row r="8" spans="1:5" x14ac:dyDescent="0.2">
      <c r="A8" s="1254" t="s">
        <v>1242</v>
      </c>
    </row>
    <row r="10" spans="1:5" x14ac:dyDescent="0.2">
      <c r="A10" s="1255" t="s">
        <v>1241</v>
      </c>
      <c r="B10" s="1256" t="s">
        <v>1240</v>
      </c>
      <c r="C10" s="1256"/>
      <c r="D10" s="1257">
        <f>SUM('Acct Summary 7-8'!C7:K7)</f>
        <v>602624</v>
      </c>
    </row>
    <row r="11" spans="1:5" ht="18" customHeight="1" x14ac:dyDescent="0.2">
      <c r="A11" s="1255" t="s">
        <v>1239</v>
      </c>
      <c r="B11" s="1256"/>
      <c r="C11" s="1256"/>
    </row>
    <row r="12" spans="1:5" x14ac:dyDescent="0.2">
      <c r="A12" s="1255" t="s">
        <v>1238</v>
      </c>
      <c r="B12" s="1256" t="s">
        <v>1237</v>
      </c>
      <c r="C12" s="1256"/>
      <c r="D12" s="1258">
        <f>SUM('Revenues 9-14'!C112:D112,'Revenues 9-14'!F112:G112)</f>
        <v>0</v>
      </c>
    </row>
    <row r="13" spans="1:5" x14ac:dyDescent="0.2">
      <c r="A13" s="1255" t="s">
        <v>1236</v>
      </c>
      <c r="B13" s="1256"/>
      <c r="C13" s="1256"/>
    </row>
    <row r="14" spans="1:5" x14ac:dyDescent="0.2">
      <c r="A14" s="1255" t="s">
        <v>1726</v>
      </c>
      <c r="B14" s="1256"/>
      <c r="C14" s="1256"/>
      <c r="D14" s="1258">
        <f>'ICR Computation 30'!E11</f>
        <v>17615</v>
      </c>
    </row>
    <row r="15" spans="1:5" x14ac:dyDescent="0.2">
      <c r="A15" s="1255"/>
      <c r="B15" s="1256"/>
      <c r="C15" s="1256"/>
    </row>
    <row r="16" spans="1:5" x14ac:dyDescent="0.2">
      <c r="A16" s="1255" t="s">
        <v>1843</v>
      </c>
      <c r="B16" s="1256"/>
      <c r="C16" s="1256"/>
    </row>
    <row r="17" spans="1:4" x14ac:dyDescent="0.2">
      <c r="A17" s="1255" t="s">
        <v>2060</v>
      </c>
      <c r="B17" s="1256" t="s">
        <v>1235</v>
      </c>
      <c r="C17" s="1256"/>
      <c r="D17" s="1258">
        <f>-SUM('Revenues 9-14'!C264:D264,'Revenues 9-14'!F264:G264)</f>
        <v>-30894</v>
      </c>
    </row>
    <row r="19" spans="1:4" ht="13.5" thickBot="1" x14ac:dyDescent="0.25">
      <c r="A19" s="1259" t="s">
        <v>1234</v>
      </c>
      <c r="D19" s="1260">
        <f>SUM(D10:D17)</f>
        <v>589345</v>
      </c>
    </row>
    <row r="20" spans="1:4" ht="21.75" customHeight="1" thickTop="1" x14ac:dyDescent="0.2"/>
    <row r="21" spans="1:4" x14ac:dyDescent="0.2">
      <c r="A21" s="1254" t="s">
        <v>1233</v>
      </c>
    </row>
    <row r="22" spans="1:4" ht="8.25" customHeight="1" x14ac:dyDescent="0.2"/>
    <row r="23" spans="1:4" x14ac:dyDescent="0.2">
      <c r="A23" s="1261" t="s">
        <v>1227</v>
      </c>
    </row>
    <row r="24" spans="1:4" x14ac:dyDescent="0.2">
      <c r="A24" s="2440"/>
      <c r="B24" s="2440"/>
      <c r="D24" s="1262"/>
    </row>
    <row r="25" spans="1:4" x14ac:dyDescent="0.2">
      <c r="A25" s="2437"/>
      <c r="B25" s="2437"/>
      <c r="D25" s="1262"/>
    </row>
    <row r="26" spans="1:4" x14ac:dyDescent="0.2">
      <c r="A26" s="2437"/>
      <c r="B26" s="2437"/>
      <c r="D26" s="1262"/>
    </row>
    <row r="27" spans="1:4" x14ac:dyDescent="0.2">
      <c r="A27" s="2437"/>
      <c r="B27" s="2437"/>
      <c r="D27" s="1262"/>
    </row>
    <row r="28" spans="1:4" x14ac:dyDescent="0.2">
      <c r="A28" s="2437"/>
      <c r="B28" s="2437"/>
      <c r="D28" s="1262"/>
    </row>
    <row r="29" spans="1:4" x14ac:dyDescent="0.2">
      <c r="A29" s="2437"/>
      <c r="B29" s="2437"/>
      <c r="D29" s="1262"/>
    </row>
    <row r="30" spans="1:4" x14ac:dyDescent="0.2">
      <c r="A30" s="2437"/>
      <c r="B30" s="2437"/>
      <c r="D30" s="1262"/>
    </row>
    <row r="32" spans="1:4" x14ac:dyDescent="0.2">
      <c r="A32" s="1254" t="s">
        <v>1232</v>
      </c>
      <c r="D32" s="1257">
        <f>SUM(D19:D30)</f>
        <v>589345</v>
      </c>
    </row>
    <row r="33" spans="1:4" x14ac:dyDescent="0.2">
      <c r="D33" s="1263"/>
    </row>
    <row r="34" spans="1:4" x14ac:dyDescent="0.2">
      <c r="A34" s="317" t="s">
        <v>1231</v>
      </c>
    </row>
    <row r="35" spans="1:4" x14ac:dyDescent="0.2">
      <c r="A35" s="317" t="s">
        <v>1230</v>
      </c>
      <c r="B35" s="1252" t="s">
        <v>1229</v>
      </c>
      <c r="D35" s="1264"/>
    </row>
    <row r="37" spans="1:4" x14ac:dyDescent="0.2">
      <c r="A37" s="1254" t="s">
        <v>1228</v>
      </c>
    </row>
    <row r="39" spans="1:4" ht="13.35" customHeight="1" x14ac:dyDescent="0.2">
      <c r="A39" s="1261" t="s">
        <v>1227</v>
      </c>
    </row>
    <row r="40" spans="1:4" x14ac:dyDescent="0.2">
      <c r="A40" s="2437"/>
      <c r="B40" s="2437"/>
      <c r="D40" s="1262"/>
    </row>
    <row r="41" spans="1:4" x14ac:dyDescent="0.2">
      <c r="A41" s="2437"/>
      <c r="B41" s="2437"/>
      <c r="D41" s="1265"/>
    </row>
    <row r="42" spans="1:4" x14ac:dyDescent="0.2">
      <c r="A42" s="2437"/>
      <c r="B42" s="2437"/>
      <c r="D42" s="1265"/>
    </row>
    <row r="43" spans="1:4" x14ac:dyDescent="0.2">
      <c r="A43" s="2437"/>
      <c r="B43" s="2437"/>
      <c r="D43" s="1265"/>
    </row>
    <row r="44" spans="1:4" x14ac:dyDescent="0.2">
      <c r="A44" s="2437"/>
      <c r="B44" s="2437"/>
      <c r="D44" s="1265"/>
    </row>
    <row r="45" spans="1:4" x14ac:dyDescent="0.2">
      <c r="A45" s="2437"/>
      <c r="B45" s="2437"/>
      <c r="D45" s="1265"/>
    </row>
    <row r="47" spans="1:4" x14ac:dyDescent="0.2">
      <c r="B47" s="1266" t="s">
        <v>1226</v>
      </c>
      <c r="C47" s="1266"/>
      <c r="D47" s="1267">
        <f>SUM(D35:D45)</f>
        <v>0</v>
      </c>
    </row>
    <row r="49" spans="2:4" x14ac:dyDescent="0.2">
      <c r="B49" s="1266" t="s">
        <v>1225</v>
      </c>
      <c r="C49" s="1266"/>
      <c r="D49" s="1267">
        <f>D32-D47</f>
        <v>589345</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oddFooter>&amp;LSee Notes to Financial Statements.</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21" t="str">
        <f>'Single Audit Cover'!A7</f>
        <v>Lebanon CUSD 9</v>
      </c>
      <c r="C1" s="2442"/>
      <c r="D1" s="2442"/>
      <c r="E1" s="2442"/>
      <c r="F1" s="2442"/>
      <c r="G1" s="2442"/>
      <c r="H1" s="2442"/>
      <c r="I1" s="2442"/>
      <c r="J1" s="2442"/>
      <c r="K1" s="2442"/>
      <c r="L1" s="2442"/>
      <c r="M1" s="2442"/>
    </row>
    <row r="2" spans="2:14" ht="15" x14ac:dyDescent="0.2">
      <c r="B2" s="2443">
        <f>'Single Audit Cover'!E7</f>
        <v>50082009026</v>
      </c>
      <c r="C2" s="2443"/>
      <c r="D2" s="2443"/>
      <c r="E2" s="2443"/>
      <c r="F2" s="2443"/>
      <c r="G2" s="2443"/>
      <c r="H2" s="2443"/>
      <c r="I2" s="2443"/>
      <c r="J2" s="2443"/>
      <c r="K2" s="2443"/>
      <c r="L2" s="2443"/>
      <c r="M2" s="2443"/>
      <c r="N2" s="1296"/>
    </row>
    <row r="3" spans="2:14" ht="15" x14ac:dyDescent="0.2">
      <c r="B3" s="2444" t="s">
        <v>1218</v>
      </c>
      <c r="C3" s="2444"/>
      <c r="D3" s="2444"/>
      <c r="E3" s="2444"/>
      <c r="F3" s="2444"/>
      <c r="G3" s="2444"/>
      <c r="H3" s="2444"/>
      <c r="I3" s="2444"/>
      <c r="J3" s="2444"/>
      <c r="K3" s="2444"/>
      <c r="L3" s="2444"/>
      <c r="M3" s="2444"/>
      <c r="N3" s="1296"/>
    </row>
    <row r="4" spans="2:14" ht="15" x14ac:dyDescent="0.2">
      <c r="B4" s="2445" t="str">
        <f>'Single Audit Cover'!A4</f>
        <v>Year Ending June 30, 2019</v>
      </c>
      <c r="C4" s="2445"/>
      <c r="D4" s="2445"/>
      <c r="E4" s="2445"/>
      <c r="F4" s="2445"/>
      <c r="G4" s="2445"/>
      <c r="H4" s="2445"/>
      <c r="I4" s="2445"/>
      <c r="J4" s="2445"/>
      <c r="K4" s="2445"/>
      <c r="L4" s="2445"/>
      <c r="M4" s="2445"/>
      <c r="N4" s="1296"/>
    </row>
    <row r="6" spans="2:14" x14ac:dyDescent="0.2">
      <c r="B6" s="1297"/>
      <c r="C6" s="1298"/>
      <c r="D6" s="1299" t="s">
        <v>1264</v>
      </c>
      <c r="E6" s="1300" t="s">
        <v>526</v>
      </c>
      <c r="F6" s="1301"/>
      <c r="G6" s="1302" t="s">
        <v>1733</v>
      </c>
      <c r="H6" s="1300"/>
      <c r="I6" s="1300"/>
      <c r="J6" s="1300"/>
      <c r="K6" s="1303"/>
      <c r="L6" s="1304"/>
      <c r="M6" s="1305"/>
    </row>
    <row r="7" spans="2:14" x14ac:dyDescent="0.2">
      <c r="B7" s="1306" t="s">
        <v>1580</v>
      </c>
      <c r="C7" s="1307"/>
      <c r="D7" s="1308"/>
      <c r="E7" s="1309"/>
      <c r="F7" s="1310"/>
      <c r="G7" s="1309"/>
      <c r="H7" s="1311" t="s">
        <v>1261</v>
      </c>
      <c r="I7" s="1309"/>
      <c r="J7" s="1312" t="s">
        <v>1261</v>
      </c>
      <c r="K7" s="1313"/>
      <c r="L7" s="1314" t="s">
        <v>1259</v>
      </c>
      <c r="M7" s="1315"/>
    </row>
    <row r="8" spans="2:14" x14ac:dyDescent="0.2">
      <c r="B8" s="1662"/>
      <c r="C8" s="1307" t="s">
        <v>1263</v>
      </c>
      <c r="D8" s="1308" t="s">
        <v>1262</v>
      </c>
      <c r="E8" s="1316" t="s">
        <v>1261</v>
      </c>
      <c r="F8" s="1317" t="s">
        <v>1261</v>
      </c>
      <c r="G8" s="1318" t="s">
        <v>1261</v>
      </c>
      <c r="H8" s="1311" t="s">
        <v>1838</v>
      </c>
      <c r="I8" s="1313" t="s">
        <v>1261</v>
      </c>
      <c r="J8" s="1312" t="s">
        <v>1989</v>
      </c>
      <c r="K8" s="1313" t="s">
        <v>1260</v>
      </c>
      <c r="L8" s="1314" t="s">
        <v>1256</v>
      </c>
      <c r="M8" s="1315" t="s">
        <v>30</v>
      </c>
    </row>
    <row r="9" spans="2:14" ht="14.25" x14ac:dyDescent="0.2">
      <c r="B9" s="1319" t="s">
        <v>1258</v>
      </c>
      <c r="C9" s="1307" t="s">
        <v>1734</v>
      </c>
      <c r="D9" s="1308" t="s">
        <v>1735</v>
      </c>
      <c r="E9" s="1316" t="s">
        <v>1838</v>
      </c>
      <c r="F9" s="1317" t="s">
        <v>1989</v>
      </c>
      <c r="G9" s="1318" t="s">
        <v>1838</v>
      </c>
      <c r="H9" s="1311" t="s">
        <v>1581</v>
      </c>
      <c r="I9" s="1313" t="s">
        <v>1989</v>
      </c>
      <c r="J9" s="1312" t="s">
        <v>1581</v>
      </c>
      <c r="K9" s="1313" t="s">
        <v>1257</v>
      </c>
      <c r="L9" s="1320" t="s">
        <v>1582</v>
      </c>
      <c r="M9" s="1315"/>
    </row>
    <row r="10" spans="2:14" ht="11.85" customHeight="1" x14ac:dyDescent="0.2">
      <c r="B10" s="1319" t="s">
        <v>1255</v>
      </c>
      <c r="C10" s="1321" t="s">
        <v>1254</v>
      </c>
      <c r="D10" s="1322" t="s">
        <v>1253</v>
      </c>
      <c r="E10" s="1323" t="s">
        <v>1252</v>
      </c>
      <c r="F10" s="1324" t="s">
        <v>1251</v>
      </c>
      <c r="G10" s="1325" t="s">
        <v>1250</v>
      </c>
      <c r="H10" s="1326" t="s">
        <v>1265</v>
      </c>
      <c r="I10" s="1327" t="s">
        <v>1249</v>
      </c>
      <c r="J10" s="1328" t="s">
        <v>1265</v>
      </c>
      <c r="K10" s="1329" t="s">
        <v>1248</v>
      </c>
      <c r="L10" s="1329" t="s">
        <v>1247</v>
      </c>
      <c r="M10" s="1330" t="s">
        <v>1246</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c r="C12" s="1335"/>
      <c r="D12" s="1336"/>
      <c r="E12" s="1337"/>
      <c r="F12" s="1337"/>
      <c r="G12" s="1337"/>
      <c r="H12" s="1337"/>
      <c r="I12" s="1337"/>
      <c r="J12" s="1337"/>
      <c r="K12" s="1337"/>
      <c r="L12" s="1334">
        <f t="shared" ref="L12:L27" si="0">+G12+I12+K12</f>
        <v>0</v>
      </c>
      <c r="M12" s="1337"/>
    </row>
    <row r="13" spans="2:14" ht="20.100000000000001" customHeight="1" x14ac:dyDescent="0.2">
      <c r="B13" s="1331"/>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1168</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1736</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1839</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1245</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1737</v>
      </c>
      <c r="C37" s="1359"/>
      <c r="D37" s="1359"/>
      <c r="E37" s="1359"/>
      <c r="F37" s="1359"/>
      <c r="G37" s="1359"/>
      <c r="H37" s="1359"/>
      <c r="I37" s="1360"/>
      <c r="J37" s="1360"/>
      <c r="K37" s="1360"/>
      <c r="L37" s="1360"/>
      <c r="M37" s="1360"/>
    </row>
    <row r="38" spans="2:13" ht="11.25" customHeight="1" x14ac:dyDescent="0.2">
      <c r="B38" s="1361" t="s">
        <v>1583</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1738</v>
      </c>
      <c r="C40" s="1360"/>
      <c r="D40" s="1360"/>
      <c r="E40" s="1360"/>
      <c r="F40" s="1360"/>
      <c r="G40" s="1360"/>
      <c r="H40" s="1360"/>
      <c r="I40" s="1360"/>
      <c r="J40" s="1360"/>
      <c r="K40" s="1360"/>
      <c r="L40" s="1360"/>
      <c r="M40" s="1360"/>
    </row>
    <row r="41" spans="2:13" ht="11.25" customHeight="1" x14ac:dyDescent="0.2">
      <c r="B41" s="1294" t="s">
        <v>1584</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1739</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1740</v>
      </c>
      <c r="C45" s="1362"/>
      <c r="D45" s="1363"/>
      <c r="E45" s="1294"/>
      <c r="F45" s="1294"/>
      <c r="G45" s="1294"/>
      <c r="H45" s="1294"/>
      <c r="I45" s="1294"/>
      <c r="J45" s="1294"/>
      <c r="K45" s="1364"/>
      <c r="L45" s="1364"/>
      <c r="M45" s="1294"/>
    </row>
    <row r="46" spans="2:13" ht="11.25" customHeight="1" x14ac:dyDescent="0.2">
      <c r="B46" s="1294" t="s">
        <v>1585</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4" firstPageNumber="38" orientation="landscape" useFirstPageNumber="1" r:id="rId1"/>
  <headerFooter alignWithMargins="0">
    <oddHeader>&amp;L&amp;8Page 40&amp;R&amp;8Page 40</oddHeader>
    <oddFooter>&amp;LSee Notes to Financial Statements.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55" t="str">
        <f>'Single Audit Cover'!A7</f>
        <v>Lebanon CUSD 9</v>
      </c>
      <c r="B1" s="2455"/>
      <c r="C1" s="2455"/>
      <c r="D1" s="2455"/>
      <c r="E1" s="2455"/>
      <c r="F1" s="2455"/>
    </row>
    <row r="2" spans="1:7" ht="13.5" customHeight="1" x14ac:dyDescent="0.2">
      <c r="A2" s="2443">
        <f>'Single Audit Cover'!E7</f>
        <v>50082009026</v>
      </c>
      <c r="B2" s="2443"/>
      <c r="C2" s="2443"/>
      <c r="D2" s="2443"/>
      <c r="E2" s="2443"/>
      <c r="F2" s="2443"/>
      <c r="G2" s="1269"/>
    </row>
    <row r="3" spans="1:7" ht="15.75" customHeight="1" x14ac:dyDescent="0.2">
      <c r="A3" s="2456" t="s">
        <v>1270</v>
      </c>
      <c r="B3" s="2456"/>
      <c r="C3" s="2456"/>
      <c r="D3" s="2456"/>
      <c r="E3" s="2456"/>
      <c r="F3" s="2456"/>
    </row>
    <row r="4" spans="1:7" ht="13.5" customHeight="1" x14ac:dyDescent="0.2">
      <c r="A4" s="2457" t="str">
        <f>'Single Audit Cover'!A4</f>
        <v>Year Ending June 30, 2019</v>
      </c>
      <c r="B4" s="2457"/>
      <c r="C4" s="2457"/>
      <c r="D4" s="2457"/>
      <c r="E4" s="2457"/>
      <c r="F4" s="2457"/>
    </row>
    <row r="5" spans="1:7" ht="8.25" customHeight="1" x14ac:dyDescent="0.2">
      <c r="C5" s="317"/>
      <c r="D5" s="317"/>
    </row>
    <row r="6" spans="1:7" ht="13.5" customHeight="1" x14ac:dyDescent="0.2">
      <c r="A6" s="1270" t="s">
        <v>1727</v>
      </c>
      <c r="C6" s="317"/>
      <c r="D6" s="317"/>
    </row>
    <row r="7" spans="1:7" ht="60.95" customHeight="1" x14ac:dyDescent="0.2">
      <c r="A7" s="2454" t="s">
        <v>1728</v>
      </c>
      <c r="B7" s="2454"/>
      <c r="C7" s="2454"/>
      <c r="D7" s="2454"/>
      <c r="E7" s="2454"/>
      <c r="F7" s="2454"/>
    </row>
    <row r="8" spans="1:7" ht="12" customHeight="1" x14ac:dyDescent="0.2">
      <c r="A8" s="1270"/>
      <c r="B8" s="1276"/>
      <c r="C8" s="1276"/>
      <c r="D8" s="1276"/>
    </row>
    <row r="9" spans="1:7" ht="15" customHeight="1" x14ac:dyDescent="0.2">
      <c r="A9" s="1271" t="s">
        <v>1729</v>
      </c>
      <c r="B9" s="1274"/>
      <c r="C9" s="1274"/>
      <c r="D9" s="1274"/>
      <c r="E9" s="1272"/>
      <c r="F9" s="1272"/>
      <c r="G9" s="1272"/>
    </row>
    <row r="10" spans="1:7" ht="15" customHeight="1" x14ac:dyDescent="0.2">
      <c r="A10" s="1273" t="s">
        <v>1546</v>
      </c>
      <c r="B10" s="1274"/>
      <c r="C10" s="1275"/>
      <c r="D10" s="1274" t="s">
        <v>1547</v>
      </c>
      <c r="E10" s="1275"/>
      <c r="F10" s="1274" t="s">
        <v>99</v>
      </c>
      <c r="G10" s="1272"/>
    </row>
    <row r="11" spans="1:7" ht="12" customHeight="1" x14ac:dyDescent="0.2">
      <c r="A11" s="1273"/>
      <c r="B11" s="1274"/>
      <c r="C11" s="1899"/>
      <c r="D11" s="1274"/>
      <c r="E11" s="1899"/>
      <c r="F11" s="1274"/>
      <c r="G11" s="1272"/>
    </row>
    <row r="12" spans="1:7" x14ac:dyDescent="0.2">
      <c r="A12" s="1270" t="s">
        <v>1586</v>
      </c>
      <c r="C12" s="1254"/>
      <c r="D12" s="1254"/>
    </row>
    <row r="13" spans="1:7" ht="15" customHeight="1" x14ac:dyDescent="0.2">
      <c r="A13" s="2454" t="s">
        <v>1730</v>
      </c>
      <c r="B13" s="2454"/>
      <c r="C13" s="2454"/>
      <c r="D13" s="2454"/>
      <c r="E13" s="2454"/>
      <c r="F13" s="2454"/>
    </row>
    <row r="14" spans="1:7" ht="9.75" customHeight="1" x14ac:dyDescent="0.2">
      <c r="C14" s="1254"/>
      <c r="D14" s="1254"/>
    </row>
    <row r="15" spans="1:7" ht="13.5" customHeight="1" x14ac:dyDescent="0.2">
      <c r="C15" s="1843" t="s">
        <v>1269</v>
      </c>
      <c r="D15" s="2452" t="s">
        <v>1268</v>
      </c>
      <c r="E15" s="2452"/>
      <c r="F15" s="2452"/>
    </row>
    <row r="16" spans="1:7" ht="13.5" customHeight="1" x14ac:dyDescent="0.2">
      <c r="A16" s="1276"/>
      <c r="B16" s="1270" t="s">
        <v>1267</v>
      </c>
      <c r="C16" s="1843" t="s">
        <v>1266</v>
      </c>
      <c r="D16" s="2453" t="s">
        <v>1587</v>
      </c>
      <c r="E16" s="2453"/>
      <c r="F16" s="2453"/>
    </row>
    <row r="17" spans="1:6" ht="20.45" customHeight="1" x14ac:dyDescent="0.2">
      <c r="A17" s="1277"/>
      <c r="B17" s="1278"/>
      <c r="C17" s="1279"/>
      <c r="D17" s="2447"/>
      <c r="E17" s="2447"/>
      <c r="F17" s="2447"/>
    </row>
    <row r="18" spans="1:6" ht="20.65" customHeight="1" x14ac:dyDescent="0.2">
      <c r="A18" s="1277"/>
      <c r="B18" s="1278"/>
      <c r="C18" s="1279"/>
      <c r="D18" s="2447"/>
      <c r="E18" s="2447"/>
      <c r="F18" s="2447"/>
    </row>
    <row r="19" spans="1:6" ht="20.65" customHeight="1" x14ac:dyDescent="0.2">
      <c r="A19" s="1277"/>
      <c r="B19" s="1278"/>
      <c r="C19" s="1279"/>
      <c r="D19" s="2447"/>
      <c r="E19" s="2447"/>
      <c r="F19" s="2447"/>
    </row>
    <row r="20" spans="1:6" ht="20.65" customHeight="1" x14ac:dyDescent="0.2">
      <c r="A20" s="1277"/>
      <c r="B20" s="1278"/>
      <c r="C20" s="1279"/>
      <c r="D20" s="2447"/>
      <c r="E20" s="2447"/>
      <c r="F20" s="2447"/>
    </row>
    <row r="21" spans="1:6" ht="20.65" customHeight="1" x14ac:dyDescent="0.2">
      <c r="A21" s="1277"/>
      <c r="B21" s="1278"/>
      <c r="C21" s="1279"/>
      <c r="D21" s="2447"/>
      <c r="E21" s="2447"/>
      <c r="F21" s="2447"/>
    </row>
    <row r="22" spans="1:6" ht="20.65" customHeight="1" x14ac:dyDescent="0.2">
      <c r="A22" s="1277"/>
      <c r="B22" s="1278"/>
      <c r="C22" s="1279"/>
      <c r="D22" s="2447"/>
      <c r="E22" s="2447"/>
      <c r="F22" s="2447"/>
    </row>
    <row r="23" spans="1:6" ht="20.65" customHeight="1" x14ac:dyDescent="0.2">
      <c r="A23" s="1277"/>
      <c r="B23" s="1278"/>
      <c r="C23" s="1279"/>
      <c r="D23" s="2447"/>
      <c r="E23" s="2447"/>
      <c r="F23" s="2447"/>
    </row>
    <row r="24" spans="1:6" ht="20.65" customHeight="1" x14ac:dyDescent="0.2">
      <c r="A24" s="1277"/>
      <c r="B24" s="1278"/>
      <c r="C24" s="1279"/>
      <c r="D24" s="2447"/>
      <c r="E24" s="2447"/>
      <c r="F24" s="2447"/>
    </row>
    <row r="25" spans="1:6" ht="20.65" customHeight="1" x14ac:dyDescent="0.2">
      <c r="A25" s="1277"/>
      <c r="B25" s="1278"/>
      <c r="C25" s="1279"/>
      <c r="D25" s="2447"/>
      <c r="E25" s="2447"/>
      <c r="F25" s="2447"/>
    </row>
    <row r="26" spans="1:6" ht="20.65" customHeight="1" x14ac:dyDescent="0.2">
      <c r="A26" s="1277"/>
      <c r="B26" s="1278"/>
      <c r="C26" s="1279"/>
      <c r="D26" s="2447"/>
      <c r="E26" s="2447"/>
      <c r="F26" s="2447"/>
    </row>
    <row r="27" spans="1:6" ht="20.65" customHeight="1" x14ac:dyDescent="0.2">
      <c r="A27" s="1277"/>
      <c r="B27" s="1278"/>
      <c r="C27" s="1279"/>
      <c r="D27" s="2447"/>
      <c r="E27" s="2447"/>
      <c r="F27" s="2447"/>
    </row>
    <row r="28" spans="1:6" ht="20.65" customHeight="1" x14ac:dyDescent="0.2">
      <c r="A28" s="1277"/>
      <c r="B28" s="1278"/>
      <c r="C28" s="1279"/>
      <c r="D28" s="2447"/>
      <c r="E28" s="2447"/>
      <c r="F28" s="2447"/>
    </row>
    <row r="29" spans="1:6" ht="20.65" customHeight="1" x14ac:dyDescent="0.2">
      <c r="A29" s="1277"/>
      <c r="B29" s="1278"/>
      <c r="C29" s="1279"/>
      <c r="D29" s="2447"/>
      <c r="E29" s="2447"/>
      <c r="F29" s="2447"/>
    </row>
    <row r="30" spans="1:6" ht="12" customHeight="1" x14ac:dyDescent="0.2">
      <c r="A30" s="328"/>
      <c r="B30" s="328"/>
      <c r="C30" s="1459"/>
      <c r="D30" s="1900"/>
      <c r="E30" s="1280"/>
    </row>
    <row r="31" spans="1:6" ht="12" customHeight="1" x14ac:dyDescent="0.2">
      <c r="A31" s="1281" t="s">
        <v>1548</v>
      </c>
      <c r="B31" s="328"/>
      <c r="C31" s="1459"/>
      <c r="D31" s="1900"/>
      <c r="E31" s="1280"/>
    </row>
    <row r="32" spans="1:6" ht="30" customHeight="1" x14ac:dyDescent="0.2">
      <c r="A32" s="2448" t="s">
        <v>1731</v>
      </c>
      <c r="B32" s="2448"/>
      <c r="C32" s="2448"/>
      <c r="D32" s="2448"/>
      <c r="E32" s="2448"/>
      <c r="F32" s="2448"/>
    </row>
    <row r="33" spans="1:6" ht="13.5" customHeight="1" x14ac:dyDescent="0.2">
      <c r="A33" s="328" t="s">
        <v>1433</v>
      </c>
      <c r="B33" s="328"/>
      <c r="C33" s="1282">
        <v>0</v>
      </c>
      <c r="D33" s="1900"/>
      <c r="E33" s="1280"/>
    </row>
    <row r="34" spans="1:6" ht="13.5" customHeight="1" x14ac:dyDescent="0.2">
      <c r="A34" s="328" t="s">
        <v>1837</v>
      </c>
      <c r="B34" s="328"/>
      <c r="C34" s="1283">
        <v>0</v>
      </c>
      <c r="D34" s="1900" t="s">
        <v>1588</v>
      </c>
      <c r="E34" s="2449">
        <f>+C33+C34</f>
        <v>0</v>
      </c>
      <c r="F34" s="2450"/>
    </row>
    <row r="35" spans="1:6" ht="12" customHeight="1" x14ac:dyDescent="0.2">
      <c r="A35" s="328"/>
      <c r="B35" s="328"/>
      <c r="C35" s="1901"/>
      <c r="D35" s="1900"/>
      <c r="E35" s="1284"/>
      <c r="F35" s="1285"/>
    </row>
    <row r="36" spans="1:6" ht="13.5" customHeight="1" x14ac:dyDescent="0.2">
      <c r="A36" s="1281" t="s">
        <v>1549</v>
      </c>
      <c r="B36" s="328"/>
      <c r="C36" s="1459"/>
      <c r="D36" s="1900"/>
      <c r="E36" s="1280"/>
    </row>
    <row r="37" spans="1:6" ht="14.25" customHeight="1" x14ac:dyDescent="0.2">
      <c r="A37" s="328" t="s">
        <v>1483</v>
      </c>
      <c r="B37" s="328"/>
      <c r="C37" s="1902"/>
      <c r="D37" s="1900"/>
      <c r="E37" s="1280"/>
    </row>
    <row r="38" spans="1:6" ht="14.25" customHeight="1" x14ac:dyDescent="0.2">
      <c r="A38" s="328"/>
      <c r="B38" s="328" t="s">
        <v>1434</v>
      </c>
      <c r="C38" s="1286"/>
      <c r="D38" s="1900"/>
      <c r="E38" s="1280"/>
    </row>
    <row r="39" spans="1:6" ht="14.25" customHeight="1" x14ac:dyDescent="0.2">
      <c r="A39" s="328"/>
      <c r="B39" s="328" t="s">
        <v>1435</v>
      </c>
      <c r="C39" s="1286"/>
      <c r="D39" s="1900"/>
      <c r="E39" s="1280"/>
    </row>
    <row r="40" spans="1:6" ht="14.25" customHeight="1" x14ac:dyDescent="0.2">
      <c r="A40" s="328"/>
      <c r="B40" s="328" t="s">
        <v>1436</v>
      </c>
      <c r="C40" s="1286"/>
      <c r="D40" s="1900"/>
      <c r="E40" s="1280"/>
    </row>
    <row r="41" spans="1:6" ht="14.25" customHeight="1" x14ac:dyDescent="0.2">
      <c r="A41" s="328"/>
      <c r="B41" s="328" t="s">
        <v>1437</v>
      </c>
      <c r="C41" s="1286"/>
      <c r="D41" s="1900"/>
      <c r="E41" s="1280"/>
    </row>
    <row r="42" spans="1:6" ht="14.25" customHeight="1" x14ac:dyDescent="0.2">
      <c r="A42" s="328" t="s">
        <v>1438</v>
      </c>
      <c r="B42" s="328"/>
      <c r="C42" s="1898"/>
      <c r="D42" s="1900"/>
      <c r="E42" s="1280"/>
    </row>
    <row r="43" spans="1:6" ht="14.25" customHeight="1" x14ac:dyDescent="0.2">
      <c r="A43" s="328" t="s">
        <v>1439</v>
      </c>
      <c r="B43" s="328"/>
      <c r="C43" s="1287"/>
      <c r="D43" s="1900"/>
      <c r="E43" s="1280"/>
    </row>
    <row r="44" spans="1:6" ht="14.25" customHeight="1" x14ac:dyDescent="0.2">
      <c r="A44" s="328"/>
      <c r="B44" s="328"/>
      <c r="C44" s="1902" t="s">
        <v>1440</v>
      </c>
      <c r="D44" s="1900"/>
      <c r="E44" s="1280"/>
    </row>
    <row r="45" spans="1:6" ht="13.5" customHeight="1" x14ac:dyDescent="0.2">
      <c r="B45" s="322"/>
      <c r="C45" s="1288"/>
      <c r="D45" s="1288"/>
    </row>
    <row r="46" spans="1:6" x14ac:dyDescent="0.2">
      <c r="A46" s="1289" t="s">
        <v>1732</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51" t="s">
        <v>1589</v>
      </c>
      <c r="C49" s="2451"/>
      <c r="D49" s="2451"/>
      <c r="E49" s="1393"/>
    </row>
    <row r="50" spans="1:5" s="1294" customFormat="1" ht="3.75" customHeight="1" x14ac:dyDescent="0.2">
      <c r="A50" s="1293"/>
      <c r="B50" s="1842"/>
      <c r="C50" s="1842"/>
      <c r="D50" s="1842"/>
      <c r="E50" s="1393"/>
    </row>
    <row r="51" spans="1:5" s="1294" customFormat="1" ht="20.25" customHeight="1" x14ac:dyDescent="0.2">
      <c r="A51" s="1295">
        <v>6</v>
      </c>
      <c r="B51" s="2446" t="s">
        <v>1550</v>
      </c>
      <c r="C51" s="2446"/>
      <c r="D51" s="2446"/>
    </row>
    <row r="52" spans="1:5" ht="14.25" customHeight="1" x14ac:dyDescent="0.2">
      <c r="A52" s="1295"/>
      <c r="B52" s="2446"/>
      <c r="C52" s="2446"/>
      <c r="D52" s="2446"/>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8" firstPageNumber="39" orientation="portrait" useFirstPageNumber="1" r:id="rId1"/>
  <headerFooter alignWithMargins="0">
    <oddHeader>&amp;L&amp;8Page 41&amp;R&amp;8Page 41</oddHeader>
    <oddFooter>&amp;LSee Notes to Financial Statements.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9" colorId="8" zoomScale="110" zoomScaleNormal="110" workbookViewId="0">
      <selection activeCell="B24" sqref="B2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3" t="s">
        <v>1167</v>
      </c>
      <c r="B2" s="2063"/>
      <c r="C2" s="2063"/>
      <c r="D2" s="2063"/>
      <c r="E2" s="2063"/>
      <c r="F2" s="2063"/>
      <c r="G2" s="2063"/>
      <c r="H2" s="2063"/>
      <c r="I2" s="2063"/>
      <c r="J2" s="2063"/>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1945</v>
      </c>
    </row>
    <row r="32" spans="1:4" s="181" customFormat="1" x14ac:dyDescent="0.2">
      <c r="A32" s="219"/>
      <c r="B32" s="236"/>
      <c r="C32" s="227"/>
      <c r="D32" s="237" t="s">
        <v>1792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77" t="s">
        <v>1632</v>
      </c>
      <c r="B35" s="2078"/>
      <c r="C35" s="2078"/>
      <c r="D35" s="2078"/>
      <c r="E35" s="2079"/>
      <c r="F35" s="2079"/>
      <c r="G35" s="2079"/>
      <c r="H35" s="2079"/>
      <c r="I35" s="2079"/>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7" t="s">
        <v>312</v>
      </c>
      <c r="B47" s="2080"/>
      <c r="C47" s="2080"/>
      <c r="D47" s="2080"/>
      <c r="E47" s="2081"/>
      <c r="F47" s="2081"/>
      <c r="G47" s="2081"/>
      <c r="H47" s="2081"/>
      <c r="I47" s="2081"/>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c r="C53" s="179">
        <v>22</v>
      </c>
      <c r="D53" s="247" t="s">
        <v>1461</v>
      </c>
      <c r="E53" s="248"/>
      <c r="F53" s="249"/>
      <c r="G53" s="249" t="s">
        <v>1460</v>
      </c>
      <c r="H53" s="250"/>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4"/>
      <c r="C57" s="2085"/>
      <c r="D57" s="2085"/>
      <c r="E57" s="2085"/>
      <c r="F57" s="2085"/>
      <c r="G57" s="2085"/>
      <c r="H57" s="2085"/>
      <c r="I57" s="2085"/>
      <c r="J57" s="2086"/>
    </row>
    <row r="58" spans="1:10" s="181" customFormat="1" x14ac:dyDescent="0.2">
      <c r="A58" s="253"/>
      <c r="B58" s="2087"/>
      <c r="C58" s="2088"/>
      <c r="D58" s="2088"/>
      <c r="E58" s="2088"/>
      <c r="F58" s="2088"/>
      <c r="G58" s="2088"/>
      <c r="H58" s="2088"/>
      <c r="I58" s="2088"/>
      <c r="J58" s="2089"/>
    </row>
    <row r="59" spans="1:10" s="181" customFormat="1" x14ac:dyDescent="0.2">
      <c r="A59" s="253"/>
      <c r="B59" s="2087"/>
      <c r="C59" s="2088"/>
      <c r="D59" s="2088"/>
      <c r="E59" s="2088"/>
      <c r="F59" s="2088"/>
      <c r="G59" s="2088"/>
      <c r="H59" s="2088"/>
      <c r="I59" s="2088"/>
      <c r="J59" s="2089"/>
    </row>
    <row r="60" spans="1:10" s="181" customFormat="1" x14ac:dyDescent="0.2">
      <c r="A60" s="253"/>
      <c r="B60" s="2087"/>
      <c r="C60" s="2088"/>
      <c r="D60" s="2088"/>
      <c r="E60" s="2088"/>
      <c r="F60" s="2088"/>
      <c r="G60" s="2088"/>
      <c r="H60" s="2088"/>
      <c r="I60" s="2088"/>
      <c r="J60" s="2089"/>
    </row>
    <row r="61" spans="1:10" s="181" customFormat="1" x14ac:dyDescent="0.2">
      <c r="A61" s="253"/>
      <c r="B61" s="2087"/>
      <c r="C61" s="2088"/>
      <c r="D61" s="2088"/>
      <c r="E61" s="2088"/>
      <c r="F61" s="2088"/>
      <c r="G61" s="2088"/>
      <c r="H61" s="2088"/>
      <c r="I61" s="2088"/>
      <c r="J61" s="2089"/>
    </row>
    <row r="62" spans="1:10" s="181" customFormat="1" x14ac:dyDescent="0.2">
      <c r="A62" s="253"/>
      <c r="B62" s="2087"/>
      <c r="C62" s="2088"/>
      <c r="D62" s="2088"/>
      <c r="E62" s="2088"/>
      <c r="F62" s="2088"/>
      <c r="G62" s="2088"/>
      <c r="H62" s="2088"/>
      <c r="I62" s="2088"/>
      <c r="J62" s="2089"/>
    </row>
    <row r="63" spans="1:10" s="181" customFormat="1" x14ac:dyDescent="0.2">
      <c r="A63" s="253"/>
      <c r="B63" s="2087"/>
      <c r="C63" s="2088"/>
      <c r="D63" s="2088"/>
      <c r="E63" s="2088"/>
      <c r="F63" s="2088"/>
      <c r="G63" s="2088"/>
      <c r="H63" s="2088"/>
      <c r="I63" s="2088"/>
      <c r="J63" s="2089"/>
    </row>
    <row r="64" spans="1:10" s="181" customFormat="1" x14ac:dyDescent="0.2">
      <c r="A64" s="253"/>
      <c r="B64" s="2087"/>
      <c r="C64" s="2088"/>
      <c r="D64" s="2088"/>
      <c r="E64" s="2088"/>
      <c r="F64" s="2088"/>
      <c r="G64" s="2088"/>
      <c r="H64" s="2088"/>
      <c r="I64" s="2088"/>
      <c r="J64" s="2089"/>
    </row>
    <row r="65" spans="1:10" s="181" customFormat="1" x14ac:dyDescent="0.2">
      <c r="A65" s="253"/>
      <c r="B65" s="2087"/>
      <c r="C65" s="2088"/>
      <c r="D65" s="2088"/>
      <c r="E65" s="2088"/>
      <c r="F65" s="2088"/>
      <c r="G65" s="2088"/>
      <c r="H65" s="2088"/>
      <c r="I65" s="2088"/>
      <c r="J65" s="2089"/>
    </row>
    <row r="66" spans="1:10" s="181" customFormat="1" x14ac:dyDescent="0.2">
      <c r="A66" s="253"/>
      <c r="B66" s="2087"/>
      <c r="C66" s="2088"/>
      <c r="D66" s="2088"/>
      <c r="E66" s="2088"/>
      <c r="F66" s="2088"/>
      <c r="G66" s="2088"/>
      <c r="H66" s="2088"/>
      <c r="I66" s="2088"/>
      <c r="J66" s="2089"/>
    </row>
    <row r="67" spans="1:10" s="181" customFormat="1" ht="9" customHeight="1" x14ac:dyDescent="0.2">
      <c r="A67" s="254"/>
      <c r="B67" s="2090"/>
      <c r="C67" s="2091"/>
      <c r="D67" s="2091"/>
      <c r="E67" s="2091"/>
      <c r="F67" s="2091"/>
      <c r="G67" s="2091"/>
      <c r="H67" s="2091"/>
      <c r="I67" s="2091"/>
      <c r="J67" s="209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7" t="s">
        <v>1322</v>
      </c>
      <c r="B70" s="2080"/>
      <c r="C70" s="2080"/>
      <c r="D70" s="2080"/>
      <c r="E70" s="2081"/>
      <c r="F70" s="2081"/>
      <c r="G70" s="2081"/>
      <c r="H70" s="2081"/>
      <c r="I70" s="2081"/>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1904</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2" t="s">
        <v>1319</v>
      </c>
      <c r="B83" s="2082"/>
      <c r="C83" s="2082"/>
      <c r="D83" s="2083"/>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64"/>
      <c r="C102" s="2065"/>
      <c r="D102" s="2065"/>
      <c r="E102" s="2065"/>
      <c r="F102" s="2065"/>
      <c r="G102" s="2065"/>
      <c r="H102" s="2065"/>
      <c r="I102" s="2066"/>
    </row>
    <row r="103" spans="1:9" s="181" customFormat="1" ht="11.25" customHeight="1" x14ac:dyDescent="0.2">
      <c r="A103" s="316"/>
      <c r="B103" s="2067"/>
      <c r="C103" s="2068"/>
      <c r="D103" s="2068"/>
      <c r="E103" s="2068"/>
      <c r="F103" s="2068"/>
      <c r="G103" s="2068"/>
      <c r="H103" s="2068"/>
      <c r="I103" s="2069"/>
    </row>
    <row r="104" spans="1:9" s="181" customFormat="1" ht="11.25" customHeight="1" x14ac:dyDescent="0.2">
      <c r="A104" s="316"/>
      <c r="B104" s="2067"/>
      <c r="C104" s="2068"/>
      <c r="D104" s="2068"/>
      <c r="E104" s="2068"/>
      <c r="F104" s="2068"/>
      <c r="G104" s="2068"/>
      <c r="H104" s="2068"/>
      <c r="I104" s="2069"/>
    </row>
    <row r="105" spans="1:9" s="181" customFormat="1" x14ac:dyDescent="0.2">
      <c r="A105" s="316"/>
      <c r="B105" s="2067"/>
      <c r="C105" s="2068"/>
      <c r="D105" s="2068"/>
      <c r="E105" s="2068"/>
      <c r="F105" s="2068"/>
      <c r="G105" s="2068"/>
      <c r="H105" s="2068"/>
      <c r="I105" s="2069"/>
    </row>
    <row r="106" spans="1:9" s="181" customFormat="1" ht="11.25" customHeight="1" x14ac:dyDescent="0.2">
      <c r="A106" s="316"/>
      <c r="B106" s="2067"/>
      <c r="C106" s="2068"/>
      <c r="D106" s="2068"/>
      <c r="E106" s="2068"/>
      <c r="F106" s="2068"/>
      <c r="G106" s="2068"/>
      <c r="H106" s="2068"/>
      <c r="I106" s="2069"/>
    </row>
    <row r="107" spans="1:9" s="181" customFormat="1" ht="11.25" customHeight="1" x14ac:dyDescent="0.2">
      <c r="A107" s="316"/>
      <c r="B107" s="2067"/>
      <c r="C107" s="2068"/>
      <c r="D107" s="2068"/>
      <c r="E107" s="2068"/>
      <c r="F107" s="2068"/>
      <c r="G107" s="2068"/>
      <c r="H107" s="2068"/>
      <c r="I107" s="2069"/>
    </row>
    <row r="108" spans="1:9" s="181" customFormat="1" ht="11.25" customHeight="1" x14ac:dyDescent="0.2">
      <c r="A108" s="316"/>
      <c r="B108" s="2067"/>
      <c r="C108" s="2068"/>
      <c r="D108" s="2068"/>
      <c r="E108" s="2068"/>
      <c r="F108" s="2068"/>
      <c r="G108" s="2068"/>
      <c r="H108" s="2068"/>
      <c r="I108" s="2069"/>
    </row>
    <row r="109" spans="1:9" s="181" customFormat="1" ht="11.25" customHeight="1" x14ac:dyDescent="0.2">
      <c r="A109" s="316"/>
      <c r="B109" s="2067"/>
      <c r="C109" s="2068"/>
      <c r="D109" s="2068"/>
      <c r="E109" s="2068"/>
      <c r="F109" s="2068"/>
      <c r="G109" s="2068"/>
      <c r="H109" s="2068"/>
      <c r="I109" s="2069"/>
    </row>
    <row r="110" spans="1:9" s="181" customFormat="1" ht="11.25" customHeight="1" x14ac:dyDescent="0.2">
      <c r="A110" s="316"/>
      <c r="B110" s="2067"/>
      <c r="C110" s="2068"/>
      <c r="D110" s="2068"/>
      <c r="E110" s="2068"/>
      <c r="F110" s="2068"/>
      <c r="G110" s="2068"/>
      <c r="H110" s="2068"/>
      <c r="I110" s="2069"/>
    </row>
    <row r="111" spans="1:9" s="181" customFormat="1" ht="11.25" customHeight="1" x14ac:dyDescent="0.2">
      <c r="A111" s="316"/>
      <c r="B111" s="2067"/>
      <c r="C111" s="2068"/>
      <c r="D111" s="2068"/>
      <c r="E111" s="2068"/>
      <c r="F111" s="2068"/>
      <c r="G111" s="2068"/>
      <c r="H111" s="2068"/>
      <c r="I111" s="2069"/>
    </row>
    <row r="112" spans="1:9" s="181" customFormat="1" ht="11.25" customHeight="1" x14ac:dyDescent="0.2">
      <c r="A112" s="316"/>
      <c r="B112" s="2070"/>
      <c r="C112" s="2071"/>
      <c r="D112" s="2071"/>
      <c r="E112" s="2071"/>
      <c r="F112" s="2071"/>
      <c r="G112" s="2071"/>
      <c r="H112" s="2071"/>
      <c r="I112" s="207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3" t="s">
        <v>2064</v>
      </c>
      <c r="D114" s="2073"/>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4" t="s">
        <v>1329</v>
      </c>
      <c r="D117" s="2075"/>
      <c r="E117" s="2076"/>
      <c r="F117" s="2076"/>
      <c r="G117" s="2076"/>
      <c r="H117" s="2076"/>
      <c r="I117" s="304"/>
    </row>
    <row r="118" spans="1:9" s="181" customFormat="1" ht="24" customHeight="1" x14ac:dyDescent="0.2">
      <c r="A118" s="316"/>
      <c r="B118" s="316"/>
      <c r="C118" s="316"/>
      <c r="D118" s="323"/>
      <c r="E118" s="322"/>
      <c r="F118" s="324"/>
      <c r="G118" s="1837"/>
      <c r="H118" s="322"/>
      <c r="I118" s="304"/>
    </row>
    <row r="119" spans="1:9" s="181" customFormat="1" ht="11.25" customHeight="1" x14ac:dyDescent="0.2">
      <c r="A119" s="325"/>
      <c r="B119" s="325"/>
      <c r="C119" s="326"/>
      <c r="D119" s="327" t="s">
        <v>360</v>
      </c>
      <c r="E119" s="310"/>
      <c r="F119" s="1836" t="s">
        <v>1905</v>
      </c>
      <c r="G119" s="328"/>
      <c r="H119" s="328"/>
      <c r="I119" s="304"/>
    </row>
    <row r="120" spans="1:9" x14ac:dyDescent="0.2">
      <c r="A120" s="329"/>
      <c r="B120" s="180"/>
      <c r="C120" s="330"/>
      <c r="D120" s="256"/>
      <c r="E120" s="256"/>
      <c r="F120" s="256"/>
      <c r="G120" s="256"/>
      <c r="H120" s="256"/>
      <c r="I120" s="304"/>
    </row>
    <row r="121" spans="1:9" x14ac:dyDescent="0.2">
      <c r="A121" s="329"/>
      <c r="B121" s="1485"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&amp;L&amp;8See Notes to Financial Statements.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topLeftCell="A13" zoomScale="110" zoomScaleNormal="110" workbookViewId="0">
      <selection activeCell="N25" sqref="N25"/>
    </sheetView>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9" t="str">
        <f>'Single Audit Cover'!A7</f>
        <v>Lebanon CUSD 9</v>
      </c>
      <c r="C1" s="2470"/>
      <c r="D1" s="2470"/>
      <c r="E1" s="2470"/>
      <c r="F1" s="2470"/>
      <c r="G1" s="2470"/>
      <c r="H1" s="2470"/>
      <c r="I1" s="2470"/>
      <c r="J1" s="1403"/>
    </row>
    <row r="2" spans="2:10" s="317" customFormat="1" ht="12.75" customHeight="1" x14ac:dyDescent="0.2">
      <c r="B2" s="2471">
        <f>'Single Audit Cover'!E7</f>
        <v>50082009026</v>
      </c>
      <c r="C2" s="2472"/>
      <c r="D2" s="2472"/>
      <c r="E2" s="2472"/>
      <c r="F2" s="2472"/>
      <c r="G2" s="2472"/>
      <c r="H2" s="2472"/>
      <c r="I2" s="2472"/>
      <c r="J2" s="1403"/>
    </row>
    <row r="3" spans="2:10" s="317" customFormat="1" ht="12.75" customHeight="1" x14ac:dyDescent="0.2">
      <c r="B3" s="2473" t="s">
        <v>1284</v>
      </c>
      <c r="C3" s="2474"/>
      <c r="D3" s="2474"/>
      <c r="E3" s="2474"/>
      <c r="F3" s="2474"/>
      <c r="G3" s="2474"/>
      <c r="H3" s="2474"/>
      <c r="I3" s="2474"/>
      <c r="J3" s="1404"/>
    </row>
    <row r="4" spans="2:10" s="317" customFormat="1" ht="12.75" customHeight="1" x14ac:dyDescent="0.2">
      <c r="B4" s="2473" t="str">
        <f>'Single Audit Cover'!A4</f>
        <v>Year Ending June 30, 2019</v>
      </c>
      <c r="C4" s="2474"/>
      <c r="D4" s="2474"/>
      <c r="E4" s="2474"/>
      <c r="F4" s="2474"/>
      <c r="G4" s="2474"/>
      <c r="H4" s="2474"/>
      <c r="I4" s="2474"/>
    </row>
    <row r="5" spans="2:10" s="317" customFormat="1" ht="6.2" customHeight="1" x14ac:dyDescent="0.2">
      <c r="B5" s="1405" t="s">
        <v>1168</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73" t="s">
        <v>1283</v>
      </c>
      <c r="C7" s="2474"/>
      <c r="D7" s="2474"/>
      <c r="E7" s="2474"/>
      <c r="F7" s="2474"/>
      <c r="G7" s="2474"/>
      <c r="H7" s="2474"/>
      <c r="I7" s="2474"/>
    </row>
    <row r="8" spans="2:10" s="317" customFormat="1" ht="6.2" customHeight="1" x14ac:dyDescent="0.2">
      <c r="B8" s="1407" t="s">
        <v>1168</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1282</v>
      </c>
      <c r="C10" s="1412"/>
      <c r="D10" s="1412"/>
      <c r="E10" s="1252"/>
    </row>
    <row r="11" spans="2:10" s="317" customFormat="1" ht="13.5" customHeight="1" x14ac:dyDescent="0.2">
      <c r="B11" s="1343" t="s">
        <v>1281</v>
      </c>
      <c r="C11" s="2475" t="s">
        <v>1163</v>
      </c>
      <c r="D11" s="2475"/>
      <c r="E11" s="1413"/>
      <c r="F11" s="1413"/>
      <c r="G11" s="1413"/>
    </row>
    <row r="12" spans="2:10" s="317" customFormat="1" ht="11.45" customHeight="1" x14ac:dyDescent="0.2">
      <c r="B12" s="1351"/>
      <c r="C12" s="1414" t="s">
        <v>1441</v>
      </c>
      <c r="D12" s="1415"/>
      <c r="E12" s="1252"/>
    </row>
    <row r="13" spans="2:10" s="317" customFormat="1" ht="12.75" customHeight="1" x14ac:dyDescent="0.2">
      <c r="B13" s="1416"/>
      <c r="C13" s="1381"/>
      <c r="D13" s="1381"/>
      <c r="E13" s="1252"/>
    </row>
    <row r="14" spans="2:10" s="317" customFormat="1" ht="12.75" customHeight="1" x14ac:dyDescent="0.2">
      <c r="B14" s="1362" t="s">
        <v>1280</v>
      </c>
      <c r="C14" s="1276"/>
      <c r="E14" s="1252"/>
    </row>
    <row r="15" spans="2:10" s="317" customFormat="1" ht="13.5" customHeight="1" x14ac:dyDescent="0.2">
      <c r="B15" s="1417" t="s">
        <v>1277</v>
      </c>
      <c r="C15" s="1418"/>
      <c r="D15" s="1392"/>
      <c r="E15" s="1419"/>
      <c r="F15" s="1294" t="s">
        <v>884</v>
      </c>
      <c r="G15" s="1419" t="s">
        <v>2063</v>
      </c>
      <c r="H15" s="1294" t="s">
        <v>1275</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1276</v>
      </c>
      <c r="C17" s="1418"/>
      <c r="D17" s="1392"/>
      <c r="E17" s="1420"/>
      <c r="F17" s="1251"/>
      <c r="G17" s="1420"/>
      <c r="H17" s="1294"/>
      <c r="I17" s="1294"/>
    </row>
    <row r="18" spans="2:9" s="317" customFormat="1" ht="12.75" customHeight="1" x14ac:dyDescent="0.2">
      <c r="B18" s="1417" t="s">
        <v>1442</v>
      </c>
      <c r="C18" s="1418"/>
      <c r="D18" s="1392"/>
      <c r="E18" s="1419" t="s">
        <v>2063</v>
      </c>
      <c r="F18" s="1294" t="s">
        <v>884</v>
      </c>
      <c r="G18" s="1419"/>
      <c r="H18" s="1294" t="s">
        <v>1275</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1590</v>
      </c>
      <c r="C20" s="1418"/>
      <c r="D20" s="1392"/>
      <c r="E20" s="1419" t="s">
        <v>2063</v>
      </c>
      <c r="F20" s="1294" t="s">
        <v>884</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1279</v>
      </c>
      <c r="C22" s="1421"/>
      <c r="D22" s="1412"/>
      <c r="E22" s="1377"/>
      <c r="F22" s="1294"/>
      <c r="G22" s="322"/>
      <c r="H22" s="1294"/>
      <c r="I22" s="1294"/>
    </row>
    <row r="23" spans="2:9" s="317" customFormat="1" ht="12.75" customHeight="1" x14ac:dyDescent="0.2">
      <c r="B23" s="1362" t="s">
        <v>1278</v>
      </c>
      <c r="C23" s="1276"/>
      <c r="E23" s="1377"/>
      <c r="F23" s="1294"/>
      <c r="G23" s="322"/>
      <c r="H23" s="1294"/>
      <c r="I23" s="1294"/>
    </row>
    <row r="24" spans="2:9" s="317" customFormat="1" ht="13.5" customHeight="1" x14ac:dyDescent="0.2">
      <c r="B24" s="1417" t="s">
        <v>1277</v>
      </c>
      <c r="C24" s="1418"/>
      <c r="D24" s="1392"/>
      <c r="E24" s="1419"/>
      <c r="F24" s="1294" t="s">
        <v>884</v>
      </c>
      <c r="G24" s="1419"/>
      <c r="H24" s="1294" t="s">
        <v>1275</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1276</v>
      </c>
      <c r="C26" s="1418"/>
      <c r="D26" s="1392"/>
      <c r="E26" s="1420"/>
      <c r="F26" s="1251"/>
      <c r="G26" s="1420"/>
      <c r="H26" s="1294"/>
      <c r="I26" s="1294"/>
    </row>
    <row r="27" spans="2:9" s="317" customFormat="1" ht="12.75" customHeight="1" x14ac:dyDescent="0.2">
      <c r="B27" s="1417" t="s">
        <v>1442</v>
      </c>
      <c r="C27" s="1418"/>
      <c r="D27" s="1392"/>
      <c r="E27" s="1419"/>
      <c r="F27" s="1294" t="s">
        <v>884</v>
      </c>
      <c r="G27" s="1419"/>
      <c r="H27" s="1294" t="s">
        <v>1275</v>
      </c>
      <c r="I27" s="1294"/>
    </row>
    <row r="28" spans="2:9" s="317" customFormat="1" ht="12.75" customHeight="1" x14ac:dyDescent="0.2">
      <c r="B28" s="1362"/>
      <c r="C28" s="1276"/>
      <c r="E28" s="1252"/>
    </row>
    <row r="29" spans="2:9" s="317" customFormat="1" ht="12.75" customHeight="1" x14ac:dyDescent="0.2">
      <c r="B29" s="1362" t="s">
        <v>1274</v>
      </c>
      <c r="C29" s="1276"/>
      <c r="D29" s="2476"/>
      <c r="E29" s="2476"/>
      <c r="F29" s="2476"/>
      <c r="G29" s="2476"/>
      <c r="H29" s="2476"/>
      <c r="I29" s="2476"/>
    </row>
    <row r="30" spans="2:9" s="317" customFormat="1" x14ac:dyDescent="0.2">
      <c r="B30" s="1362"/>
      <c r="C30" s="322"/>
      <c r="D30" s="1414" t="s">
        <v>1747</v>
      </c>
      <c r="E30" s="1415"/>
      <c r="F30" s="1415"/>
      <c r="G30" s="1415"/>
      <c r="H30" s="1415"/>
      <c r="I30" s="1415"/>
    </row>
    <row r="31" spans="2:9" s="317" customFormat="1" ht="9.9499999999999993" customHeight="1" x14ac:dyDescent="0.2">
      <c r="B31" s="1362"/>
      <c r="E31" s="1252"/>
    </row>
    <row r="32" spans="2:9" s="317" customFormat="1" x14ac:dyDescent="0.2">
      <c r="B32" s="1362" t="s">
        <v>1273</v>
      </c>
      <c r="C32" s="1276"/>
      <c r="E32" s="1252"/>
    </row>
    <row r="33" spans="2:9" ht="13.5" customHeight="1" x14ac:dyDescent="0.2">
      <c r="B33" s="1362" t="s">
        <v>1551</v>
      </c>
      <c r="C33" s="1276"/>
      <c r="E33" s="1419"/>
      <c r="F33" s="1294" t="s">
        <v>884</v>
      </c>
      <c r="G33" s="1419"/>
      <c r="H33" s="1294" t="s">
        <v>99</v>
      </c>
    </row>
    <row r="35" spans="2:9" x14ac:dyDescent="0.2">
      <c r="B35" s="1422" t="s">
        <v>1748</v>
      </c>
      <c r="C35" s="1423"/>
      <c r="D35" s="1261"/>
    </row>
    <row r="36" spans="2:9" ht="6" customHeight="1" x14ac:dyDescent="0.2">
      <c r="B36" s="1422"/>
      <c r="C36" s="1423"/>
      <c r="D36" s="1261"/>
    </row>
    <row r="37" spans="2:9" ht="17.25" customHeight="1" x14ac:dyDescent="0.2">
      <c r="B37" s="1424" t="s">
        <v>1749</v>
      </c>
      <c r="C37" s="2477" t="s">
        <v>1750</v>
      </c>
      <c r="D37" s="2478"/>
      <c r="E37" s="2478"/>
      <c r="F37" s="2479"/>
      <c r="G37" s="2477" t="s">
        <v>1591</v>
      </c>
      <c r="H37" s="2478"/>
      <c r="I37" s="2479"/>
    </row>
    <row r="38" spans="2:9" ht="16.5" customHeight="1" x14ac:dyDescent="0.2">
      <c r="B38" s="1425"/>
      <c r="C38" s="2465"/>
      <c r="D38" s="2466"/>
      <c r="E38" s="2466"/>
      <c r="F38" s="2467"/>
      <c r="G38" s="2480"/>
      <c r="H38" s="2481"/>
      <c r="I38" s="2482"/>
    </row>
    <row r="39" spans="2:9" ht="16.5" customHeight="1" x14ac:dyDescent="0.2">
      <c r="B39" s="1425"/>
      <c r="C39" s="2465"/>
      <c r="D39" s="2466"/>
      <c r="E39" s="2466"/>
      <c r="F39" s="2467"/>
      <c r="G39" s="2468"/>
      <c r="H39" s="2468"/>
      <c r="I39" s="2468"/>
    </row>
    <row r="40" spans="2:9" ht="16.5" customHeight="1" x14ac:dyDescent="0.2">
      <c r="B40" s="1425"/>
      <c r="C40" s="2465"/>
      <c r="D40" s="2466"/>
      <c r="E40" s="2466"/>
      <c r="F40" s="2467"/>
      <c r="G40" s="2468"/>
      <c r="H40" s="2468"/>
      <c r="I40" s="2468"/>
    </row>
    <row r="41" spans="2:9" ht="16.5" customHeight="1" x14ac:dyDescent="0.2">
      <c r="B41" s="1425"/>
      <c r="C41" s="2465"/>
      <c r="D41" s="2466"/>
      <c r="E41" s="2466"/>
      <c r="F41" s="2467"/>
      <c r="G41" s="2468"/>
      <c r="H41" s="2468"/>
      <c r="I41" s="2468"/>
    </row>
    <row r="42" spans="2:9" ht="16.5" customHeight="1" x14ac:dyDescent="0.2">
      <c r="B42" s="1425"/>
      <c r="C42" s="2465"/>
      <c r="D42" s="2466"/>
      <c r="E42" s="2466"/>
      <c r="F42" s="2467"/>
      <c r="G42" s="2468"/>
      <c r="H42" s="2468"/>
      <c r="I42" s="2468"/>
    </row>
    <row r="43" spans="2:9" ht="16.5" customHeight="1" x14ac:dyDescent="0.2">
      <c r="B43" s="1425"/>
      <c r="C43" s="2458" t="s">
        <v>1592</v>
      </c>
      <c r="D43" s="2459"/>
      <c r="E43" s="2459"/>
      <c r="F43" s="2460"/>
      <c r="G43" s="2461">
        <f>SUM(G38:I42)</f>
        <v>0</v>
      </c>
      <c r="H43" s="2461"/>
      <c r="I43" s="2461"/>
    </row>
    <row r="44" spans="2:9" ht="12.75" customHeight="1" x14ac:dyDescent="0.2"/>
    <row r="45" spans="2:9" ht="12.75" customHeight="1" x14ac:dyDescent="0.2">
      <c r="B45" s="1416" t="s">
        <v>1840</v>
      </c>
      <c r="D45" s="2462">
        <v>0</v>
      </c>
      <c r="E45" s="2463"/>
    </row>
    <row r="46" spans="2:9" ht="5.25" customHeight="1" x14ac:dyDescent="0.2">
      <c r="B46" s="1426"/>
      <c r="D46" s="1427"/>
      <c r="E46" s="1428"/>
    </row>
    <row r="47" spans="2:9" ht="12.75" customHeight="1" x14ac:dyDescent="0.2">
      <c r="B47" s="1294" t="s">
        <v>1593</v>
      </c>
      <c r="C47" s="1294"/>
      <c r="D47" s="1429" t="e">
        <f>+G43/D45</f>
        <v>#DIV/0!</v>
      </c>
      <c r="E47" s="1430"/>
      <c r="F47" s="1431"/>
      <c r="I47" s="1432"/>
    </row>
    <row r="48" spans="2:9" ht="9.9499999999999993" customHeight="1" x14ac:dyDescent="0.2"/>
    <row r="49" spans="1:9" x14ac:dyDescent="0.2">
      <c r="B49" s="1362" t="s">
        <v>1272</v>
      </c>
      <c r="C49" s="1276"/>
      <c r="D49" s="1276"/>
      <c r="E49" s="2464"/>
      <c r="F49" s="2464"/>
      <c r="G49" s="2464"/>
      <c r="H49" s="322"/>
    </row>
    <row r="51" spans="1:9" ht="13.5" customHeight="1" x14ac:dyDescent="0.2">
      <c r="B51" s="1362" t="s">
        <v>1271</v>
      </c>
      <c r="C51" s="1276"/>
      <c r="E51" s="1419"/>
      <c r="F51" s="1294" t="s">
        <v>884</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1751</v>
      </c>
      <c r="C54" s="1441"/>
      <c r="D54" s="1441"/>
    </row>
    <row r="55" spans="1:9" s="1442" customFormat="1" ht="12.75" customHeight="1" x14ac:dyDescent="0.2">
      <c r="A55" s="1439"/>
      <c r="B55" s="1443" t="s">
        <v>1594</v>
      </c>
      <c r="C55" s="1439"/>
      <c r="D55" s="1439"/>
    </row>
    <row r="56" spans="1:9" s="1442" customFormat="1" ht="12.75" customHeight="1" x14ac:dyDescent="0.2">
      <c r="A56" s="1439"/>
      <c r="B56" s="1443" t="s">
        <v>1595</v>
      </c>
      <c r="C56" s="1439"/>
      <c r="D56" s="1439"/>
    </row>
    <row r="57" spans="1:9" s="1442" customFormat="1" ht="3.95" customHeight="1" x14ac:dyDescent="0.2">
      <c r="A57" s="1439"/>
      <c r="B57" s="1443"/>
      <c r="C57" s="1439"/>
      <c r="D57" s="1439"/>
    </row>
    <row r="58" spans="1:9" s="1442" customFormat="1" ht="13.5" customHeight="1" x14ac:dyDescent="0.2">
      <c r="A58" s="1439"/>
      <c r="B58" s="1444" t="s">
        <v>1752</v>
      </c>
      <c r="C58" s="1445"/>
      <c r="D58" s="1445"/>
    </row>
    <row r="59" spans="1:9" s="1442" customFormat="1" ht="3.95" customHeight="1" x14ac:dyDescent="0.2">
      <c r="A59" s="1439"/>
      <c r="B59" s="1444"/>
      <c r="C59" s="1445"/>
      <c r="D59" s="1445"/>
    </row>
    <row r="60" spans="1:9" s="1442" customFormat="1" ht="13.5" customHeight="1" x14ac:dyDescent="0.2">
      <c r="A60" s="1439"/>
      <c r="B60" s="1444" t="s">
        <v>1753</v>
      </c>
      <c r="C60" s="1445"/>
      <c r="D60" s="1445"/>
    </row>
    <row r="61" spans="1:9" s="1442" customFormat="1" ht="3.95" customHeight="1" x14ac:dyDescent="0.2">
      <c r="A61" s="1439"/>
      <c r="B61" s="1444"/>
      <c r="C61" s="1445"/>
      <c r="D61" s="1445"/>
    </row>
    <row r="62" spans="1:9" s="1442" customFormat="1" ht="12.75" customHeight="1" x14ac:dyDescent="0.2">
      <c r="A62" s="1439"/>
      <c r="B62" s="1444" t="s">
        <v>1754</v>
      </c>
      <c r="C62" s="1445"/>
      <c r="D62" s="1445"/>
    </row>
    <row r="63" spans="1:9" s="1442" customFormat="1" ht="13.5" customHeight="1" x14ac:dyDescent="0.2">
      <c r="A63" s="1439"/>
      <c r="B63" s="1443" t="s">
        <v>1596</v>
      </c>
      <c r="C63" s="1439"/>
      <c r="D63" s="1439"/>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oddFooter>&amp;LSee Notes to Financial Statements.</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0" zoomScale="110" zoomScaleNormal="110" workbookViewId="0">
      <selection activeCell="B29" sqref="B29:K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Lebanon CUSD 9</v>
      </c>
      <c r="C1" s="2469"/>
      <c r="D1" s="2469"/>
      <c r="E1" s="2469"/>
      <c r="F1" s="2469"/>
      <c r="G1" s="2469"/>
      <c r="H1" s="2469"/>
      <c r="I1" s="2469"/>
      <c r="J1" s="2469"/>
      <c r="K1" s="2469"/>
      <c r="L1" s="1368"/>
      <c r="M1" s="1368"/>
    </row>
    <row r="2" spans="1:13" ht="12" customHeight="1" x14ac:dyDescent="0.2">
      <c r="B2" s="2471">
        <f>'Single Audit Cover'!E7</f>
        <v>50082009026</v>
      </c>
      <c r="C2" s="2471"/>
      <c r="D2" s="2471"/>
      <c r="E2" s="2471"/>
      <c r="F2" s="2471"/>
      <c r="G2" s="2471"/>
      <c r="H2" s="2471"/>
      <c r="I2" s="2471"/>
      <c r="J2" s="2471"/>
      <c r="K2" s="2471"/>
      <c r="L2" s="1369"/>
      <c r="M2" s="1370"/>
    </row>
    <row r="3" spans="1:13" ht="10.35" customHeight="1" x14ac:dyDescent="0.2">
      <c r="B3" s="2485" t="s">
        <v>1284</v>
      </c>
      <c r="C3" s="2485"/>
      <c r="D3" s="2485"/>
      <c r="E3" s="2485"/>
      <c r="F3" s="2485"/>
      <c r="G3" s="2485"/>
      <c r="H3" s="2485"/>
      <c r="I3" s="2485"/>
      <c r="J3" s="2485"/>
      <c r="K3" s="2485"/>
      <c r="L3" s="1371"/>
      <c r="M3" s="1371"/>
    </row>
    <row r="4" spans="1:13" ht="14.25" customHeight="1" x14ac:dyDescent="0.2">
      <c r="B4" s="2486" t="str">
        <f>'Single Audit Cover'!A4</f>
        <v>Year Ending June 30, 2019</v>
      </c>
      <c r="C4" s="2486"/>
      <c r="D4" s="2486"/>
      <c r="E4" s="2486"/>
      <c r="F4" s="2486"/>
      <c r="G4" s="2486"/>
      <c r="H4" s="2486"/>
      <c r="I4" s="2486"/>
      <c r="J4" s="2486"/>
      <c r="K4" s="2486"/>
      <c r="L4" s="313"/>
      <c r="M4" s="313"/>
    </row>
    <row r="5" spans="1:13" ht="7.5" customHeight="1" x14ac:dyDescent="0.2">
      <c r="B5" s="1254" t="s">
        <v>1168</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86" t="s">
        <v>1295</v>
      </c>
      <c r="C7" s="2486"/>
      <c r="D7" s="2487"/>
      <c r="E7" s="2487"/>
      <c r="F7" s="2487"/>
      <c r="G7" s="2487"/>
      <c r="H7" s="2487"/>
      <c r="I7" s="2487"/>
      <c r="J7" s="2487"/>
      <c r="K7" s="2487"/>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1741</v>
      </c>
      <c r="C10" s="1379" t="s">
        <v>1990</v>
      </c>
      <c r="D10" s="1380">
        <v>1</v>
      </c>
      <c r="E10" s="322"/>
      <c r="F10" s="1381" t="s">
        <v>1294</v>
      </c>
      <c r="G10" s="1382"/>
      <c r="H10" s="1383" t="s">
        <v>1293</v>
      </c>
      <c r="I10" s="1382" t="s">
        <v>2063</v>
      </c>
      <c r="J10" s="1384" t="s">
        <v>1292</v>
      </c>
      <c r="K10" s="322"/>
      <c r="L10" s="1375"/>
    </row>
    <row r="11" spans="1:13" ht="13.5" customHeight="1" x14ac:dyDescent="0.2">
      <c r="B11" s="322"/>
      <c r="C11" s="322"/>
      <c r="D11" s="322"/>
      <c r="E11" s="322"/>
      <c r="F11" s="322"/>
      <c r="G11" s="1377"/>
      <c r="H11" s="322"/>
      <c r="I11" s="1385" t="s">
        <v>1291</v>
      </c>
      <c r="J11" s="322"/>
      <c r="K11" s="1386">
        <v>2011</v>
      </c>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1290</v>
      </c>
      <c r="C13" s="1387"/>
      <c r="D13" s="1388"/>
      <c r="E13" s="1388"/>
      <c r="F13" s="1388"/>
      <c r="G13" s="1389"/>
      <c r="H13" s="1388"/>
      <c r="I13" s="1389"/>
      <c r="J13" s="1388"/>
      <c r="K13" s="1388"/>
      <c r="L13" s="1390"/>
    </row>
    <row r="14" spans="1:13" ht="45.75" customHeight="1" x14ac:dyDescent="0.2">
      <c r="B14" s="2484" t="s">
        <v>2157</v>
      </c>
      <c r="C14" s="2484"/>
      <c r="D14" s="2484"/>
      <c r="E14" s="2484"/>
      <c r="F14" s="2484"/>
      <c r="G14" s="2484"/>
      <c r="H14" s="2484"/>
      <c r="I14" s="2484"/>
      <c r="J14" s="2484"/>
      <c r="K14" s="2484"/>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1289</v>
      </c>
      <c r="C16" s="1387"/>
      <c r="D16" s="1388"/>
      <c r="E16" s="1388"/>
      <c r="F16" s="1388"/>
      <c r="G16" s="1389"/>
      <c r="H16" s="1388"/>
      <c r="I16" s="1389"/>
      <c r="J16" s="1388"/>
      <c r="K16" s="1388"/>
      <c r="L16" s="1390"/>
    </row>
    <row r="17" spans="2:12" ht="45.75" customHeight="1" x14ac:dyDescent="0.2">
      <c r="B17" s="2484" t="s">
        <v>2153</v>
      </c>
      <c r="C17" s="2484"/>
      <c r="D17" s="2484"/>
      <c r="E17" s="2484"/>
      <c r="F17" s="2484"/>
      <c r="G17" s="2484"/>
      <c r="H17" s="2484"/>
      <c r="I17" s="2484"/>
      <c r="J17" s="2484"/>
      <c r="K17" s="2484"/>
      <c r="L17" s="1375"/>
    </row>
    <row r="18" spans="2:12" ht="4.5" customHeight="1" x14ac:dyDescent="0.2">
      <c r="B18" s="1392"/>
      <c r="C18" s="1392"/>
      <c r="L18" s="1375"/>
    </row>
    <row r="19" spans="2:12" s="1276" customFormat="1" ht="13.5" customHeight="1" x14ac:dyDescent="0.2">
      <c r="B19" s="1387" t="s">
        <v>1742</v>
      </c>
      <c r="C19" s="1387"/>
      <c r="D19" s="1388"/>
      <c r="E19" s="1388"/>
      <c r="F19" s="1388"/>
      <c r="G19" s="1389"/>
      <c r="H19" s="1388"/>
      <c r="I19" s="1389"/>
      <c r="J19" s="1388"/>
      <c r="K19" s="1388"/>
      <c r="L19" s="1390"/>
    </row>
    <row r="20" spans="2:12" ht="45.75" customHeight="1" x14ac:dyDescent="0.2">
      <c r="B20" s="2488" t="s">
        <v>2158</v>
      </c>
      <c r="C20" s="2488"/>
      <c r="D20" s="2484"/>
      <c r="E20" s="2484"/>
      <c r="F20" s="2484"/>
      <c r="G20" s="2484"/>
      <c r="H20" s="2484"/>
      <c r="I20" s="2484"/>
      <c r="J20" s="2484"/>
      <c r="K20" s="2484"/>
      <c r="L20" s="1375"/>
    </row>
    <row r="21" spans="2:12" ht="4.5" customHeight="1" x14ac:dyDescent="0.2">
      <c r="B21" s="1394"/>
      <c r="C21" s="1394"/>
      <c r="L21" s="1375"/>
    </row>
    <row r="22" spans="2:12" ht="13.5" customHeight="1" x14ac:dyDescent="0.2">
      <c r="B22" s="1387" t="s">
        <v>1288</v>
      </c>
      <c r="C22" s="1387"/>
      <c r="D22" s="1373"/>
      <c r="E22" s="1373"/>
      <c r="F22" s="1373"/>
      <c r="G22" s="1374"/>
      <c r="H22" s="1373"/>
      <c r="I22" s="1374"/>
      <c r="J22" s="1373"/>
      <c r="K22" s="1373"/>
      <c r="L22" s="1375"/>
    </row>
    <row r="23" spans="2:12" ht="45" customHeight="1" x14ac:dyDescent="0.2">
      <c r="B23" s="2484" t="s">
        <v>2159</v>
      </c>
      <c r="C23" s="2484"/>
      <c r="D23" s="2484"/>
      <c r="E23" s="2484"/>
      <c r="F23" s="2484"/>
      <c r="G23" s="2484"/>
      <c r="H23" s="2484"/>
      <c r="I23" s="2484"/>
      <c r="J23" s="2484"/>
      <c r="K23" s="2484"/>
      <c r="L23" s="1375"/>
    </row>
    <row r="24" spans="2:12" ht="4.5" customHeight="1" x14ac:dyDescent="0.2">
      <c r="B24" s="1392"/>
      <c r="C24" s="1392"/>
      <c r="L24" s="1375"/>
    </row>
    <row r="25" spans="2:12" ht="13.5" customHeight="1" x14ac:dyDescent="0.2">
      <c r="B25" s="1387" t="s">
        <v>1287</v>
      </c>
      <c r="C25" s="1387"/>
      <c r="D25" s="1373"/>
      <c r="E25" s="1373"/>
      <c r="F25" s="1373"/>
      <c r="G25" s="1374"/>
      <c r="H25" s="1373"/>
      <c r="I25" s="1374"/>
      <c r="J25" s="1373"/>
      <c r="K25" s="1373"/>
      <c r="L25" s="1375"/>
    </row>
    <row r="26" spans="2:12" ht="45.75" customHeight="1" x14ac:dyDescent="0.2">
      <c r="B26" s="2484" t="s">
        <v>2154</v>
      </c>
      <c r="C26" s="2484"/>
      <c r="D26" s="2484"/>
      <c r="E26" s="2484"/>
      <c r="F26" s="2484"/>
      <c r="G26" s="2484"/>
      <c r="H26" s="2484"/>
      <c r="I26" s="2484"/>
      <c r="J26" s="2484"/>
      <c r="K26" s="2484"/>
      <c r="L26" s="1375"/>
    </row>
    <row r="27" spans="2:12" ht="4.5" customHeight="1" x14ac:dyDescent="0.2">
      <c r="B27" s="1392"/>
      <c r="C27" s="1392"/>
      <c r="L27" s="1375"/>
    </row>
    <row r="28" spans="2:12" ht="13.5" customHeight="1" x14ac:dyDescent="0.2">
      <c r="B28" s="1395" t="s">
        <v>1286</v>
      </c>
      <c r="C28" s="1395"/>
      <c r="D28" s="1373"/>
      <c r="E28" s="1373"/>
      <c r="F28" s="1373"/>
      <c r="G28" s="1374"/>
      <c r="H28" s="1373"/>
      <c r="I28" s="1374"/>
      <c r="J28" s="1373"/>
      <c r="K28" s="1373"/>
      <c r="L28" s="1375"/>
    </row>
    <row r="29" spans="2:12" ht="45.75" customHeight="1" x14ac:dyDescent="0.2">
      <c r="B29" s="2483" t="s">
        <v>2155</v>
      </c>
      <c r="C29" s="2483"/>
      <c r="D29" s="2484"/>
      <c r="E29" s="2484"/>
      <c r="F29" s="2484"/>
      <c r="G29" s="2484"/>
      <c r="H29" s="2484"/>
      <c r="I29" s="2484"/>
      <c r="J29" s="2484"/>
      <c r="K29" s="2484"/>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1743</v>
      </c>
      <c r="C31" s="1397"/>
      <c r="D31" s="1372"/>
      <c r="E31" s="1373"/>
      <c r="F31" s="1373"/>
      <c r="G31" s="1374"/>
      <c r="H31" s="1373"/>
      <c r="I31" s="1374"/>
      <c r="J31" s="1373"/>
      <c r="K31" s="1373"/>
      <c r="L31" s="1375"/>
    </row>
    <row r="32" spans="2:12" s="322" customFormat="1" ht="44.25" customHeight="1" x14ac:dyDescent="0.2">
      <c r="B32" s="2483" t="s">
        <v>2156</v>
      </c>
      <c r="C32" s="2483"/>
      <c r="D32" s="2484"/>
      <c r="E32" s="2484"/>
      <c r="F32" s="2484"/>
      <c r="G32" s="2484"/>
      <c r="H32" s="2484"/>
      <c r="I32" s="2484"/>
      <c r="J32" s="2484"/>
      <c r="K32" s="2484"/>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1744</v>
      </c>
      <c r="C35" s="1400"/>
      <c r="D35" s="322"/>
      <c r="E35" s="322"/>
      <c r="F35" s="322"/>
      <c r="L35" s="1375"/>
    </row>
    <row r="36" spans="1:13" ht="9.6" customHeight="1" x14ac:dyDescent="0.2">
      <c r="B36" s="1294" t="s">
        <v>1841</v>
      </c>
      <c r="C36" s="1294"/>
      <c r="L36" s="1375"/>
    </row>
    <row r="37" spans="1:13" ht="9.6" customHeight="1" x14ac:dyDescent="0.2">
      <c r="B37" s="1294" t="s">
        <v>1842</v>
      </c>
      <c r="C37" s="1294"/>
    </row>
    <row r="38" spans="1:13" ht="11.85" customHeight="1" x14ac:dyDescent="0.2">
      <c r="B38" s="1401" t="s">
        <v>1745</v>
      </c>
      <c r="C38" s="1401"/>
    </row>
    <row r="39" spans="1:13" ht="9.6" customHeight="1" x14ac:dyDescent="0.2">
      <c r="B39" s="1294" t="s">
        <v>1285</v>
      </c>
      <c r="C39" s="1294"/>
      <c r="M39" s="1402"/>
    </row>
    <row r="40" spans="1:13" ht="12.6" customHeight="1" x14ac:dyDescent="0.2">
      <c r="B40" s="1401" t="s">
        <v>1746</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&amp;LSee Notes to Financial Statements.</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16" zoomScale="110" zoomScaleNormal="110" workbookViewId="0">
      <selection activeCell="F27" sqref="F2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Lebanon CUSD 9</v>
      </c>
      <c r="C1" s="2469"/>
      <c r="D1" s="2469"/>
      <c r="E1" s="2469"/>
      <c r="F1" s="2469"/>
      <c r="G1" s="2469"/>
      <c r="H1" s="2469"/>
      <c r="I1" s="2469"/>
      <c r="J1" s="2469"/>
      <c r="K1" s="2469"/>
      <c r="L1" s="1368"/>
      <c r="M1" s="1368"/>
    </row>
    <row r="2" spans="1:13" ht="12" customHeight="1" x14ac:dyDescent="0.2">
      <c r="B2" s="2471">
        <f>'Single Audit Cover'!E7</f>
        <v>50082009026</v>
      </c>
      <c r="C2" s="2471"/>
      <c r="D2" s="2471"/>
      <c r="E2" s="2471"/>
      <c r="F2" s="2471"/>
      <c r="G2" s="2471"/>
      <c r="H2" s="2471"/>
      <c r="I2" s="2471"/>
      <c r="J2" s="2471"/>
      <c r="K2" s="2471"/>
      <c r="L2" s="1369"/>
      <c r="M2" s="1370"/>
    </row>
    <row r="3" spans="1:13" ht="10.35" customHeight="1" x14ac:dyDescent="0.2">
      <c r="B3" s="2485" t="s">
        <v>1284</v>
      </c>
      <c r="C3" s="2485"/>
      <c r="D3" s="2485"/>
      <c r="E3" s="2485"/>
      <c r="F3" s="2485"/>
      <c r="G3" s="2485"/>
      <c r="H3" s="2485"/>
      <c r="I3" s="2485"/>
      <c r="J3" s="2485"/>
      <c r="K3" s="2485"/>
      <c r="L3" s="1942"/>
      <c r="M3" s="1942"/>
    </row>
    <row r="4" spans="1:13" ht="14.25" customHeight="1" x14ac:dyDescent="0.2">
      <c r="B4" s="2486" t="str">
        <f>'Single Audit Cover'!A4</f>
        <v>Year Ending June 30, 2019</v>
      </c>
      <c r="C4" s="2486"/>
      <c r="D4" s="2486"/>
      <c r="E4" s="2486"/>
      <c r="F4" s="2486"/>
      <c r="G4" s="2486"/>
      <c r="H4" s="2486"/>
      <c r="I4" s="2486"/>
      <c r="J4" s="2486"/>
      <c r="K4" s="2486"/>
      <c r="L4" s="313"/>
      <c r="M4" s="313"/>
    </row>
    <row r="5" spans="1:13" ht="7.5" customHeight="1" x14ac:dyDescent="0.2">
      <c r="B5" s="1254" t="s">
        <v>1168</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86" t="s">
        <v>1295</v>
      </c>
      <c r="C7" s="2486"/>
      <c r="D7" s="2487"/>
      <c r="E7" s="2487"/>
      <c r="F7" s="2487"/>
      <c r="G7" s="2487"/>
      <c r="H7" s="2487"/>
      <c r="I7" s="2487"/>
      <c r="J7" s="2487"/>
      <c r="K7" s="2487"/>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1741</v>
      </c>
      <c r="C10" s="1379" t="s">
        <v>1990</v>
      </c>
      <c r="D10" s="1380">
        <v>2</v>
      </c>
      <c r="E10" s="322"/>
      <c r="F10" s="1381" t="s">
        <v>1294</v>
      </c>
      <c r="G10" s="1382"/>
      <c r="H10" s="1383" t="s">
        <v>1293</v>
      </c>
      <c r="I10" s="1382" t="s">
        <v>2063</v>
      </c>
      <c r="J10" s="1384" t="s">
        <v>1292</v>
      </c>
      <c r="K10" s="322"/>
      <c r="L10" s="1375"/>
    </row>
    <row r="11" spans="1:13" ht="13.5" customHeight="1" x14ac:dyDescent="0.2">
      <c r="B11" s="322"/>
      <c r="C11" s="322"/>
      <c r="D11" s="322"/>
      <c r="E11" s="322"/>
      <c r="F11" s="322"/>
      <c r="G11" s="1377"/>
      <c r="H11" s="322"/>
      <c r="I11" s="1385" t="s">
        <v>1291</v>
      </c>
      <c r="J11" s="322"/>
      <c r="K11" s="1386">
        <v>2018</v>
      </c>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1290</v>
      </c>
      <c r="C13" s="1387"/>
      <c r="D13" s="1388"/>
      <c r="E13" s="1388"/>
      <c r="F13" s="1388"/>
      <c r="G13" s="1389"/>
      <c r="H13" s="1388"/>
      <c r="I13" s="1389"/>
      <c r="J13" s="1388"/>
      <c r="K13" s="1388"/>
      <c r="L13" s="1390"/>
    </row>
    <row r="14" spans="1:13" ht="45.75" customHeight="1" x14ac:dyDescent="0.2">
      <c r="B14" s="2484" t="s">
        <v>2160</v>
      </c>
      <c r="C14" s="2484"/>
      <c r="D14" s="2484"/>
      <c r="E14" s="2484"/>
      <c r="F14" s="2484"/>
      <c r="G14" s="2484"/>
      <c r="H14" s="2484"/>
      <c r="I14" s="2484"/>
      <c r="J14" s="2484"/>
      <c r="K14" s="2484"/>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1289</v>
      </c>
      <c r="C16" s="1387"/>
      <c r="D16" s="1388"/>
      <c r="E16" s="1388"/>
      <c r="F16" s="1388"/>
      <c r="G16" s="1389"/>
      <c r="H16" s="1388"/>
      <c r="I16" s="1389"/>
      <c r="J16" s="1388"/>
      <c r="K16" s="1388"/>
      <c r="L16" s="1390"/>
    </row>
    <row r="17" spans="2:12" ht="45.75" customHeight="1" x14ac:dyDescent="0.2">
      <c r="B17" s="2484" t="s">
        <v>2150</v>
      </c>
      <c r="C17" s="2484"/>
      <c r="D17" s="2484"/>
      <c r="E17" s="2484"/>
      <c r="F17" s="2484"/>
      <c r="G17" s="2484"/>
      <c r="H17" s="2484"/>
      <c r="I17" s="2484"/>
      <c r="J17" s="2484"/>
      <c r="K17" s="2484"/>
      <c r="L17" s="1375"/>
    </row>
    <row r="18" spans="2:12" ht="4.5" customHeight="1" x14ac:dyDescent="0.2">
      <c r="B18" s="1392"/>
      <c r="C18" s="1392"/>
      <c r="L18" s="1375"/>
    </row>
    <row r="19" spans="2:12" s="1276" customFormat="1" ht="13.5" customHeight="1" x14ac:dyDescent="0.2">
      <c r="B19" s="1387" t="s">
        <v>1742</v>
      </c>
      <c r="C19" s="1387"/>
      <c r="D19" s="1388"/>
      <c r="E19" s="1388"/>
      <c r="F19" s="1388"/>
      <c r="G19" s="1389"/>
      <c r="H19" s="1388"/>
      <c r="I19" s="1389"/>
      <c r="J19" s="1388"/>
      <c r="K19" s="1388"/>
      <c r="L19" s="1390"/>
    </row>
    <row r="20" spans="2:12" ht="45.75" customHeight="1" x14ac:dyDescent="0.2">
      <c r="B20" s="2488" t="s">
        <v>2151</v>
      </c>
      <c r="C20" s="2488"/>
      <c r="D20" s="2484"/>
      <c r="E20" s="2484"/>
      <c r="F20" s="2484"/>
      <c r="G20" s="2484"/>
      <c r="H20" s="2484"/>
      <c r="I20" s="2484"/>
      <c r="J20" s="2484"/>
      <c r="K20" s="2484"/>
      <c r="L20" s="1375"/>
    </row>
    <row r="21" spans="2:12" ht="4.5" customHeight="1" x14ac:dyDescent="0.2">
      <c r="B21" s="1394"/>
      <c r="C21" s="1394"/>
      <c r="L21" s="1375"/>
    </row>
    <row r="22" spans="2:12" ht="13.5" customHeight="1" x14ac:dyDescent="0.2">
      <c r="B22" s="1387" t="s">
        <v>1288</v>
      </c>
      <c r="C22" s="1387"/>
      <c r="D22" s="1373"/>
      <c r="E22" s="1373"/>
      <c r="F22" s="1373"/>
      <c r="G22" s="1374"/>
      <c r="H22" s="1373"/>
      <c r="I22" s="1374"/>
      <c r="J22" s="1373"/>
      <c r="K22" s="1373"/>
      <c r="L22" s="1375"/>
    </row>
    <row r="23" spans="2:12" ht="45" customHeight="1" x14ac:dyDescent="0.2">
      <c r="B23" s="2484" t="s">
        <v>2161</v>
      </c>
      <c r="C23" s="2484"/>
      <c r="D23" s="2484"/>
      <c r="E23" s="2484"/>
      <c r="F23" s="2484"/>
      <c r="G23" s="2484"/>
      <c r="H23" s="2484"/>
      <c r="I23" s="2484"/>
      <c r="J23" s="2484"/>
      <c r="K23" s="2484"/>
      <c r="L23" s="1375"/>
    </row>
    <row r="24" spans="2:12" ht="4.5" customHeight="1" x14ac:dyDescent="0.2">
      <c r="B24" s="1392"/>
      <c r="C24" s="1392"/>
      <c r="L24" s="1375"/>
    </row>
    <row r="25" spans="2:12" ht="13.5" customHeight="1" x14ac:dyDescent="0.2">
      <c r="B25" s="1387" t="s">
        <v>1287</v>
      </c>
      <c r="C25" s="1387"/>
      <c r="D25" s="1373"/>
      <c r="E25" s="1373"/>
      <c r="F25" s="1373"/>
      <c r="G25" s="1374"/>
      <c r="H25" s="1373"/>
      <c r="I25" s="1374"/>
      <c r="J25" s="1373"/>
      <c r="K25" s="1373"/>
      <c r="L25" s="1375"/>
    </row>
    <row r="26" spans="2:12" ht="45.75" customHeight="1" x14ac:dyDescent="0.2">
      <c r="B26" s="2484" t="s">
        <v>2152</v>
      </c>
      <c r="C26" s="2484"/>
      <c r="D26" s="2484"/>
      <c r="E26" s="2484"/>
      <c r="F26" s="2484"/>
      <c r="G26" s="2484"/>
      <c r="H26" s="2484"/>
      <c r="I26" s="2484"/>
      <c r="J26" s="2484"/>
      <c r="K26" s="2484"/>
      <c r="L26" s="1375"/>
    </row>
    <row r="27" spans="2:12" ht="4.5" customHeight="1" x14ac:dyDescent="0.2">
      <c r="B27" s="1392"/>
      <c r="C27" s="1392"/>
      <c r="L27" s="1375"/>
    </row>
    <row r="28" spans="2:12" ht="13.5" customHeight="1" x14ac:dyDescent="0.2">
      <c r="B28" s="1395" t="s">
        <v>1286</v>
      </c>
      <c r="C28" s="1395"/>
      <c r="D28" s="1373"/>
      <c r="E28" s="1373"/>
      <c r="F28" s="1373"/>
      <c r="G28" s="1374"/>
      <c r="H28" s="1373"/>
      <c r="I28" s="1374"/>
      <c r="J28" s="1373"/>
      <c r="K28" s="1373"/>
      <c r="L28" s="1375"/>
    </row>
    <row r="29" spans="2:12" ht="45.75" customHeight="1" x14ac:dyDescent="0.2">
      <c r="B29" s="2483" t="s">
        <v>2162</v>
      </c>
      <c r="C29" s="2483"/>
      <c r="D29" s="2484"/>
      <c r="E29" s="2484"/>
      <c r="F29" s="2484"/>
      <c r="G29" s="2484"/>
      <c r="H29" s="2484"/>
      <c r="I29" s="2484"/>
      <c r="J29" s="2484"/>
      <c r="K29" s="2484"/>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1743</v>
      </c>
      <c r="C31" s="1397"/>
      <c r="D31" s="1372"/>
      <c r="E31" s="1373"/>
      <c r="F31" s="1373"/>
      <c r="G31" s="1374"/>
      <c r="H31" s="1373"/>
      <c r="I31" s="1374"/>
      <c r="J31" s="1373"/>
      <c r="K31" s="1373"/>
      <c r="L31" s="1375"/>
    </row>
    <row r="32" spans="2:12" s="322" customFormat="1" ht="44.25" customHeight="1" x14ac:dyDescent="0.2">
      <c r="B32" s="2483" t="s">
        <v>2163</v>
      </c>
      <c r="C32" s="2483"/>
      <c r="D32" s="2484"/>
      <c r="E32" s="2484"/>
      <c r="F32" s="2484"/>
      <c r="G32" s="2484"/>
      <c r="H32" s="2484"/>
      <c r="I32" s="2484"/>
      <c r="J32" s="2484"/>
      <c r="K32" s="2484"/>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1744</v>
      </c>
      <c r="C35" s="1400"/>
      <c r="D35" s="322"/>
      <c r="E35" s="322"/>
      <c r="F35" s="322"/>
      <c r="L35" s="1375"/>
    </row>
    <row r="36" spans="1:13" ht="9.6" customHeight="1" x14ac:dyDescent="0.2">
      <c r="B36" s="1294" t="s">
        <v>1841</v>
      </c>
      <c r="C36" s="1294"/>
      <c r="L36" s="1375"/>
    </row>
    <row r="37" spans="1:13" ht="9.6" customHeight="1" x14ac:dyDescent="0.2">
      <c r="B37" s="1294" t="s">
        <v>1842</v>
      </c>
      <c r="C37" s="1294"/>
    </row>
    <row r="38" spans="1:13" ht="11.85" customHeight="1" x14ac:dyDescent="0.2">
      <c r="B38" s="1401" t="s">
        <v>1745</v>
      </c>
      <c r="C38" s="1401"/>
    </row>
    <row r="39" spans="1:13" ht="9.6" customHeight="1" x14ac:dyDescent="0.2">
      <c r="B39" s="1294" t="s">
        <v>1285</v>
      </c>
      <c r="C39" s="1294"/>
      <c r="M39" s="1402"/>
    </row>
    <row r="40" spans="1:13" ht="12.6" customHeight="1" x14ac:dyDescent="0.2">
      <c r="B40" s="1401" t="s">
        <v>1746</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&amp;LSee Notes to Financial Statements.</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D8" sqref="D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2" t="str">
        <f>'Single Audit Cover'!A7</f>
        <v>Lebanon CUSD 9</v>
      </c>
      <c r="C1" s="2492"/>
      <c r="D1" s="2492"/>
      <c r="E1" s="2492"/>
      <c r="F1" s="2492"/>
      <c r="G1" s="2492"/>
      <c r="H1" s="2492"/>
      <c r="I1" s="2492"/>
      <c r="J1" s="2492"/>
      <c r="K1" s="2492"/>
      <c r="L1" s="1446"/>
    </row>
    <row r="2" spans="1:12" ht="12.75" customHeight="1" x14ac:dyDescent="0.2">
      <c r="B2" s="2493">
        <f>'Single Audit Cover'!E7</f>
        <v>50082009026</v>
      </c>
      <c r="C2" s="2493"/>
      <c r="D2" s="2493"/>
      <c r="E2" s="2493"/>
      <c r="F2" s="2493"/>
      <c r="G2" s="2493"/>
      <c r="H2" s="2493"/>
      <c r="I2" s="2493"/>
      <c r="J2" s="2493"/>
      <c r="K2" s="2493"/>
      <c r="L2" s="1447"/>
    </row>
    <row r="3" spans="1:12" ht="12.75" customHeight="1" x14ac:dyDescent="0.2">
      <c r="B3" s="2485" t="s">
        <v>1284</v>
      </c>
      <c r="C3" s="2485"/>
      <c r="D3" s="2485"/>
      <c r="E3" s="2485"/>
      <c r="F3" s="2485"/>
      <c r="G3" s="2485"/>
      <c r="H3" s="2485"/>
      <c r="I3" s="2485"/>
      <c r="J3" s="2485"/>
      <c r="K3" s="2485"/>
      <c r="L3" s="1371"/>
    </row>
    <row r="4" spans="1:12" ht="12.75" customHeight="1" x14ac:dyDescent="0.2">
      <c r="B4" s="2485" t="str">
        <f>'Single Audit Cover'!A4</f>
        <v>Year Ending June 30, 2019</v>
      </c>
      <c r="C4" s="2485"/>
      <c r="D4" s="2485"/>
      <c r="E4" s="2485"/>
      <c r="F4" s="2485"/>
      <c r="G4" s="2485"/>
      <c r="H4" s="2485"/>
      <c r="I4" s="2485"/>
      <c r="J4" s="2485"/>
      <c r="K4" s="2485"/>
      <c r="L4" s="1371"/>
    </row>
    <row r="5" spans="1:12" ht="5.25" customHeight="1" x14ac:dyDescent="0.2">
      <c r="B5" s="1254" t="s">
        <v>1168</v>
      </c>
      <c r="C5" s="1254"/>
      <c r="L5" s="322"/>
    </row>
    <row r="6" spans="1:12" ht="30.75" customHeight="1" x14ac:dyDescent="0.2">
      <c r="A6" s="322"/>
      <c r="B6" s="2494" t="s">
        <v>1307</v>
      </c>
      <c r="C6" s="2494"/>
      <c r="D6" s="2494"/>
      <c r="E6" s="2494"/>
      <c r="F6" s="2494"/>
      <c r="G6" s="2494"/>
      <c r="H6" s="2494"/>
      <c r="I6" s="2494"/>
      <c r="J6" s="2494"/>
      <c r="K6" s="2494"/>
      <c r="L6" s="322"/>
    </row>
    <row r="7" spans="1:12" ht="4.5" customHeight="1" x14ac:dyDescent="0.2">
      <c r="B7" s="1373"/>
      <c r="C7" s="1373"/>
      <c r="D7" s="1373"/>
      <c r="E7" s="1373"/>
      <c r="F7" s="1373"/>
      <c r="G7" s="1374"/>
      <c r="H7" s="1373"/>
      <c r="I7" s="1374"/>
      <c r="J7" s="1373"/>
      <c r="K7" s="1373"/>
      <c r="L7" s="322"/>
    </row>
    <row r="8" spans="1:12" ht="13.5" customHeight="1" x14ac:dyDescent="0.2">
      <c r="B8" s="1381" t="s">
        <v>1755</v>
      </c>
      <c r="C8" s="1448" t="s">
        <v>1990</v>
      </c>
      <c r="D8" s="1449" t="s">
        <v>2085</v>
      </c>
      <c r="E8" s="322"/>
      <c r="F8" s="1378" t="s">
        <v>1294</v>
      </c>
      <c r="G8" s="1450"/>
      <c r="H8" s="1451" t="s">
        <v>1306</v>
      </c>
      <c r="I8" s="1450"/>
      <c r="J8" s="1452" t="s">
        <v>1305</v>
      </c>
      <c r="L8" s="322"/>
    </row>
    <row r="9" spans="1:12" ht="13.5" customHeight="1" x14ac:dyDescent="0.2">
      <c r="D9" s="322"/>
      <c r="E9" s="322"/>
      <c r="F9" s="322"/>
      <c r="G9" s="1377"/>
      <c r="H9" s="322"/>
      <c r="I9" s="1453" t="s">
        <v>1291</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1304</v>
      </c>
      <c r="C12" s="1378"/>
      <c r="D12" s="304"/>
      <c r="E12" s="322"/>
      <c r="F12" s="2476"/>
      <c r="G12" s="2476"/>
      <c r="H12" s="2476"/>
      <c r="I12" s="2476"/>
      <c r="J12" s="2476"/>
      <c r="K12" s="2476"/>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1303</v>
      </c>
      <c r="C14" s="1381"/>
      <c r="D14" s="2489"/>
      <c r="E14" s="2489"/>
      <c r="F14" s="2489"/>
      <c r="H14" s="1456" t="s">
        <v>1302</v>
      </c>
      <c r="I14" s="2490"/>
      <c r="J14" s="2490"/>
      <c r="K14" s="2490"/>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1301</v>
      </c>
      <c r="C16" s="1381"/>
      <c r="D16" s="2490"/>
      <c r="E16" s="2490"/>
      <c r="F16" s="2490"/>
      <c r="G16" s="2490"/>
      <c r="H16" s="2490"/>
      <c r="I16" s="2490"/>
      <c r="J16" s="2490"/>
      <c r="K16" s="2490"/>
      <c r="L16" s="322"/>
    </row>
    <row r="17" spans="2:12" ht="13.5" customHeight="1" x14ac:dyDescent="0.2">
      <c r="B17" s="1381" t="s">
        <v>1300</v>
      </c>
      <c r="C17" s="1381"/>
      <c r="D17" s="2491"/>
      <c r="E17" s="2491"/>
      <c r="F17" s="2491"/>
      <c r="G17" s="2491"/>
      <c r="H17" s="2491"/>
      <c r="I17" s="2491"/>
      <c r="J17" s="2491"/>
      <c r="K17" s="2491"/>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1299</v>
      </c>
      <c r="C19" s="1458"/>
      <c r="D19" s="328"/>
      <c r="E19" s="328"/>
      <c r="F19" s="328"/>
      <c r="G19" s="1459"/>
      <c r="H19" s="328"/>
      <c r="I19" s="1459"/>
      <c r="J19" s="322"/>
      <c r="K19" s="322"/>
      <c r="L19" s="322"/>
    </row>
    <row r="20" spans="2:12" ht="35.25" customHeight="1" x14ac:dyDescent="0.2">
      <c r="B20" s="2484"/>
      <c r="C20" s="2484"/>
      <c r="D20" s="2484"/>
      <c r="E20" s="2484"/>
      <c r="F20" s="2484"/>
      <c r="G20" s="2484"/>
      <c r="H20" s="2484"/>
      <c r="I20" s="2484"/>
      <c r="J20" s="2484"/>
      <c r="K20" s="2484"/>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1756</v>
      </c>
      <c r="C22" s="1458"/>
      <c r="D22" s="322"/>
      <c r="E22" s="322"/>
      <c r="F22" s="322"/>
      <c r="G22" s="1377"/>
      <c r="H22" s="322"/>
      <c r="I22" s="1377"/>
      <c r="J22" s="322"/>
      <c r="K22" s="322"/>
      <c r="L22" s="322"/>
    </row>
    <row r="23" spans="2:12" ht="37.5" customHeight="1" x14ac:dyDescent="0.2">
      <c r="B23" s="2484"/>
      <c r="C23" s="2484"/>
      <c r="D23" s="2484"/>
      <c r="E23" s="2484"/>
      <c r="F23" s="2484"/>
      <c r="G23" s="2484"/>
      <c r="H23" s="2484"/>
      <c r="I23" s="2484"/>
      <c r="J23" s="2484"/>
      <c r="K23" s="2484"/>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1757</v>
      </c>
      <c r="C25" s="1458"/>
      <c r="D25" s="322"/>
      <c r="E25" s="322"/>
      <c r="F25" s="322"/>
      <c r="G25" s="1377"/>
      <c r="H25" s="322"/>
      <c r="I25" s="1377"/>
      <c r="J25" s="322"/>
      <c r="K25" s="322"/>
      <c r="L25" s="322"/>
    </row>
    <row r="26" spans="2:12" ht="37.5" customHeight="1" x14ac:dyDescent="0.2">
      <c r="B26" s="2484"/>
      <c r="C26" s="2484"/>
      <c r="D26" s="2484"/>
      <c r="E26" s="2484"/>
      <c r="F26" s="2484"/>
      <c r="G26" s="2484"/>
      <c r="H26" s="2484"/>
      <c r="I26" s="2484"/>
      <c r="J26" s="2484"/>
      <c r="K26" s="2484"/>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1758</v>
      </c>
      <c r="C28" s="1458"/>
      <c r="D28" s="322"/>
      <c r="E28" s="322"/>
      <c r="F28" s="322"/>
      <c r="G28" s="1377"/>
      <c r="H28" s="322"/>
      <c r="I28" s="1377"/>
      <c r="J28" s="322"/>
      <c r="K28" s="322"/>
      <c r="L28" s="322"/>
    </row>
    <row r="29" spans="2:12" ht="37.5" customHeight="1" x14ac:dyDescent="0.2">
      <c r="B29" s="2484"/>
      <c r="C29" s="2484"/>
      <c r="D29" s="2484"/>
      <c r="E29" s="2484"/>
      <c r="F29" s="2484"/>
      <c r="G29" s="2484"/>
      <c r="H29" s="2484"/>
      <c r="I29" s="2484"/>
      <c r="J29" s="2484"/>
      <c r="K29" s="2484"/>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1298</v>
      </c>
      <c r="C31" s="1458"/>
      <c r="D31" s="322"/>
      <c r="E31" s="322"/>
      <c r="F31" s="322"/>
      <c r="G31" s="1377"/>
      <c r="H31" s="322"/>
      <c r="I31" s="1377"/>
      <c r="J31" s="322"/>
      <c r="K31" s="322"/>
      <c r="L31" s="322"/>
    </row>
    <row r="32" spans="2:12" ht="37.5" customHeight="1" x14ac:dyDescent="0.2">
      <c r="B32" s="2484"/>
      <c r="C32" s="2484"/>
      <c r="D32" s="2484"/>
      <c r="E32" s="2484"/>
      <c r="F32" s="2484"/>
      <c r="G32" s="2484"/>
      <c r="H32" s="2484"/>
      <c r="I32" s="2484"/>
      <c r="J32" s="2484"/>
      <c r="K32" s="2484"/>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1297</v>
      </c>
      <c r="C34" s="1378"/>
      <c r="D34" s="322"/>
      <c r="E34" s="322"/>
      <c r="F34" s="322"/>
      <c r="G34" s="1377"/>
      <c r="H34" s="322"/>
      <c r="I34" s="1377"/>
      <c r="J34" s="322"/>
      <c r="K34" s="322"/>
      <c r="L34" s="322"/>
    </row>
    <row r="35" spans="2:12" ht="37.5" customHeight="1" x14ac:dyDescent="0.2">
      <c r="B35" s="2484"/>
      <c r="C35" s="2484"/>
      <c r="D35" s="2484"/>
      <c r="E35" s="2484"/>
      <c r="F35" s="2484"/>
      <c r="G35" s="2484"/>
      <c r="H35" s="2484"/>
      <c r="I35" s="2484"/>
      <c r="J35" s="2484"/>
      <c r="K35" s="2484"/>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1296</v>
      </c>
      <c r="C37" s="1378"/>
      <c r="D37" s="322"/>
      <c r="E37" s="322"/>
      <c r="F37" s="322"/>
      <c r="G37" s="1377"/>
      <c r="H37" s="322"/>
      <c r="I37" s="1377"/>
      <c r="J37" s="322"/>
      <c r="K37" s="322"/>
      <c r="L37" s="322"/>
    </row>
    <row r="38" spans="2:12" ht="35.25" customHeight="1" x14ac:dyDescent="0.2">
      <c r="B38" s="2484"/>
      <c r="C38" s="2484"/>
      <c r="D38" s="2484"/>
      <c r="E38" s="2484"/>
      <c r="F38" s="2484"/>
      <c r="G38" s="2484"/>
      <c r="H38" s="2484"/>
      <c r="I38" s="2484"/>
      <c r="J38" s="2484"/>
      <c r="K38" s="2484"/>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1759</v>
      </c>
      <c r="C40" s="1397"/>
      <c r="D40" s="1372"/>
      <c r="E40" s="1373"/>
      <c r="F40" s="1373"/>
      <c r="G40" s="1374"/>
      <c r="H40" s="1373"/>
      <c r="I40" s="1374"/>
      <c r="J40" s="1373"/>
      <c r="K40" s="1373"/>
    </row>
    <row r="41" spans="2:12" s="322" customFormat="1" ht="33.75" customHeight="1" x14ac:dyDescent="0.2">
      <c r="B41" s="2484"/>
      <c r="C41" s="2484"/>
      <c r="D41" s="2484"/>
      <c r="E41" s="2484"/>
      <c r="F41" s="2484"/>
      <c r="G41" s="2484"/>
      <c r="H41" s="2484"/>
      <c r="I41" s="2484"/>
      <c r="J41" s="2484"/>
      <c r="K41" s="2484"/>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1760</v>
      </c>
      <c r="C44" s="1400"/>
      <c r="D44" s="322"/>
      <c r="E44" s="322"/>
      <c r="F44" s="322"/>
    </row>
    <row r="45" spans="2:12" ht="10.5" customHeight="1" x14ac:dyDescent="0.2">
      <c r="B45" s="1401" t="s">
        <v>1761</v>
      </c>
      <c r="C45" s="1401"/>
      <c r="G45" s="317"/>
      <c r="I45" s="317"/>
    </row>
    <row r="46" spans="2:12" ht="11.1" customHeight="1" x14ac:dyDescent="0.2">
      <c r="B46" s="1401" t="s">
        <v>1762</v>
      </c>
      <c r="C46" s="1401"/>
      <c r="G46" s="317"/>
      <c r="I46" s="317"/>
    </row>
    <row r="47" spans="2:12" ht="11.1" customHeight="1" x14ac:dyDescent="0.2">
      <c r="B47" s="1401" t="s">
        <v>1763</v>
      </c>
      <c r="C47" s="1401"/>
      <c r="G47" s="317"/>
      <c r="I47" s="317"/>
    </row>
    <row r="48" spans="2:12" ht="11.1" customHeight="1" x14ac:dyDescent="0.2">
      <c r="B48" s="1401" t="s">
        <v>1764</v>
      </c>
      <c r="C48" s="1401"/>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oddFooter>&amp;LSee Notes to Financial Statements.</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D12" sqref="D1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69" t="str">
        <f>'Single Audit Cover'!A7</f>
        <v>Lebanon CUSD 9</v>
      </c>
      <c r="C1" s="2469"/>
      <c r="D1" s="2469"/>
      <c r="E1" s="1466"/>
    </row>
    <row r="2" spans="2:5" s="1276" customFormat="1" ht="12.75" customHeight="1" x14ac:dyDescent="0.2">
      <c r="B2" s="2471">
        <f>'Single Audit Cover'!E7</f>
        <v>50082009026</v>
      </c>
      <c r="C2" s="2471"/>
      <c r="D2" s="2471"/>
      <c r="E2" s="1467"/>
    </row>
    <row r="3" spans="2:5" ht="12.75" customHeight="1" x14ac:dyDescent="0.2">
      <c r="B3" s="2485" t="s">
        <v>1765</v>
      </c>
      <c r="C3" s="2485"/>
      <c r="D3" s="2485"/>
      <c r="E3" s="1268"/>
    </row>
    <row r="4" spans="2:5" s="1276" customFormat="1" ht="12.75" customHeight="1" x14ac:dyDescent="0.2">
      <c r="B4" s="2495" t="str">
        <f>'Single Audit Cover'!A4</f>
        <v>Year Ending June 30, 2019</v>
      </c>
      <c r="C4" s="2495"/>
      <c r="D4" s="2495"/>
      <c r="E4" s="1468"/>
    </row>
    <row r="5" spans="2:5" s="1276" customFormat="1" ht="40.15" customHeight="1" x14ac:dyDescent="0.2">
      <c r="B5" s="1469" t="s">
        <v>1766</v>
      </c>
      <c r="C5" s="328"/>
      <c r="D5" s="328"/>
      <c r="E5" s="328"/>
    </row>
    <row r="6" spans="2:5" s="1276" customFormat="1" ht="13.5" customHeight="1" x14ac:dyDescent="0.2">
      <c r="B6" s="1470" t="s">
        <v>1314</v>
      </c>
      <c r="C6" s="1470" t="s">
        <v>1313</v>
      </c>
      <c r="D6" s="1470" t="s">
        <v>1767</v>
      </c>
    </row>
    <row r="7" spans="2:5" ht="13.5" customHeight="1" x14ac:dyDescent="0.2">
      <c r="B7" s="1471"/>
      <c r="C7" s="324"/>
      <c r="D7" s="324"/>
      <c r="E7" s="324"/>
    </row>
    <row r="8" spans="2:5" ht="13.5" customHeight="1" x14ac:dyDescent="0.2">
      <c r="B8" s="1471" t="s">
        <v>2164</v>
      </c>
      <c r="C8" s="324" t="s">
        <v>2165</v>
      </c>
      <c r="D8" s="324" t="s">
        <v>2167</v>
      </c>
      <c r="E8" s="324"/>
    </row>
    <row r="9" spans="2:5" ht="13.5" customHeight="1" x14ac:dyDescent="0.2">
      <c r="B9" s="1472"/>
      <c r="C9" s="323" t="s">
        <v>2166</v>
      </c>
      <c r="D9" s="323"/>
      <c r="E9" s="323"/>
    </row>
    <row r="10" spans="2:5" ht="13.5" customHeight="1" x14ac:dyDescent="0.2">
      <c r="B10" s="1471"/>
      <c r="C10" s="323"/>
      <c r="D10" s="323"/>
      <c r="E10" s="323"/>
    </row>
    <row r="11" spans="2:5" ht="13.5" customHeight="1" x14ac:dyDescent="0.2">
      <c r="B11" s="1471" t="s">
        <v>2168</v>
      </c>
      <c r="C11" s="323" t="s">
        <v>2169</v>
      </c>
      <c r="D11" s="323" t="s">
        <v>2171</v>
      </c>
      <c r="E11" s="323"/>
    </row>
    <row r="12" spans="2:5" ht="13.5" customHeight="1" x14ac:dyDescent="0.2">
      <c r="B12" s="1471"/>
      <c r="C12" s="323" t="s">
        <v>2170</v>
      </c>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1312</v>
      </c>
      <c r="C44" s="322"/>
    </row>
    <row r="45" spans="2:5" ht="12.2" customHeight="1" x14ac:dyDescent="0.2">
      <c r="B45" s="1480" t="s">
        <v>1768</v>
      </c>
    </row>
    <row r="46" spans="2:5" ht="12.2" customHeight="1" x14ac:dyDescent="0.2">
      <c r="B46" s="1480" t="s">
        <v>1769</v>
      </c>
    </row>
    <row r="47" spans="2:5" ht="12.2" customHeight="1" x14ac:dyDescent="0.2">
      <c r="B47" s="1481" t="s">
        <v>1311</v>
      </c>
    </row>
    <row r="48" spans="2:5" ht="12.2" customHeight="1" x14ac:dyDescent="0.2">
      <c r="B48" s="1481" t="s">
        <v>1310</v>
      </c>
    </row>
    <row r="49" spans="2:5" ht="12.2" customHeight="1" x14ac:dyDescent="0.2">
      <c r="B49" s="1481" t="s">
        <v>1309</v>
      </c>
    </row>
    <row r="50" spans="2:5" ht="12.2" customHeight="1" x14ac:dyDescent="0.2">
      <c r="B50" s="1481" t="s">
        <v>1308</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&amp;LSee Notes to Financial Statements.</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D16" sqref="D1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3" t="s">
        <v>385</v>
      </c>
      <c r="B1" s="2093"/>
      <c r="C1" s="2093"/>
      <c r="D1" s="2093"/>
      <c r="E1" s="2093"/>
      <c r="F1" s="2093"/>
      <c r="G1" s="2093"/>
      <c r="H1" s="2093"/>
      <c r="I1" s="2093"/>
      <c r="J1" s="2093"/>
      <c r="K1" s="2093"/>
      <c r="L1" s="2093"/>
      <c r="M1" s="2093"/>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271</v>
      </c>
      <c r="G7" s="222"/>
      <c r="H7" s="222"/>
      <c r="I7" s="222"/>
      <c r="J7" s="352">
        <v>81379721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3.1899999999999998E-2</v>
      </c>
      <c r="E10" s="356" t="s">
        <v>1004</v>
      </c>
      <c r="F10" s="355">
        <v>5.0000000000000001E-3</v>
      </c>
      <c r="G10" s="356" t="s">
        <v>1004</v>
      </c>
      <c r="H10" s="355">
        <v>2E-3</v>
      </c>
      <c r="I10" s="356" t="s">
        <v>1005</v>
      </c>
      <c r="J10" s="1729">
        <f>ROUND(D10+F10+H10,5)</f>
        <v>3.8899999999999997E-2</v>
      </c>
      <c r="K10" s="222"/>
      <c r="L10" s="355">
        <v>5.0000000000000001E-4</v>
      </c>
      <c r="M10" s="222"/>
    </row>
    <row r="11" spans="1:14" ht="7.5" customHeight="1" x14ac:dyDescent="0.2">
      <c r="B11" s="222"/>
      <c r="C11" s="222"/>
      <c r="D11" s="2103" t="str">
        <f>IF(SUM(J10)&lt;=0.0999999,"","Enter the Tax Rates by moving the decimal two places to the left.")</f>
        <v/>
      </c>
      <c r="E11" s="2104"/>
      <c r="F11" s="2104"/>
      <c r="G11" s="2104"/>
      <c r="H11" s="2104"/>
      <c r="I11" s="2104"/>
      <c r="J11" s="210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0">
        <f>SUM('Acct Summary 7-8'!C8,'Acct Summary 7-8'!D8,'Acct Summary 7-8'!F8,'Acct Summary 7-8'!I8)</f>
        <v>6011178</v>
      </c>
      <c r="E16" s="356"/>
      <c r="F16" s="1730">
        <f>SUM('Acct Summary 7-8'!C17,'Acct Summary 7-8'!D17,'Acct Summary 7-8'!F17)</f>
        <v>6593251</v>
      </c>
      <c r="G16" s="356"/>
      <c r="H16" s="1730">
        <f>SUM(D16-F16)</f>
        <v>-582073</v>
      </c>
      <c r="I16" s="222"/>
      <c r="J16" s="1730">
        <f>SUM('Acct Summary 7-8'!C81,'Acct Summary 7-8'!D81,'Acct Summary 7-8'!F81,'Acct Summary 7-8'!I81)</f>
        <v>1345040</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0">
        <f>'Short-Term Long-Term Debt 24'!F4</f>
        <v>0</v>
      </c>
      <c r="E22" s="356" t="s">
        <v>1004</v>
      </c>
      <c r="F22" s="1730">
        <f>'Short-Term Long-Term Debt 24'!F15</f>
        <v>0</v>
      </c>
      <c r="G22" s="356" t="s">
        <v>1004</v>
      </c>
      <c r="H22" s="1730">
        <f>'Short-Term Long-Term Debt 24'!F21</f>
        <v>500000</v>
      </c>
      <c r="I22" s="356" t="s">
        <v>1004</v>
      </c>
      <c r="J22" s="1730">
        <f>'Short-Term Long-Term Debt 24'!F23</f>
        <v>0</v>
      </c>
      <c r="K22" s="356" t="s">
        <v>1004</v>
      </c>
      <c r="L22" s="1730">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1005</v>
      </c>
      <c r="F24" s="1731">
        <f>SUM(D22,F22,H22,J22,L22, D24)</f>
        <v>500000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32">
        <f>IF(B31="X",(J7*0.069),IF(B32="X",(J7*0.138),"Enter x in a.or b."))</f>
        <v>11230401.498000002</v>
      </c>
      <c r="I31" s="368"/>
      <c r="J31" s="222"/>
      <c r="K31" s="222"/>
      <c r="L31" s="222"/>
      <c r="M31" s="222"/>
    </row>
    <row r="32" spans="1:13" ht="13.35" customHeight="1" x14ac:dyDescent="0.2">
      <c r="B32" s="369" t="s">
        <v>2063</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1">
        <f>'Assets-Liab 5-6'!N36</f>
        <v>10749044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94"/>
      <c r="C54" s="2095"/>
      <c r="D54" s="2095"/>
      <c r="E54" s="2095"/>
      <c r="F54" s="2095"/>
      <c r="G54" s="2095"/>
      <c r="H54" s="2095"/>
      <c r="I54" s="2095"/>
      <c r="J54" s="2095"/>
      <c r="K54" s="2095"/>
      <c r="L54" s="2096"/>
      <c r="M54" s="380"/>
    </row>
    <row r="55" spans="1:13" ht="12.75" customHeight="1" x14ac:dyDescent="0.2">
      <c r="B55" s="2097"/>
      <c r="C55" s="2098"/>
      <c r="D55" s="2098"/>
      <c r="E55" s="2098"/>
      <c r="F55" s="2098"/>
      <c r="G55" s="2098"/>
      <c r="H55" s="2098"/>
      <c r="I55" s="2098"/>
      <c r="J55" s="2098"/>
      <c r="K55" s="2098"/>
      <c r="L55" s="2099"/>
      <c r="M55" s="380"/>
    </row>
    <row r="56" spans="1:13" ht="12.75" customHeight="1" x14ac:dyDescent="0.2">
      <c r="B56" s="2097"/>
      <c r="C56" s="2098"/>
      <c r="D56" s="2098"/>
      <c r="E56" s="2098"/>
      <c r="F56" s="2098"/>
      <c r="G56" s="2098"/>
      <c r="H56" s="2098"/>
      <c r="I56" s="2098"/>
      <c r="J56" s="2098"/>
      <c r="K56" s="2098"/>
      <c r="L56" s="2099"/>
      <c r="M56" s="222"/>
    </row>
    <row r="57" spans="1:13" ht="12.75" customHeight="1" x14ac:dyDescent="0.2">
      <c r="B57" s="2097"/>
      <c r="C57" s="2098"/>
      <c r="D57" s="2098"/>
      <c r="E57" s="2098"/>
      <c r="F57" s="2098"/>
      <c r="G57" s="2098"/>
      <c r="H57" s="2098"/>
      <c r="I57" s="2098"/>
      <c r="J57" s="2098"/>
      <c r="K57" s="2098"/>
      <c r="L57" s="2099"/>
      <c r="M57" s="222"/>
    </row>
    <row r="58" spans="1:13" x14ac:dyDescent="0.2">
      <c r="B58" s="2100"/>
      <c r="C58" s="2101"/>
      <c r="D58" s="2101"/>
      <c r="E58" s="2101"/>
      <c r="F58" s="2101"/>
      <c r="G58" s="2101"/>
      <c r="H58" s="2101"/>
      <c r="I58" s="2101"/>
      <c r="J58" s="2101"/>
      <c r="K58" s="2101"/>
      <c r="L58" s="210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5"/>
      <c r="D61" s="210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&amp;L&amp;8See Notes to Financial Statements.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0" zoomScale="110" zoomScaleNormal="110" workbookViewId="0">
      <selection activeCell="V30" sqref="V3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8"/>
      <c r="B1" s="2109"/>
      <c r="C1" s="2109"/>
      <c r="D1" s="384"/>
      <c r="E1" s="384"/>
      <c r="F1" s="384"/>
      <c r="G1" s="384"/>
      <c r="H1" s="384"/>
      <c r="I1" s="384"/>
      <c r="J1" s="384"/>
      <c r="K1" s="384"/>
      <c r="L1" s="384"/>
      <c r="M1" s="384"/>
      <c r="N1" s="384"/>
      <c r="O1" s="2108"/>
      <c r="P1" s="2109"/>
      <c r="Q1" s="2109"/>
    </row>
    <row r="2" spans="1:18" ht="15" x14ac:dyDescent="0.2">
      <c r="A2" s="2112" t="s">
        <v>555</v>
      </c>
      <c r="B2" s="2112"/>
      <c r="C2" s="2112"/>
      <c r="D2" s="2112"/>
      <c r="E2" s="2112"/>
      <c r="F2" s="2112"/>
      <c r="G2" s="2112"/>
      <c r="H2" s="2112"/>
      <c r="I2" s="2112"/>
      <c r="J2" s="2112"/>
      <c r="K2" s="2112"/>
      <c r="L2" s="2112"/>
      <c r="M2" s="2112"/>
      <c r="N2" s="2112"/>
      <c r="O2" s="2112"/>
      <c r="P2" s="2112"/>
      <c r="Q2" s="2112"/>
      <c r="R2" s="2112"/>
    </row>
    <row r="3" spans="1:18" ht="12.75" x14ac:dyDescent="0.2">
      <c r="A3" s="2113" t="s">
        <v>1412</v>
      </c>
      <c r="B3" s="2113"/>
      <c r="C3" s="2113"/>
      <c r="D3" s="2113"/>
      <c r="E3" s="2113"/>
      <c r="F3" s="2113"/>
      <c r="G3" s="2113"/>
      <c r="H3" s="2113"/>
      <c r="I3" s="2113"/>
      <c r="J3" s="2113"/>
      <c r="K3" s="2113"/>
      <c r="L3" s="2113"/>
      <c r="M3" s="2113"/>
      <c r="N3" s="2113"/>
      <c r="O3" s="2113"/>
      <c r="P3" s="2113"/>
      <c r="Q3" s="2113"/>
      <c r="R3" s="2113"/>
    </row>
    <row r="4" spans="1:18" x14ac:dyDescent="0.2">
      <c r="A4" s="2114" t="s">
        <v>1553</v>
      </c>
      <c r="B4" s="2114"/>
      <c r="C4" s="2114"/>
      <c r="D4" s="2114"/>
      <c r="E4" s="2114"/>
      <c r="F4" s="2114"/>
      <c r="G4" s="2114"/>
      <c r="H4" s="2114"/>
      <c r="I4" s="2114"/>
      <c r="J4" s="2114"/>
      <c r="K4" s="2114"/>
      <c r="L4" s="2114"/>
      <c r="M4" s="2114"/>
      <c r="N4" s="2114"/>
      <c r="O4" s="2114"/>
      <c r="P4" s="2114"/>
      <c r="Q4" s="2114"/>
      <c r="R4" s="211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Lebanon CUSD 9</v>
      </c>
      <c r="E7" s="391"/>
      <c r="G7" s="252"/>
      <c r="H7" s="387"/>
      <c r="I7" s="387"/>
      <c r="J7" s="387"/>
      <c r="K7" s="387"/>
      <c r="L7" s="329"/>
      <c r="M7" s="329"/>
      <c r="N7" s="329"/>
      <c r="O7" s="329"/>
      <c r="P7" s="329"/>
    </row>
    <row r="8" spans="1:18" ht="12.75" x14ac:dyDescent="0.2">
      <c r="A8" s="329"/>
      <c r="B8" s="329"/>
      <c r="C8" s="389" t="s">
        <v>1124</v>
      </c>
      <c r="D8" s="392">
        <f>COVER!A13</f>
        <v>50082009026</v>
      </c>
      <c r="E8" s="393"/>
      <c r="G8" s="329"/>
      <c r="H8" s="329"/>
      <c r="I8" s="329"/>
      <c r="J8" s="329"/>
      <c r="K8" s="329"/>
      <c r="L8" s="329"/>
      <c r="M8" s="329"/>
      <c r="N8" s="329"/>
      <c r="O8" s="329"/>
      <c r="P8" s="329"/>
    </row>
    <row r="9" spans="1:18" ht="12.75" x14ac:dyDescent="0.2">
      <c r="A9" s="329"/>
      <c r="B9" s="329"/>
      <c r="C9" s="389" t="s">
        <v>712</v>
      </c>
      <c r="D9" s="394" t="str">
        <f>COVER!A15</f>
        <v>St. Clair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3</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1345040</v>
      </c>
      <c r="I12" s="404"/>
      <c r="J12" s="404"/>
      <c r="K12" s="405">
        <f>TRUNC((H12/H13*100000),5)/100000</f>
        <v>0.22375647499999998</v>
      </c>
      <c r="L12" s="406"/>
      <c r="M12" s="360" t="s">
        <v>1143</v>
      </c>
      <c r="N12" s="360"/>
      <c r="O12" s="407">
        <v>0.35</v>
      </c>
      <c r="P12" s="218"/>
      <c r="Q12" s="218"/>
    </row>
    <row r="13" spans="1:18" s="408" customFormat="1" ht="12.75" x14ac:dyDescent="0.2">
      <c r="A13" s="218"/>
      <c r="B13" s="401"/>
      <c r="C13" s="2110" t="s">
        <v>1323</v>
      </c>
      <c r="D13" s="2111"/>
      <c r="E13" s="218"/>
      <c r="F13" s="409" t="s">
        <v>792</v>
      </c>
      <c r="G13" s="402"/>
      <c r="H13" s="403">
        <f>SUM('Acct Summary 7-8'!C8+'Acct Summary 7-8'!D8+'Acct Summary 7-8'!F8+'Acct Summary 7-8'!I8)+H14</f>
        <v>6011178</v>
      </c>
      <c r="I13" s="404"/>
      <c r="J13" s="404"/>
      <c r="K13" s="410"/>
      <c r="L13" s="218"/>
      <c r="M13" s="360" t="s">
        <v>1144</v>
      </c>
      <c r="N13" s="360"/>
      <c r="O13" s="411">
        <f>(O11*O12)</f>
        <v>1.0499999999999998</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t="str">
        <f>IF(K17&gt;1.2,"1",IF(K17&gt;1.1,"2",IF(K17&gt;1,"3",4)))</f>
        <v>3</v>
      </c>
      <c r="P16" s="216"/>
      <c r="R16" s="384"/>
    </row>
    <row r="17" spans="1:18" s="408" customFormat="1" ht="11.25" x14ac:dyDescent="0.2">
      <c r="A17" s="218"/>
      <c r="B17" s="401"/>
      <c r="C17" s="218" t="s">
        <v>796</v>
      </c>
      <c r="D17" s="218"/>
      <c r="E17" s="218"/>
      <c r="F17" s="218" t="s">
        <v>443</v>
      </c>
      <c r="G17" s="402"/>
      <c r="H17" s="403">
        <f>SUM('Acct Summary 7-8'!C17+'Acct Summary 7-8'!D17+'Acct Summary 7-8'!F17)</f>
        <v>6593251</v>
      </c>
      <c r="I17" s="404"/>
      <c r="J17" s="416"/>
      <c r="K17" s="405">
        <f>TRUNC((H17/H18*100000),5)/100000</f>
        <v>1.096831769</v>
      </c>
      <c r="L17" s="406"/>
      <c r="M17" s="417" t="s">
        <v>1170</v>
      </c>
      <c r="O17" s="418" t="str">
        <f>IF(AND(O16="2", J20 &gt; 2),"1",IF(AND(O16 = "1", J20 &gt; 2),"2",IF(AND(O16="1", J20 &gt;1),"1","0")))</f>
        <v>0</v>
      </c>
      <c r="P17" s="218"/>
    </row>
    <row r="18" spans="1:18" s="408" customFormat="1" ht="11.25" x14ac:dyDescent="0.2">
      <c r="A18" s="218"/>
      <c r="B18" s="401"/>
      <c r="C18" s="2110" t="s">
        <v>1316</v>
      </c>
      <c r="D18" s="2111"/>
      <c r="E18" s="218"/>
      <c r="F18" s="419" t="s">
        <v>793</v>
      </c>
      <c r="G18" s="402"/>
      <c r="H18" s="403">
        <f>SUM('Acct Summary 7-8'!C8+'Acct Summary 7-8'!D8+'Acct Summary 7-8'!F8+'Acct Summary 7-8'!I8)+H19</f>
        <v>6011178</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f>IF(K17&lt;=1,"0",TRUNC(((K12-0.1)/(K17-1)*100),5)/100)</f>
        <v>1.2780564999999999</v>
      </c>
      <c r="K20" s="405" t="str">
        <f>IF(K17&lt;=1,"0",IF(AND(O16="2", J20 &gt; 2),TRUNC(((K12-0.1)/(K17-1)*100),5)/100,IF(AND(O16 = "1", J20 &gt; 2),TRUNC(((K12-0.1)/(K17-1)*100),5)/100,IF(AND(O16="1", J20 &gt;1),TRUNC(((K12-0.1)/(K17-1)*100),5)/100,""))))</f>
        <v/>
      </c>
      <c r="L20" s="218"/>
      <c r="M20" s="360" t="s">
        <v>1144</v>
      </c>
      <c r="N20" s="360"/>
      <c r="O20" s="411">
        <f>(O16+O17)*O18</f>
        <v>1.0499999999999998</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f>IF(K24&gt;=180,"4",IF(K24&gt;=90,"3",IF(K24&gt;=30,"2",1)))</f>
        <v>1</v>
      </c>
      <c r="P23" s="216"/>
      <c r="R23" s="384"/>
    </row>
    <row r="24" spans="1:18" s="408" customFormat="1" ht="11.25" x14ac:dyDescent="0.2">
      <c r="A24" s="218"/>
      <c r="B24" s="401"/>
      <c r="C24" s="2107" t="s">
        <v>1411</v>
      </c>
      <c r="D24" s="2107"/>
      <c r="E24" s="218"/>
      <c r="F24" s="218" t="s">
        <v>444</v>
      </c>
      <c r="G24" s="402"/>
      <c r="H24" s="403">
        <f>SUM('Assets-Liab 5-6'!C4+'Assets-Liab 5-6'!D4+'Assets-Liab 5-6'!F4+'Assets-Liab 5-6'!I4+'Assets-Liab 5-6'!C5+'Assets-Liab 5-6'!D5+'Assets-Liab 5-6'!F5+'Assets-Liab 5-6'!I5)</f>
        <v>389578</v>
      </c>
      <c r="I24" s="422"/>
      <c r="J24" s="422"/>
      <c r="K24" s="423">
        <f>TRUNC(((H24/H25*100000)/100000),2)</f>
        <v>21.27</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18314.58611</v>
      </c>
      <c r="I25" s="425"/>
      <c r="J25" s="425"/>
      <c r="K25" s="410"/>
      <c r="L25" s="218"/>
      <c r="M25" s="360" t="s">
        <v>1144</v>
      </c>
      <c r="N25" s="360"/>
      <c r="O25" s="411">
        <f>O23*O24</f>
        <v>0.1</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1930</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2690820.47487</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f>IF(K32&gt;=75,"4",IF(K32&gt;=50,"3",IF(K32&gt;=25,"2",1)))</f>
        <v>1</v>
      </c>
      <c r="P31" s="216"/>
    </row>
    <row r="32" spans="1:18" s="408" customFormat="1" ht="11.25" x14ac:dyDescent="0.2">
      <c r="A32" s="218"/>
      <c r="B32" s="401"/>
      <c r="C32" s="218" t="s">
        <v>846</v>
      </c>
      <c r="D32" s="218"/>
      <c r="E32" s="218"/>
      <c r="F32" s="218"/>
      <c r="G32" s="402"/>
      <c r="H32" s="403">
        <f>'FP Info 3'!H37</f>
        <v>10749044</v>
      </c>
      <c r="I32" s="420"/>
      <c r="J32" s="420"/>
      <c r="K32" s="423">
        <f>TRUNC(100-((((H32/H33*100))*100)/100),2)</f>
        <v>4.28</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11230401.498000002</v>
      </c>
      <c r="I33" s="420"/>
      <c r="J33" s="420"/>
      <c r="K33" s="403"/>
      <c r="L33" s="218"/>
      <c r="M33" s="435" t="s">
        <v>1144</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2.6999999999999997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WARNING</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&amp;L&amp;8See Notes to Financial Statements.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12" activePane="bottomLeft" state="frozen"/>
      <selection pane="bottomLeft" activeCell="G39" sqref="G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5"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16"/>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17" t="s">
        <v>972</v>
      </c>
      <c r="B3" s="2118"/>
      <c r="C3" s="1556"/>
      <c r="D3" s="1557"/>
      <c r="E3" s="1557"/>
      <c r="F3" s="1557"/>
      <c r="G3" s="1557"/>
      <c r="H3" s="1557"/>
      <c r="I3" s="1557"/>
      <c r="J3" s="1557"/>
      <c r="K3" s="1557"/>
      <c r="L3" s="1557"/>
      <c r="M3" s="1558"/>
      <c r="N3" s="1559"/>
    </row>
    <row r="4" spans="1:14" ht="13.5" customHeight="1" x14ac:dyDescent="0.2">
      <c r="A4" s="463" t="s">
        <v>1650</v>
      </c>
      <c r="B4" s="464"/>
      <c r="C4" s="465">
        <v>49931</v>
      </c>
      <c r="D4" s="466"/>
      <c r="E4" s="466">
        <v>507769</v>
      </c>
      <c r="F4" s="466">
        <v>214849</v>
      </c>
      <c r="G4" s="466">
        <v>872971</v>
      </c>
      <c r="H4" s="466">
        <v>1597</v>
      </c>
      <c r="I4" s="466">
        <v>124798</v>
      </c>
      <c r="J4" s="467">
        <v>1141744</v>
      </c>
      <c r="K4" s="466"/>
      <c r="L4" s="466">
        <v>108309</v>
      </c>
      <c r="M4" s="468"/>
      <c r="N4" s="469"/>
    </row>
    <row r="5" spans="1:14" x14ac:dyDescent="0.2">
      <c r="A5" s="463" t="s">
        <v>991</v>
      </c>
      <c r="B5" s="470">
        <v>120</v>
      </c>
      <c r="C5" s="465"/>
      <c r="D5" s="466"/>
      <c r="E5" s="466"/>
      <c r="F5" s="466"/>
      <c r="G5" s="466"/>
      <c r="H5" s="466"/>
      <c r="I5" s="466"/>
      <c r="J5" s="467"/>
      <c r="K5" s="471"/>
      <c r="L5" s="472"/>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c r="E7" s="467"/>
      <c r="F7" s="467"/>
      <c r="G7" s="467"/>
      <c r="H7" s="467"/>
      <c r="I7" s="467">
        <f>525000+1455462</f>
        <v>1980462</v>
      </c>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33" t="s">
        <v>643</v>
      </c>
      <c r="B13" s="1706"/>
      <c r="C13" s="1734">
        <f>SUM(C4:C12)</f>
        <v>49931</v>
      </c>
      <c r="D13" s="1734">
        <f t="shared" ref="D13:L13" si="0">SUM(D4:D12)</f>
        <v>0</v>
      </c>
      <c r="E13" s="1734">
        <f t="shared" si="0"/>
        <v>507769</v>
      </c>
      <c r="F13" s="1734">
        <f t="shared" si="0"/>
        <v>214849</v>
      </c>
      <c r="G13" s="1734">
        <f t="shared" si="0"/>
        <v>872971</v>
      </c>
      <c r="H13" s="1734">
        <f t="shared" si="0"/>
        <v>1597</v>
      </c>
      <c r="I13" s="1734">
        <f t="shared" si="0"/>
        <v>2105260</v>
      </c>
      <c r="J13" s="1734">
        <f t="shared" si="0"/>
        <v>1141744</v>
      </c>
      <c r="K13" s="1734">
        <f t="shared" si="0"/>
        <v>0</v>
      </c>
      <c r="L13" s="1734">
        <f t="shared" si="0"/>
        <v>108309</v>
      </c>
      <c r="M13" s="468"/>
      <c r="N13" s="469"/>
    </row>
    <row r="14" spans="1:14" ht="18" customHeight="1" thickTop="1" x14ac:dyDescent="0.2">
      <c r="A14" s="2119" t="s">
        <v>147</v>
      </c>
      <c r="B14" s="2120"/>
      <c r="C14" s="1560"/>
      <c r="D14" s="1561"/>
      <c r="E14" s="1561"/>
      <c r="F14" s="1561"/>
      <c r="G14" s="1561"/>
      <c r="H14" s="1561"/>
      <c r="I14" s="1561"/>
      <c r="J14" s="1561"/>
      <c r="K14" s="1561"/>
      <c r="L14" s="1561"/>
      <c r="M14" s="1562"/>
      <c r="N14" s="1563"/>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v>1359576</v>
      </c>
      <c r="N16" s="484"/>
    </row>
    <row r="17" spans="1:14" s="485" customFormat="1" ht="12.75" customHeight="1" x14ac:dyDescent="0.2">
      <c r="A17" s="482" t="s">
        <v>1402</v>
      </c>
      <c r="B17" s="483">
        <v>230</v>
      </c>
      <c r="C17" s="477"/>
      <c r="D17" s="477"/>
      <c r="E17" s="477"/>
      <c r="F17" s="477"/>
      <c r="G17" s="477"/>
      <c r="H17" s="477"/>
      <c r="I17" s="477"/>
      <c r="J17" s="477"/>
      <c r="K17" s="477"/>
      <c r="L17" s="477"/>
      <c r="M17" s="467">
        <v>16143493</v>
      </c>
      <c r="N17" s="484"/>
    </row>
    <row r="18" spans="1:14" s="485" customFormat="1" ht="12.75" customHeight="1" x14ac:dyDescent="0.2">
      <c r="A18" s="482" t="s">
        <v>1403</v>
      </c>
      <c r="B18" s="483">
        <v>240</v>
      </c>
      <c r="C18" s="477"/>
      <c r="D18" s="477"/>
      <c r="E18" s="477"/>
      <c r="F18" s="477"/>
      <c r="G18" s="477"/>
      <c r="H18" s="477"/>
      <c r="I18" s="477"/>
      <c r="J18" s="477"/>
      <c r="K18" s="477"/>
      <c r="L18" s="477"/>
      <c r="M18" s="467">
        <v>2621392</v>
      </c>
      <c r="N18" s="484"/>
    </row>
    <row r="19" spans="1:14" s="485" customFormat="1" ht="12.75" customHeight="1" x14ac:dyDescent="0.2">
      <c r="A19" s="482" t="s">
        <v>1404</v>
      </c>
      <c r="B19" s="483">
        <v>250</v>
      </c>
      <c r="C19" s="477"/>
      <c r="D19" s="477"/>
      <c r="E19" s="477"/>
      <c r="F19" s="477"/>
      <c r="G19" s="477"/>
      <c r="H19" s="477"/>
      <c r="I19" s="477"/>
      <c r="J19" s="477"/>
      <c r="K19" s="477"/>
      <c r="L19" s="477"/>
      <c r="M19" s="467">
        <v>3469893</v>
      </c>
      <c r="N19" s="484"/>
    </row>
    <row r="20" spans="1:14" s="485" customFormat="1" ht="12.75" customHeight="1" x14ac:dyDescent="0.2">
      <c r="A20" s="482" t="s">
        <v>1405</v>
      </c>
      <c r="B20" s="483">
        <v>260</v>
      </c>
      <c r="C20" s="477"/>
      <c r="D20" s="477"/>
      <c r="E20" s="477"/>
      <c r="F20" s="477"/>
      <c r="G20" s="477"/>
      <c r="H20" s="477"/>
      <c r="I20" s="477"/>
      <c r="J20" s="477"/>
      <c r="K20" s="477"/>
      <c r="L20" s="477"/>
      <c r="M20" s="467"/>
      <c r="N20" s="484"/>
    </row>
    <row r="21" spans="1:14" s="485" customFormat="1" ht="12.75" customHeight="1" x14ac:dyDescent="0.2">
      <c r="A21" s="482" t="s">
        <v>1406</v>
      </c>
      <c r="B21" s="483">
        <v>340</v>
      </c>
      <c r="C21" s="477"/>
      <c r="D21" s="477"/>
      <c r="E21" s="477"/>
      <c r="F21" s="477"/>
      <c r="G21" s="477"/>
      <c r="H21" s="477"/>
      <c r="I21" s="477"/>
      <c r="J21" s="477"/>
      <c r="K21" s="477"/>
      <c r="L21" s="477"/>
      <c r="M21" s="486"/>
      <c r="N21" s="467">
        <f>+E4</f>
        <v>507769</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10241275</v>
      </c>
    </row>
    <row r="23" spans="1:14" ht="13.5" customHeight="1" thickBot="1" x14ac:dyDescent="0.25">
      <c r="A23" s="1733" t="s">
        <v>642</v>
      </c>
      <c r="B23" s="1738"/>
      <c r="C23" s="468"/>
      <c r="D23" s="468"/>
      <c r="E23" s="468"/>
      <c r="F23" s="468"/>
      <c r="G23" s="468"/>
      <c r="H23" s="468"/>
      <c r="I23" s="468"/>
      <c r="J23" s="468"/>
      <c r="K23" s="468"/>
      <c r="L23" s="468"/>
      <c r="M23" s="1685">
        <f>SUM(M15:M22)</f>
        <v>23594354</v>
      </c>
      <c r="N23" s="1685">
        <f>SUM(N21:N22)</f>
        <v>10749044</v>
      </c>
    </row>
    <row r="24" spans="1:14" ht="18" customHeight="1" thickTop="1" x14ac:dyDescent="0.2">
      <c r="A24" s="2121" t="s">
        <v>597</v>
      </c>
      <c r="B24" s="2122"/>
      <c r="C24" s="1565"/>
      <c r="D24" s="1562"/>
      <c r="E24" s="1562"/>
      <c r="F24" s="1562"/>
      <c r="G24" s="1562"/>
      <c r="H24" s="1562"/>
      <c r="I24" s="1562"/>
      <c r="J24" s="1562"/>
      <c r="K24" s="1562"/>
      <c r="L24" s="1562"/>
      <c r="M24" s="1561"/>
      <c r="N24" s="1566"/>
    </row>
    <row r="25" spans="1:14" x14ac:dyDescent="0.2">
      <c r="A25" s="473" t="s">
        <v>644</v>
      </c>
      <c r="B25" s="470">
        <v>410</v>
      </c>
      <c r="C25" s="478">
        <v>525000</v>
      </c>
      <c r="D25" s="478"/>
      <c r="E25" s="478"/>
      <c r="F25" s="478"/>
      <c r="G25" s="478"/>
      <c r="H25" s="479">
        <v>1455462</v>
      </c>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v>400000</v>
      </c>
      <c r="D27" s="467">
        <v>100000</v>
      </c>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c r="D31" s="467"/>
      <c r="E31" s="467"/>
      <c r="F31" s="466"/>
      <c r="G31" s="467"/>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84313</v>
      </c>
      <c r="M33" s="468"/>
      <c r="N33" s="469"/>
    </row>
    <row r="34" spans="1:14" ht="13.5" customHeight="1" thickBot="1" x14ac:dyDescent="0.25">
      <c r="A34" s="1735" t="s">
        <v>653</v>
      </c>
      <c r="B34" s="1736"/>
      <c r="C34" s="1737">
        <f>SUM(C25:C33)</f>
        <v>925000</v>
      </c>
      <c r="D34" s="1737">
        <f t="shared" ref="D34:K34" si="1">SUM(D25:D33)</f>
        <v>100000</v>
      </c>
      <c r="E34" s="1737">
        <f t="shared" si="1"/>
        <v>0</v>
      </c>
      <c r="F34" s="1737">
        <f t="shared" si="1"/>
        <v>0</v>
      </c>
      <c r="G34" s="1737">
        <f t="shared" si="1"/>
        <v>0</v>
      </c>
      <c r="H34" s="1737">
        <f t="shared" si="1"/>
        <v>1455462</v>
      </c>
      <c r="I34" s="1737">
        <f t="shared" si="1"/>
        <v>0</v>
      </c>
      <c r="J34" s="1737">
        <f t="shared" si="1"/>
        <v>0</v>
      </c>
      <c r="K34" s="1737">
        <f t="shared" si="1"/>
        <v>0</v>
      </c>
      <c r="L34" s="1718">
        <f>SUM(L33)</f>
        <v>84313</v>
      </c>
      <c r="M34" s="468"/>
      <c r="N34" s="480"/>
    </row>
    <row r="35" spans="1:14" ht="18" customHeight="1" thickTop="1" x14ac:dyDescent="0.2">
      <c r="A35" s="2123" t="s">
        <v>528</v>
      </c>
      <c r="B35" s="2124"/>
      <c r="C35" s="1567"/>
      <c r="D35" s="1568"/>
      <c r="E35" s="1568"/>
      <c r="F35" s="1568"/>
      <c r="G35" s="1568"/>
      <c r="H35" s="1568"/>
      <c r="I35" s="1568"/>
      <c r="J35" s="1568"/>
      <c r="K35" s="1568"/>
      <c r="L35" s="1568"/>
      <c r="M35" s="1562"/>
      <c r="N35" s="1566"/>
    </row>
    <row r="36" spans="1:14" x14ac:dyDescent="0.2">
      <c r="A36" s="494" t="s">
        <v>1</v>
      </c>
      <c r="B36" s="470">
        <v>511</v>
      </c>
      <c r="C36" s="477"/>
      <c r="D36" s="477"/>
      <c r="E36" s="477"/>
      <c r="F36" s="477"/>
      <c r="G36" s="477"/>
      <c r="H36" s="477"/>
      <c r="I36" s="477"/>
      <c r="J36" s="477"/>
      <c r="K36" s="477"/>
      <c r="L36" s="468"/>
      <c r="M36" s="468"/>
      <c r="N36" s="495">
        <f>'Short-Term Long-Term Debt 24'!I49</f>
        <v>10749044</v>
      </c>
    </row>
    <row r="37" spans="1:14" ht="13.5" thickBot="1" x14ac:dyDescent="0.25">
      <c r="A37" s="1733" t="s">
        <v>652</v>
      </c>
      <c r="B37" s="1738"/>
      <c r="C37" s="477"/>
      <c r="D37" s="477"/>
      <c r="E37" s="477"/>
      <c r="F37" s="477"/>
      <c r="G37" s="477"/>
      <c r="H37" s="477"/>
      <c r="I37" s="477"/>
      <c r="J37" s="477"/>
      <c r="K37" s="477"/>
      <c r="L37" s="480"/>
      <c r="M37" s="468"/>
      <c r="N37" s="1685">
        <f>SUM(N36:N36)</f>
        <v>10749044</v>
      </c>
    </row>
    <row r="38" spans="1:14" s="329" customFormat="1" ht="13.5" customHeight="1" thickTop="1" x14ac:dyDescent="0.2">
      <c r="A38" s="496" t="s">
        <v>419</v>
      </c>
      <c r="B38" s="483">
        <v>714</v>
      </c>
      <c r="C38" s="466"/>
      <c r="D38" s="466"/>
      <c r="E38" s="466"/>
      <c r="F38" s="466"/>
      <c r="G38" s="466"/>
      <c r="H38" s="466"/>
      <c r="I38" s="466"/>
      <c r="J38" s="467">
        <v>1141744</v>
      </c>
      <c r="K38" s="466"/>
      <c r="L38" s="481">
        <v>23996</v>
      </c>
      <c r="M38" s="497"/>
      <c r="N38" s="497"/>
    </row>
    <row r="39" spans="1:14" s="329" customFormat="1" ht="13.5" customHeight="1" x14ac:dyDescent="0.2">
      <c r="A39" s="496" t="s">
        <v>341</v>
      </c>
      <c r="B39" s="483">
        <v>730</v>
      </c>
      <c r="C39" s="466">
        <v>-875069</v>
      </c>
      <c r="D39" s="466">
        <v>-100000</v>
      </c>
      <c r="E39" s="466">
        <v>507769</v>
      </c>
      <c r="F39" s="466">
        <v>214849</v>
      </c>
      <c r="G39" s="466">
        <v>872971</v>
      </c>
      <c r="H39" s="466">
        <v>-1453865</v>
      </c>
      <c r="I39" s="466">
        <v>2105260</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23594354</v>
      </c>
      <c r="N40" s="497"/>
    </row>
    <row r="41" spans="1:14" ht="13.5" customHeight="1" thickBot="1" x14ac:dyDescent="0.25">
      <c r="A41" s="1733" t="s">
        <v>654</v>
      </c>
      <c r="B41" s="1703"/>
      <c r="C41" s="1685">
        <f>(SUM(C34,C37,C38,C39))</f>
        <v>49931</v>
      </c>
      <c r="D41" s="1685">
        <f t="shared" ref="D41:L41" si="2">SUM(D34,D37,D38:D39)</f>
        <v>0</v>
      </c>
      <c r="E41" s="1685">
        <f t="shared" si="2"/>
        <v>507769</v>
      </c>
      <c r="F41" s="1685">
        <f t="shared" si="2"/>
        <v>214849</v>
      </c>
      <c r="G41" s="1685">
        <f t="shared" si="2"/>
        <v>872971</v>
      </c>
      <c r="H41" s="1685">
        <f t="shared" si="2"/>
        <v>1597</v>
      </c>
      <c r="I41" s="1685">
        <f t="shared" si="2"/>
        <v>2105260</v>
      </c>
      <c r="J41" s="1685">
        <f t="shared" si="2"/>
        <v>1141744</v>
      </c>
      <c r="K41" s="1685">
        <f t="shared" si="2"/>
        <v>0</v>
      </c>
      <c r="L41" s="1685">
        <f t="shared" si="2"/>
        <v>108309</v>
      </c>
      <c r="M41" s="1685">
        <f>SUM(M40)</f>
        <v>23594354</v>
      </c>
      <c r="N41" s="1685">
        <f>SUM(N37)</f>
        <v>10749044</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&amp;L&amp;8See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20" sqref="C2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3"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34"/>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45" t="s">
        <v>1174</v>
      </c>
      <c r="B3" s="2146"/>
      <c r="C3" s="1570"/>
      <c r="D3" s="1571"/>
      <c r="E3" s="1571"/>
      <c r="F3" s="1571"/>
      <c r="G3" s="1571"/>
      <c r="H3" s="1571"/>
      <c r="I3" s="1571"/>
      <c r="J3" s="1571"/>
      <c r="K3" s="1572"/>
      <c r="L3" s="506"/>
    </row>
    <row r="4" spans="1:13" ht="15.75" customHeight="1" x14ac:dyDescent="0.2">
      <c r="A4" s="1925" t="s">
        <v>1498</v>
      </c>
      <c r="B4" s="1926">
        <v>1000</v>
      </c>
      <c r="C4" s="1739">
        <f>'Revenues 9-14'!C109</f>
        <v>2861756</v>
      </c>
      <c r="D4" s="1739">
        <f>'Revenues 9-14'!D109</f>
        <v>399271</v>
      </c>
      <c r="E4" s="1739">
        <f>'Revenues 9-14'!E109</f>
        <v>1030079</v>
      </c>
      <c r="F4" s="1739">
        <f>'Revenues 9-14'!F109</f>
        <v>171874</v>
      </c>
      <c r="G4" s="1739">
        <f>'Revenues 9-14'!G109</f>
        <v>352979</v>
      </c>
      <c r="H4" s="1739">
        <f>'Revenues 9-14'!H109</f>
        <v>0</v>
      </c>
      <c r="I4" s="1739">
        <f>'Revenues 9-14'!I109</f>
        <v>39926</v>
      </c>
      <c r="J4" s="1739">
        <f>'Revenues 9-14'!J109</f>
        <v>533729</v>
      </c>
      <c r="K4" s="1739">
        <f>'Revenues 9-14'!K109</f>
        <v>39907</v>
      </c>
      <c r="L4" s="347"/>
    </row>
    <row r="5" spans="1:13" ht="15.75" customHeight="1" x14ac:dyDescent="0.2">
      <c r="A5" s="1573" t="s">
        <v>1499</v>
      </c>
      <c r="B5" s="1574">
        <v>2000</v>
      </c>
      <c r="C5" s="1740">
        <f>'Revenues 9-14'!C114</f>
        <v>0</v>
      </c>
      <c r="D5" s="1740">
        <f>'Revenues 9-14'!D114</f>
        <v>0</v>
      </c>
      <c r="E5" s="508"/>
      <c r="F5" s="1740">
        <f>'Revenues 9-14'!F114</f>
        <v>0</v>
      </c>
      <c r="G5" s="1740">
        <f>'Revenues 9-14'!G114</f>
        <v>0</v>
      </c>
      <c r="H5" s="509" t="s">
        <v>1168</v>
      </c>
      <c r="I5" s="510" t="s">
        <v>1168</v>
      </c>
      <c r="J5" s="511" t="s">
        <v>1168</v>
      </c>
      <c r="K5" s="512" t="s">
        <v>1168</v>
      </c>
      <c r="L5" s="347"/>
    </row>
    <row r="6" spans="1:13" ht="15.75" customHeight="1" x14ac:dyDescent="0.2">
      <c r="A6" s="1573" t="s">
        <v>1500</v>
      </c>
      <c r="B6" s="1575">
        <v>3000</v>
      </c>
      <c r="C6" s="1740">
        <f>'Revenues 9-14'!C170</f>
        <v>1739377</v>
      </c>
      <c r="D6" s="1740">
        <f>'Revenues 9-14'!D170</f>
        <v>69041</v>
      </c>
      <c r="E6" s="1740">
        <f>'Revenues 9-14'!E170</f>
        <v>0</v>
      </c>
      <c r="F6" s="1740">
        <f>'Revenues 9-14'!F170</f>
        <v>127309</v>
      </c>
      <c r="G6" s="1740">
        <f>'Revenues 9-14'!G170</f>
        <v>0</v>
      </c>
      <c r="H6" s="1740">
        <f>'Revenues 9-14'!H170</f>
        <v>0</v>
      </c>
      <c r="I6" s="1740">
        <f>'Revenues 9-14'!I170</f>
        <v>0</v>
      </c>
      <c r="J6" s="1740">
        <f>'Revenues 9-14'!J170</f>
        <v>0</v>
      </c>
      <c r="K6" s="1740">
        <f>'Revenues 9-14'!K170</f>
        <v>0</v>
      </c>
      <c r="L6" s="347"/>
      <c r="M6" s="513"/>
    </row>
    <row r="7" spans="1:13" ht="15.75" customHeight="1" x14ac:dyDescent="0.2">
      <c r="A7" s="1573" t="s">
        <v>1501</v>
      </c>
      <c r="B7" s="1575">
        <v>4000</v>
      </c>
      <c r="C7" s="1740">
        <f>'Revenues 9-14'!C267</f>
        <v>602624</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3"/>
    </row>
    <row r="8" spans="1:13" ht="13.5" thickBot="1" x14ac:dyDescent="0.25">
      <c r="A8" s="1733" t="s">
        <v>1171</v>
      </c>
      <c r="B8" s="1706"/>
      <c r="C8" s="1685">
        <f>SUM(C4:C7)</f>
        <v>5203757</v>
      </c>
      <c r="D8" s="1685">
        <f t="shared" ref="D8:K8" si="0">SUM(D4:D7)</f>
        <v>468312</v>
      </c>
      <c r="E8" s="1685">
        <f t="shared" si="0"/>
        <v>1030079</v>
      </c>
      <c r="F8" s="1685">
        <f t="shared" si="0"/>
        <v>299183</v>
      </c>
      <c r="G8" s="1685">
        <f t="shared" si="0"/>
        <v>352979</v>
      </c>
      <c r="H8" s="1685">
        <f t="shared" si="0"/>
        <v>0</v>
      </c>
      <c r="I8" s="1685">
        <f t="shared" si="0"/>
        <v>39926</v>
      </c>
      <c r="J8" s="1685">
        <f t="shared" si="0"/>
        <v>533729</v>
      </c>
      <c r="K8" s="1685">
        <f t="shared" si="0"/>
        <v>39907</v>
      </c>
      <c r="L8" s="347"/>
    </row>
    <row r="9" spans="1:13" ht="15.75" thickTop="1" x14ac:dyDescent="0.2">
      <c r="A9" s="514" t="s">
        <v>1652</v>
      </c>
      <c r="B9" s="515">
        <v>3998</v>
      </c>
      <c r="C9" s="481">
        <v>2676497</v>
      </c>
      <c r="D9" s="516"/>
      <c r="E9" s="481"/>
      <c r="F9" s="481"/>
      <c r="G9" s="517"/>
      <c r="H9" s="481"/>
      <c r="I9" s="509" t="s">
        <v>1168</v>
      </c>
      <c r="J9" s="478"/>
      <c r="K9" s="481"/>
      <c r="L9" s="347"/>
    </row>
    <row r="10" spans="1:13" s="519" customFormat="1" ht="13.5" thickBot="1" x14ac:dyDescent="0.25">
      <c r="A10" s="1733" t="s">
        <v>1172</v>
      </c>
      <c r="B10" s="1706"/>
      <c r="C10" s="1685">
        <f>SUM(C8:C9)</f>
        <v>7880254</v>
      </c>
      <c r="D10" s="1685">
        <f t="shared" ref="D10:K10" si="1">SUM(D8:D9)</f>
        <v>468312</v>
      </c>
      <c r="E10" s="1685">
        <f t="shared" si="1"/>
        <v>1030079</v>
      </c>
      <c r="F10" s="1685">
        <f t="shared" si="1"/>
        <v>299183</v>
      </c>
      <c r="G10" s="1685">
        <f t="shared" si="1"/>
        <v>352979</v>
      </c>
      <c r="H10" s="1685">
        <f t="shared" si="1"/>
        <v>0</v>
      </c>
      <c r="I10" s="1685">
        <f t="shared" si="1"/>
        <v>39926</v>
      </c>
      <c r="J10" s="1685">
        <f t="shared" si="1"/>
        <v>533729</v>
      </c>
      <c r="K10" s="1685">
        <f t="shared" si="1"/>
        <v>39907</v>
      </c>
      <c r="L10" s="518"/>
    </row>
    <row r="11" spans="1:13" s="519" customFormat="1" ht="16.7" customHeight="1" thickTop="1" x14ac:dyDescent="0.2">
      <c r="A11" s="2119" t="s">
        <v>1175</v>
      </c>
      <c r="B11" s="2120"/>
      <c r="C11" s="1567"/>
      <c r="D11" s="1568"/>
      <c r="E11" s="1568"/>
      <c r="F11" s="1568"/>
      <c r="G11" s="1568"/>
      <c r="H11" s="1568"/>
      <c r="I11" s="1568"/>
      <c r="J11" s="1568"/>
      <c r="K11" s="1569"/>
      <c r="L11" s="518"/>
    </row>
    <row r="12" spans="1:13" ht="15.75" customHeight="1" x14ac:dyDescent="0.2">
      <c r="A12" s="1573" t="s">
        <v>455</v>
      </c>
      <c r="B12" s="1575">
        <v>1000</v>
      </c>
      <c r="C12" s="1739">
        <f>'Expenditures 15-22'!K33</f>
        <v>4016374</v>
      </c>
      <c r="D12" s="520" t="s">
        <v>1168</v>
      </c>
      <c r="E12" s="468" t="s">
        <v>1168</v>
      </c>
      <c r="F12" s="468" t="s">
        <v>1168</v>
      </c>
      <c r="G12" s="1739">
        <f>'Expenditures 15-22'!K229</f>
        <v>79113</v>
      </c>
      <c r="H12" s="521"/>
      <c r="I12" s="468" t="s">
        <v>1168</v>
      </c>
      <c r="J12" s="468" t="s">
        <v>1168</v>
      </c>
      <c r="K12" s="521" t="s">
        <v>1168</v>
      </c>
      <c r="L12" s="347"/>
    </row>
    <row r="13" spans="1:13" ht="15.75" customHeight="1" x14ac:dyDescent="0.2">
      <c r="A13" s="1573" t="s">
        <v>456</v>
      </c>
      <c r="B13" s="1575">
        <v>2000</v>
      </c>
      <c r="C13" s="1740">
        <f>'Expenditures 15-22'!K74</f>
        <v>1073557</v>
      </c>
      <c r="D13" s="1740">
        <f>'Expenditures 15-22'!K129</f>
        <v>501844</v>
      </c>
      <c r="E13" s="469" t="s">
        <v>1168</v>
      </c>
      <c r="F13" s="1740">
        <f>'Expenditures 15-22'!K184</f>
        <v>441905</v>
      </c>
      <c r="G13" s="1740">
        <f>'Expenditures 15-22'!K279</f>
        <v>113711</v>
      </c>
      <c r="H13" s="1740">
        <f>'Expenditures 15-22'!K303</f>
        <v>0</v>
      </c>
      <c r="I13" s="468" t="s">
        <v>1168</v>
      </c>
      <c r="J13" s="1740">
        <f>'Expenditures 15-22'!K330</f>
        <v>407786</v>
      </c>
      <c r="K13" s="1744">
        <f>'Expenditures 15-22'!K352</f>
        <v>40141</v>
      </c>
      <c r="L13" s="347"/>
    </row>
    <row r="14" spans="1:13" ht="15.75" customHeight="1" x14ac:dyDescent="0.2">
      <c r="A14" s="1573" t="s">
        <v>448</v>
      </c>
      <c r="B14" s="1575">
        <v>3000</v>
      </c>
      <c r="C14" s="1740">
        <f>'Expenditures 15-22'!K75</f>
        <v>1063</v>
      </c>
      <c r="D14" s="1740">
        <f>'Expenditures 15-22'!K130</f>
        <v>0</v>
      </c>
      <c r="E14" s="520" t="s">
        <v>1168</v>
      </c>
      <c r="F14" s="1740">
        <f>'Expenditures 15-22'!K185</f>
        <v>0</v>
      </c>
      <c r="G14" s="1740">
        <f>'Expenditures 15-22'!K280</f>
        <v>0</v>
      </c>
      <c r="H14" s="512"/>
      <c r="I14" s="468" t="s">
        <v>1168</v>
      </c>
      <c r="J14" s="468" t="s">
        <v>1168</v>
      </c>
      <c r="K14" s="512" t="s">
        <v>1168</v>
      </c>
      <c r="L14" s="347"/>
    </row>
    <row r="15" spans="1:13" ht="15.75" customHeight="1" x14ac:dyDescent="0.2">
      <c r="A15" s="1573" t="s">
        <v>107</v>
      </c>
      <c r="B15" s="1575">
        <v>4000</v>
      </c>
      <c r="C15" s="1740">
        <f>'Expenditures 15-22'!K102</f>
        <v>425959</v>
      </c>
      <c r="D15" s="1740">
        <f>'Expenditures 15-22'!K139</f>
        <v>0</v>
      </c>
      <c r="E15" s="1740">
        <f>'Expenditures 15-22'!K160</f>
        <v>0</v>
      </c>
      <c r="F15" s="1740">
        <f>'Expenditures 15-22'!K196</f>
        <v>0</v>
      </c>
      <c r="G15" s="1740">
        <f>'Expenditures 15-22'!K285</f>
        <v>3296</v>
      </c>
      <c r="H15" s="1740">
        <f>'Expenditures 15-22'!K310</f>
        <v>0</v>
      </c>
      <c r="I15" s="468" t="s">
        <v>1168</v>
      </c>
      <c r="J15" s="1832">
        <f>'Expenditures 15-22'!K334</f>
        <v>0</v>
      </c>
      <c r="K15" s="1740">
        <f>'Expenditures 15-22'!K357</f>
        <v>0</v>
      </c>
      <c r="L15" s="347"/>
    </row>
    <row r="16" spans="1:13" ht="15.75" customHeight="1" x14ac:dyDescent="0.2">
      <c r="A16" s="1573" t="s">
        <v>449</v>
      </c>
      <c r="B16" s="1575">
        <v>5000</v>
      </c>
      <c r="C16" s="1740">
        <f>'Expenditures 15-22'!K112</f>
        <v>16513</v>
      </c>
      <c r="D16" s="1740">
        <f>'Expenditures 15-22'!K149</f>
        <v>0</v>
      </c>
      <c r="E16" s="1740">
        <f>'Expenditures 15-22'!K172</f>
        <v>1022335</v>
      </c>
      <c r="F16" s="1740">
        <f>'Expenditures 15-22'!K208</f>
        <v>116036</v>
      </c>
      <c r="G16" s="1740">
        <f>'Expenditures 15-22'!K293</f>
        <v>0</v>
      </c>
      <c r="H16" s="523"/>
      <c r="I16" s="468" t="s">
        <v>1168</v>
      </c>
      <c r="J16" s="1745">
        <f>'Expenditures 15-22'!K340</f>
        <v>0</v>
      </c>
      <c r="K16" s="1740">
        <f>'Expenditures 15-22'!K365</f>
        <v>0</v>
      </c>
      <c r="L16" s="347"/>
    </row>
    <row r="17" spans="1:12" ht="13.5" thickBot="1" x14ac:dyDescent="0.25">
      <c r="A17" s="1705" t="s">
        <v>48</v>
      </c>
      <c r="B17" s="1706"/>
      <c r="C17" s="1685">
        <f t="shared" ref="C17:H17" si="2">SUM(C12:C16)</f>
        <v>5533466</v>
      </c>
      <c r="D17" s="1685">
        <f t="shared" si="2"/>
        <v>501844</v>
      </c>
      <c r="E17" s="1685">
        <f t="shared" si="2"/>
        <v>1022335</v>
      </c>
      <c r="F17" s="1685">
        <f t="shared" si="2"/>
        <v>557941</v>
      </c>
      <c r="G17" s="1685">
        <f t="shared" si="2"/>
        <v>196120</v>
      </c>
      <c r="H17" s="1685">
        <f t="shared" si="2"/>
        <v>0</v>
      </c>
      <c r="I17" s="468"/>
      <c r="J17" s="1685">
        <f>SUM(J12:J16)</f>
        <v>407786</v>
      </c>
      <c r="K17" s="1685">
        <f>SUM(K12:K16)</f>
        <v>40141</v>
      </c>
      <c r="L17" s="347"/>
    </row>
    <row r="18" spans="1:12" ht="15" customHeight="1" thickTop="1" x14ac:dyDescent="0.2">
      <c r="A18" s="1741" t="s">
        <v>1653</v>
      </c>
      <c r="B18" s="1742">
        <v>4180</v>
      </c>
      <c r="C18" s="1739">
        <f t="shared" ref="C18:H18" si="3">C9</f>
        <v>2676497</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504</v>
      </c>
      <c r="B19" s="1706"/>
      <c r="C19" s="1685">
        <f t="shared" ref="C19:H19" si="4">SUM(C17:C18)</f>
        <v>8209963</v>
      </c>
      <c r="D19" s="1685">
        <f t="shared" si="4"/>
        <v>501844</v>
      </c>
      <c r="E19" s="1685">
        <f t="shared" si="4"/>
        <v>1022335</v>
      </c>
      <c r="F19" s="1685">
        <f t="shared" si="4"/>
        <v>557941</v>
      </c>
      <c r="G19" s="1685">
        <f t="shared" si="4"/>
        <v>196120</v>
      </c>
      <c r="H19" s="1685">
        <f t="shared" si="4"/>
        <v>0</v>
      </c>
      <c r="I19" s="468"/>
      <c r="J19" s="1685">
        <f>SUM(J17:J18)</f>
        <v>407786</v>
      </c>
      <c r="K19" s="1685">
        <f>SUM(K17:K18)</f>
        <v>40141</v>
      </c>
      <c r="L19" s="347"/>
    </row>
    <row r="20" spans="1:12" ht="16.5" thickTop="1" thickBot="1" x14ac:dyDescent="0.25">
      <c r="A20" s="2135" t="s">
        <v>1654</v>
      </c>
      <c r="B20" s="2136"/>
      <c r="C20" s="1743">
        <f>C8-C17</f>
        <v>-329709</v>
      </c>
      <c r="D20" s="1743">
        <f t="shared" ref="D20:K20" si="5">D8-D17</f>
        <v>-33532</v>
      </c>
      <c r="E20" s="1743">
        <f t="shared" si="5"/>
        <v>7744</v>
      </c>
      <c r="F20" s="1743">
        <f t="shared" si="5"/>
        <v>-258758</v>
      </c>
      <c r="G20" s="1743">
        <f t="shared" si="5"/>
        <v>156859</v>
      </c>
      <c r="H20" s="1743">
        <f t="shared" si="5"/>
        <v>0</v>
      </c>
      <c r="I20" s="1743">
        <f t="shared" si="5"/>
        <v>39926</v>
      </c>
      <c r="J20" s="1743">
        <f t="shared" si="5"/>
        <v>125943</v>
      </c>
      <c r="K20" s="1743">
        <f t="shared" si="5"/>
        <v>-234</v>
      </c>
      <c r="L20" s="347"/>
    </row>
    <row r="21" spans="1:12" ht="16.7" customHeight="1" thickTop="1" x14ac:dyDescent="0.2">
      <c r="A21" s="2147" t="s">
        <v>594</v>
      </c>
      <c r="B21" s="2148"/>
      <c r="C21" s="1567"/>
      <c r="D21" s="1568"/>
      <c r="E21" s="1568"/>
      <c r="F21" s="1568"/>
      <c r="G21" s="1568"/>
      <c r="H21" s="1568"/>
      <c r="I21" s="1568"/>
      <c r="J21" s="1568"/>
      <c r="K21" s="1569"/>
      <c r="L21" s="524"/>
    </row>
    <row r="22" spans="1:12" ht="15.75" customHeight="1" collapsed="1" x14ac:dyDescent="0.2">
      <c r="A22" s="2143" t="s">
        <v>595</v>
      </c>
      <c r="B22" s="2144"/>
      <c r="C22" s="477"/>
      <c r="D22" s="477"/>
      <c r="E22" s="477"/>
      <c r="F22" s="477"/>
      <c r="G22" s="477"/>
      <c r="H22" s="477"/>
      <c r="I22" s="477"/>
      <c r="J22" s="477"/>
      <c r="K22" s="477"/>
      <c r="L22" s="347"/>
    </row>
    <row r="23" spans="1:12" s="485" customFormat="1" ht="15.75" customHeight="1" x14ac:dyDescent="0.2">
      <c r="A23" s="2139" t="s">
        <v>292</v>
      </c>
      <c r="B23" s="2140"/>
      <c r="C23" s="480"/>
      <c r="D23" s="477"/>
      <c r="E23" s="477"/>
      <c r="F23" s="477"/>
      <c r="G23" s="477"/>
      <c r="H23" s="477"/>
      <c r="I23" s="477"/>
      <c r="J23" s="477"/>
      <c r="K23" s="477"/>
      <c r="L23" s="524"/>
    </row>
    <row r="24" spans="1:12" s="485" customFormat="1" ht="13.5" customHeight="1" x14ac:dyDescent="0.2">
      <c r="A24" s="1486" t="s">
        <v>1655</v>
      </c>
      <c r="B24" s="525">
        <v>7110</v>
      </c>
      <c r="C24" s="467"/>
      <c r="D24" s="477"/>
      <c r="E24" s="477"/>
      <c r="F24" s="477"/>
      <c r="G24" s="477"/>
      <c r="H24" s="477"/>
      <c r="I24" s="477"/>
      <c r="J24" s="477"/>
      <c r="K24" s="477"/>
      <c r="L24" s="524"/>
    </row>
    <row r="25" spans="1:12" s="485" customFormat="1" ht="13.5" customHeight="1" x14ac:dyDescent="0.2">
      <c r="A25" s="1486" t="s">
        <v>1656</v>
      </c>
      <c r="B25" s="525">
        <v>7110</v>
      </c>
      <c r="C25" s="467"/>
      <c r="D25" s="467"/>
      <c r="E25" s="467"/>
      <c r="F25" s="467"/>
      <c r="G25" s="467"/>
      <c r="H25" s="467"/>
      <c r="I25" s="477"/>
      <c r="J25" s="467"/>
      <c r="K25" s="467"/>
      <c r="L25" s="524"/>
    </row>
    <row r="26" spans="1:12" s="485" customFormat="1" ht="13.5" customHeight="1" x14ac:dyDescent="0.2">
      <c r="A26" s="1486" t="s">
        <v>184</v>
      </c>
      <c r="B26" s="483">
        <v>7120</v>
      </c>
      <c r="C26" s="467"/>
      <c r="D26" s="467"/>
      <c r="E26" s="467"/>
      <c r="F26" s="467"/>
      <c r="G26" s="467"/>
      <c r="H26" s="467"/>
      <c r="I26" s="477"/>
      <c r="J26" s="467"/>
      <c r="K26" s="467"/>
      <c r="L26" s="524"/>
    </row>
    <row r="27" spans="1:12" s="485" customFormat="1" ht="13.5" customHeight="1" x14ac:dyDescent="0.2">
      <c r="A27" s="1486" t="s">
        <v>185</v>
      </c>
      <c r="B27" s="483">
        <v>7130</v>
      </c>
      <c r="C27" s="467"/>
      <c r="D27" s="467"/>
      <c r="E27" s="526"/>
      <c r="F27" s="467"/>
      <c r="G27" s="480"/>
      <c r="H27" s="480"/>
      <c r="I27" s="480"/>
      <c r="J27" s="480"/>
      <c r="K27" s="480"/>
      <c r="L27" s="524"/>
    </row>
    <row r="28" spans="1:12" s="485" customFormat="1" ht="13.5" customHeight="1" x14ac:dyDescent="0.2">
      <c r="A28" s="1486" t="s">
        <v>1397</v>
      </c>
      <c r="B28" s="483">
        <v>7140</v>
      </c>
      <c r="C28" s="467"/>
      <c r="D28" s="467"/>
      <c r="E28" s="467"/>
      <c r="F28" s="467"/>
      <c r="G28" s="467"/>
      <c r="H28" s="467"/>
      <c r="I28" s="467"/>
      <c r="J28" s="467"/>
      <c r="K28" s="467"/>
      <c r="L28" s="524"/>
    </row>
    <row r="29" spans="1:12" s="485" customFormat="1" ht="13.5" customHeight="1" x14ac:dyDescent="0.2">
      <c r="A29" s="1486" t="s">
        <v>293</v>
      </c>
      <c r="B29" s="483">
        <v>7150</v>
      </c>
      <c r="C29" s="475"/>
      <c r="D29" s="467"/>
      <c r="E29" s="475"/>
      <c r="F29" s="475"/>
      <c r="G29" s="475"/>
      <c r="H29" s="475"/>
      <c r="I29" s="475"/>
      <c r="J29" s="475"/>
      <c r="K29" s="475"/>
      <c r="L29" s="524"/>
    </row>
    <row r="30" spans="1:12" s="485" customFormat="1" ht="26.25" x14ac:dyDescent="0.2">
      <c r="A30" s="1486" t="s">
        <v>1793</v>
      </c>
      <c r="B30" s="527">
        <v>7160</v>
      </c>
      <c r="C30" s="477"/>
      <c r="D30" s="467"/>
      <c r="E30" s="477"/>
      <c r="F30" s="477"/>
      <c r="G30" s="477"/>
      <c r="H30" s="477"/>
      <c r="I30" s="477"/>
      <c r="J30" s="477"/>
      <c r="K30" s="477"/>
      <c r="L30" s="524"/>
    </row>
    <row r="31" spans="1:12" s="485" customFormat="1" ht="26.25" x14ac:dyDescent="0.2">
      <c r="A31" s="1486" t="s">
        <v>1797</v>
      </c>
      <c r="B31" s="527">
        <v>7170</v>
      </c>
      <c r="C31" s="477"/>
      <c r="D31" s="477"/>
      <c r="E31" s="474"/>
      <c r="F31" s="477"/>
      <c r="G31" s="477"/>
      <c r="H31" s="477"/>
      <c r="I31" s="477"/>
      <c r="J31" s="477"/>
      <c r="K31" s="477"/>
      <c r="L31" s="524"/>
    </row>
    <row r="32" spans="1:12" s="485" customFormat="1" ht="15.75" customHeight="1" x14ac:dyDescent="0.2">
      <c r="A32" s="2141" t="s">
        <v>980</v>
      </c>
      <c r="B32" s="2142"/>
      <c r="C32" s="477"/>
      <c r="D32" s="477"/>
      <c r="E32" s="475"/>
      <c r="F32" s="477"/>
      <c r="G32" s="477"/>
      <c r="H32" s="477"/>
      <c r="I32" s="477"/>
      <c r="J32" s="477"/>
      <c r="K32" s="477"/>
      <c r="L32" s="524"/>
    </row>
    <row r="33" spans="1:12" s="485" customFormat="1" x14ac:dyDescent="0.2">
      <c r="A33" s="1486" t="s">
        <v>411</v>
      </c>
      <c r="B33" s="525">
        <v>7210</v>
      </c>
      <c r="C33" s="467"/>
      <c r="D33" s="467"/>
      <c r="E33" s="467"/>
      <c r="F33" s="467">
        <v>230768</v>
      </c>
      <c r="G33" s="477"/>
      <c r="H33" s="467"/>
      <c r="I33" s="467"/>
      <c r="J33" s="467"/>
      <c r="K33" s="467"/>
      <c r="L33" s="524"/>
    </row>
    <row r="34" spans="1:12" s="485" customFormat="1" x14ac:dyDescent="0.2">
      <c r="A34" s="1486" t="s">
        <v>1000</v>
      </c>
      <c r="B34" s="525">
        <v>7220</v>
      </c>
      <c r="C34" s="467"/>
      <c r="D34" s="467"/>
      <c r="E34" s="467"/>
      <c r="F34" s="467"/>
      <c r="G34" s="477"/>
      <c r="H34" s="478"/>
      <c r="I34" s="478"/>
      <c r="J34" s="478"/>
      <c r="K34" s="478"/>
      <c r="L34" s="524"/>
    </row>
    <row r="35" spans="1:12" s="485" customFormat="1" x14ac:dyDescent="0.2">
      <c r="A35" s="1486" t="s">
        <v>989</v>
      </c>
      <c r="B35" s="525">
        <v>7230</v>
      </c>
      <c r="C35" s="467"/>
      <c r="D35" s="467"/>
      <c r="E35" s="467"/>
      <c r="F35" s="467"/>
      <c r="G35" s="480"/>
      <c r="H35" s="467"/>
      <c r="I35" s="467"/>
      <c r="J35" s="467"/>
      <c r="K35" s="467"/>
      <c r="L35" s="524"/>
    </row>
    <row r="36" spans="1:12" s="485" customFormat="1" ht="15" x14ac:dyDescent="0.2">
      <c r="A36" s="1486" t="s">
        <v>1657</v>
      </c>
      <c r="B36" s="525">
        <v>7300</v>
      </c>
      <c r="C36" s="467"/>
      <c r="D36" s="467"/>
      <c r="E36" s="467"/>
      <c r="F36" s="467"/>
      <c r="G36" s="467"/>
      <c r="H36" s="467"/>
      <c r="I36" s="475"/>
      <c r="J36" s="467"/>
      <c r="K36" s="467"/>
      <c r="L36" s="524"/>
    </row>
    <row r="37" spans="1:12" s="485" customFormat="1" x14ac:dyDescent="0.2">
      <c r="A37" s="1486" t="s">
        <v>440</v>
      </c>
      <c r="B37" s="525">
        <v>7400</v>
      </c>
      <c r="C37" s="475"/>
      <c r="D37" s="475"/>
      <c r="E37" s="1740">
        <f>SUM(C54:D57,H54:H57)</f>
        <v>0</v>
      </c>
      <c r="F37" s="475"/>
      <c r="G37" s="475"/>
      <c r="H37" s="475"/>
      <c r="I37" s="477"/>
      <c r="J37" s="475"/>
      <c r="K37" s="475"/>
      <c r="L37" s="524"/>
    </row>
    <row r="38" spans="1:12" s="485" customFormat="1" x14ac:dyDescent="0.2">
      <c r="A38" s="1486" t="s">
        <v>441</v>
      </c>
      <c r="B38" s="525">
        <v>7500</v>
      </c>
      <c r="C38" s="477"/>
      <c r="D38" s="477"/>
      <c r="E38" s="1740">
        <f>SUM(C58:D61,H58:H61)</f>
        <v>0</v>
      </c>
      <c r="F38" s="477"/>
      <c r="G38" s="477"/>
      <c r="H38" s="477"/>
      <c r="I38" s="477"/>
      <c r="J38" s="477"/>
      <c r="K38" s="477"/>
      <c r="L38" s="524"/>
    </row>
    <row r="39" spans="1:12" s="485" customFormat="1" x14ac:dyDescent="0.2">
      <c r="A39" s="1486" t="s">
        <v>442</v>
      </c>
      <c r="B39" s="525">
        <v>7600</v>
      </c>
      <c r="C39" s="477"/>
      <c r="D39" s="477"/>
      <c r="E39" s="1740">
        <f>SUM(C62:D65)</f>
        <v>0</v>
      </c>
      <c r="F39" s="477"/>
      <c r="G39" s="477"/>
      <c r="H39" s="477"/>
      <c r="I39" s="477"/>
      <c r="J39" s="477"/>
      <c r="K39" s="477"/>
      <c r="L39" s="524"/>
    </row>
    <row r="40" spans="1:12" s="485" customFormat="1" ht="13.5" customHeight="1" x14ac:dyDescent="0.2">
      <c r="A40" s="1486" t="s">
        <v>641</v>
      </c>
      <c r="B40" s="483">
        <v>7700</v>
      </c>
      <c r="C40" s="477"/>
      <c r="D40" s="477"/>
      <c r="E40" s="1740">
        <f>SUM(C66:D69)</f>
        <v>0</v>
      </c>
      <c r="F40" s="477"/>
      <c r="G40" s="477"/>
      <c r="H40" s="480"/>
      <c r="I40" s="477"/>
      <c r="J40" s="477"/>
      <c r="K40" s="477"/>
      <c r="L40" s="524"/>
    </row>
    <row r="41" spans="1:12" s="485" customFormat="1" ht="13.5" customHeight="1" x14ac:dyDescent="0.2">
      <c r="A41" s="1486" t="s">
        <v>639</v>
      </c>
      <c r="B41" s="483">
        <v>7800</v>
      </c>
      <c r="C41" s="480"/>
      <c r="D41" s="480"/>
      <c r="E41" s="526"/>
      <c r="F41" s="480"/>
      <c r="G41" s="480"/>
      <c r="H41" s="1740">
        <f>SUM(C70:D73)</f>
        <v>0</v>
      </c>
      <c r="I41" s="477"/>
      <c r="J41" s="477"/>
      <c r="K41" s="480"/>
      <c r="L41" s="524"/>
    </row>
    <row r="42" spans="1:12" s="485" customFormat="1" ht="13.5" customHeight="1" x14ac:dyDescent="0.2">
      <c r="A42" s="1486" t="s">
        <v>640</v>
      </c>
      <c r="B42" s="483">
        <v>7900</v>
      </c>
      <c r="C42" s="467"/>
      <c r="D42" s="467"/>
      <c r="E42" s="467"/>
      <c r="F42" s="467"/>
      <c r="G42" s="467"/>
      <c r="H42" s="467"/>
      <c r="I42" s="480"/>
      <c r="J42" s="480"/>
      <c r="K42" s="467"/>
      <c r="L42" s="524"/>
    </row>
    <row r="43" spans="1:12" s="485" customFormat="1" ht="13.5" customHeight="1" x14ac:dyDescent="0.2">
      <c r="A43" s="1486" t="s">
        <v>372</v>
      </c>
      <c r="B43" s="483">
        <v>7990</v>
      </c>
      <c r="C43" s="467"/>
      <c r="D43" s="467"/>
      <c r="E43" s="467"/>
      <c r="F43" s="467"/>
      <c r="G43" s="467"/>
      <c r="H43" s="467"/>
      <c r="I43" s="467"/>
      <c r="J43" s="467"/>
      <c r="K43" s="467"/>
      <c r="L43" s="524"/>
    </row>
    <row r="44" spans="1:12" s="485" customFormat="1" ht="13.5" customHeight="1" thickBot="1" x14ac:dyDescent="0.25">
      <c r="A44" s="2149" t="s">
        <v>373</v>
      </c>
      <c r="B44" s="2150"/>
      <c r="C44" s="1700">
        <f>SUM(C24:C43)</f>
        <v>0</v>
      </c>
      <c r="D44" s="1700">
        <f t="shared" ref="D44:K44" si="6">SUM(D24:D43)</f>
        <v>0</v>
      </c>
      <c r="E44" s="1700">
        <f t="shared" si="6"/>
        <v>0</v>
      </c>
      <c r="F44" s="1700">
        <f t="shared" si="6"/>
        <v>230768</v>
      </c>
      <c r="G44" s="1700">
        <f t="shared" si="6"/>
        <v>0</v>
      </c>
      <c r="H44" s="1700">
        <f t="shared" si="6"/>
        <v>0</v>
      </c>
      <c r="I44" s="1700">
        <f t="shared" si="6"/>
        <v>0</v>
      </c>
      <c r="J44" s="1700">
        <f t="shared" si="6"/>
        <v>0</v>
      </c>
      <c r="K44" s="1700">
        <f t="shared" si="6"/>
        <v>0</v>
      </c>
      <c r="L44" s="524"/>
    </row>
    <row r="45" spans="1:12" ht="15.75" customHeight="1" thickTop="1" x14ac:dyDescent="0.2">
      <c r="A45" s="2143" t="s">
        <v>108</v>
      </c>
      <c r="B45" s="2144"/>
      <c r="C45" s="528"/>
      <c r="D45" s="528"/>
      <c r="E45" s="528"/>
      <c r="F45" s="528"/>
      <c r="G45" s="528"/>
      <c r="H45" s="528"/>
      <c r="I45" s="528"/>
      <c r="J45" s="528"/>
      <c r="K45" s="528"/>
      <c r="L45" s="347"/>
    </row>
    <row r="46" spans="1:12" s="485" customFormat="1" ht="15.75" customHeight="1" x14ac:dyDescent="0.2">
      <c r="A46" s="2151" t="s">
        <v>109</v>
      </c>
      <c r="B46" s="2152"/>
      <c r="C46" s="477"/>
      <c r="D46" s="477"/>
      <c r="E46" s="477"/>
      <c r="F46" s="477"/>
      <c r="G46" s="477"/>
      <c r="H46" s="477"/>
      <c r="I46" s="480"/>
      <c r="J46" s="477"/>
      <c r="K46" s="477"/>
      <c r="L46" s="529"/>
    </row>
    <row r="47" spans="1:12" s="485" customFormat="1" ht="15" x14ac:dyDescent="0.2">
      <c r="A47" s="1487" t="s">
        <v>1658</v>
      </c>
      <c r="B47" s="483">
        <v>8110</v>
      </c>
      <c r="C47" s="477"/>
      <c r="D47" s="477"/>
      <c r="E47" s="477"/>
      <c r="F47" s="477"/>
      <c r="G47" s="477"/>
      <c r="H47" s="477"/>
      <c r="I47" s="1740">
        <f>SUM(C24,C25:H25,J25:K25)</f>
        <v>0</v>
      </c>
      <c r="J47" s="477"/>
      <c r="K47" s="477"/>
      <c r="L47" s="529"/>
    </row>
    <row r="48" spans="1:12" s="485" customFormat="1" ht="15" x14ac:dyDescent="0.2">
      <c r="A48" s="1487" t="s">
        <v>1659</v>
      </c>
      <c r="B48" s="483">
        <v>8120</v>
      </c>
      <c r="C48" s="480"/>
      <c r="D48" s="480"/>
      <c r="E48" s="477"/>
      <c r="F48" s="480"/>
      <c r="G48" s="477"/>
      <c r="H48" s="477"/>
      <c r="I48" s="1740">
        <f>SUM(C26:H26,J26,K26)</f>
        <v>0</v>
      </c>
      <c r="J48" s="477"/>
      <c r="K48" s="477"/>
      <c r="L48" s="529"/>
    </row>
    <row r="49" spans="1:12" s="485" customFormat="1" x14ac:dyDescent="0.2">
      <c r="A49" s="1487" t="s">
        <v>185</v>
      </c>
      <c r="B49" s="483">
        <v>8130</v>
      </c>
      <c r="C49" s="467"/>
      <c r="D49" s="467"/>
      <c r="E49" s="480"/>
      <c r="F49" s="467"/>
      <c r="G49" s="480"/>
      <c r="H49" s="480"/>
      <c r="I49" s="477"/>
      <c r="J49" s="480"/>
      <c r="K49" s="477"/>
      <c r="L49" s="524"/>
    </row>
    <row r="50" spans="1:12" s="485" customFormat="1" x14ac:dyDescent="0.2">
      <c r="A50" s="1487" t="s">
        <v>1397</v>
      </c>
      <c r="B50" s="483">
        <v>8140</v>
      </c>
      <c r="C50" s="467"/>
      <c r="D50" s="467"/>
      <c r="E50" s="467"/>
      <c r="F50" s="467"/>
      <c r="G50" s="467"/>
      <c r="H50" s="467"/>
      <c r="I50" s="477"/>
      <c r="J50" s="467"/>
      <c r="K50" s="477"/>
      <c r="L50" s="524"/>
    </row>
    <row r="51" spans="1:12" s="485" customFormat="1" x14ac:dyDescent="0.2">
      <c r="A51" s="1487" t="s">
        <v>293</v>
      </c>
      <c r="B51" s="483">
        <v>8150</v>
      </c>
      <c r="C51" s="475"/>
      <c r="D51" s="475"/>
      <c r="E51" s="475"/>
      <c r="F51" s="475"/>
      <c r="G51" s="475"/>
      <c r="H51" s="1740">
        <f>SUM(D29)</f>
        <v>0</v>
      </c>
      <c r="I51" s="477"/>
      <c r="J51" s="475"/>
      <c r="K51" s="480"/>
      <c r="L51" s="524"/>
    </row>
    <row r="52" spans="1:12" s="485" customFormat="1" ht="26.25" x14ac:dyDescent="0.2">
      <c r="A52" s="1487" t="s">
        <v>1796</v>
      </c>
      <c r="B52" s="483">
        <v>8160</v>
      </c>
      <c r="C52" s="477"/>
      <c r="D52" s="477"/>
      <c r="E52" s="477"/>
      <c r="F52" s="477"/>
      <c r="G52" s="477"/>
      <c r="H52" s="477"/>
      <c r="I52" s="477"/>
      <c r="J52" s="477"/>
      <c r="K52" s="1740">
        <f>D30</f>
        <v>0</v>
      </c>
      <c r="L52" s="524"/>
    </row>
    <row r="53" spans="1:12" s="485" customFormat="1" ht="26.25" x14ac:dyDescent="0.2">
      <c r="A53" s="1487" t="s">
        <v>1795</v>
      </c>
      <c r="B53" s="483">
        <v>8170</v>
      </c>
      <c r="C53" s="480"/>
      <c r="D53" s="480"/>
      <c r="E53" s="477"/>
      <c r="F53" s="477"/>
      <c r="G53" s="477"/>
      <c r="H53" s="480"/>
      <c r="I53" s="477"/>
      <c r="J53" s="477"/>
      <c r="K53" s="1740">
        <f>E31</f>
        <v>0</v>
      </c>
      <c r="L53" s="524"/>
    </row>
    <row r="54" spans="1:12" s="485" customFormat="1" ht="13.5" thickBot="1" x14ac:dyDescent="0.25">
      <c r="A54" s="1487" t="s">
        <v>691</v>
      </c>
      <c r="B54" s="483">
        <v>8410</v>
      </c>
      <c r="C54" s="530"/>
      <c r="D54" s="530"/>
      <c r="E54" s="477"/>
      <c r="F54" s="477"/>
      <c r="G54" s="477"/>
      <c r="H54" s="530"/>
      <c r="I54" s="477"/>
      <c r="J54" s="477"/>
      <c r="K54" s="475"/>
      <c r="L54" s="524"/>
    </row>
    <row r="55" spans="1:12" s="485" customFormat="1" ht="14.25" thickTop="1" thickBot="1" x14ac:dyDescent="0.25">
      <c r="A55" s="1488" t="s">
        <v>692</v>
      </c>
      <c r="B55" s="483">
        <v>8420</v>
      </c>
      <c r="C55" s="531"/>
      <c r="D55" s="531"/>
      <c r="E55" s="477"/>
      <c r="F55" s="477"/>
      <c r="G55" s="477"/>
      <c r="H55" s="530"/>
      <c r="I55" s="477"/>
      <c r="J55" s="477"/>
      <c r="K55" s="477"/>
      <c r="L55" s="524"/>
    </row>
    <row r="56" spans="1:12" s="485" customFormat="1" ht="14.25" thickTop="1" thickBot="1" x14ac:dyDescent="0.25">
      <c r="A56" s="1487" t="s">
        <v>580</v>
      </c>
      <c r="B56" s="483">
        <v>8430</v>
      </c>
      <c r="C56" s="531"/>
      <c r="D56" s="531"/>
      <c r="E56" s="477"/>
      <c r="F56" s="477"/>
      <c r="G56" s="477"/>
      <c r="H56" s="530"/>
      <c r="I56" s="477"/>
      <c r="J56" s="477"/>
      <c r="K56" s="477"/>
      <c r="L56" s="524"/>
    </row>
    <row r="57" spans="1:12" s="485" customFormat="1" ht="14.25" thickTop="1" thickBot="1" x14ac:dyDescent="0.25">
      <c r="A57" s="1488" t="s">
        <v>577</v>
      </c>
      <c r="B57" s="483">
        <v>8440</v>
      </c>
      <c r="C57" s="531"/>
      <c r="D57" s="531"/>
      <c r="E57" s="477"/>
      <c r="F57" s="477"/>
      <c r="G57" s="477"/>
      <c r="H57" s="530"/>
      <c r="I57" s="477"/>
      <c r="J57" s="477"/>
      <c r="K57" s="477"/>
      <c r="L57" s="524"/>
    </row>
    <row r="58" spans="1:12" s="485" customFormat="1" ht="14.25" thickTop="1" thickBot="1" x14ac:dyDescent="0.25">
      <c r="A58" s="1487" t="s">
        <v>578</v>
      </c>
      <c r="B58" s="483">
        <v>8510</v>
      </c>
      <c r="C58" s="531"/>
      <c r="D58" s="531"/>
      <c r="E58" s="477"/>
      <c r="F58" s="477"/>
      <c r="G58" s="477"/>
      <c r="H58" s="530"/>
      <c r="I58" s="477"/>
      <c r="J58" s="477"/>
      <c r="K58" s="477"/>
      <c r="L58" s="524"/>
    </row>
    <row r="59" spans="1:12" s="485" customFormat="1" ht="14.25" thickTop="1" thickBot="1" x14ac:dyDescent="0.25">
      <c r="A59" s="1489" t="s">
        <v>693</v>
      </c>
      <c r="B59" s="483">
        <v>8520</v>
      </c>
      <c r="C59" s="531"/>
      <c r="D59" s="531"/>
      <c r="E59" s="477"/>
      <c r="F59" s="477"/>
      <c r="G59" s="477"/>
      <c r="H59" s="530"/>
      <c r="I59" s="477"/>
      <c r="J59" s="477"/>
      <c r="K59" s="477"/>
      <c r="L59" s="524"/>
    </row>
    <row r="60" spans="1:12" s="485" customFormat="1" ht="14.25" thickTop="1" thickBot="1" x14ac:dyDescent="0.25">
      <c r="A60" s="1487" t="s">
        <v>579</v>
      </c>
      <c r="B60" s="483">
        <v>8530</v>
      </c>
      <c r="C60" s="531"/>
      <c r="D60" s="531"/>
      <c r="E60" s="477"/>
      <c r="F60" s="477"/>
      <c r="G60" s="477"/>
      <c r="H60" s="530"/>
      <c r="I60" s="477"/>
      <c r="J60" s="477"/>
      <c r="K60" s="477"/>
      <c r="L60" s="524"/>
    </row>
    <row r="61" spans="1:12" s="485" customFormat="1" ht="14.25" thickTop="1" thickBot="1" x14ac:dyDescent="0.25">
      <c r="A61" s="1488" t="s">
        <v>742</v>
      </c>
      <c r="B61" s="483">
        <v>8540</v>
      </c>
      <c r="C61" s="531"/>
      <c r="D61" s="531"/>
      <c r="E61" s="477"/>
      <c r="F61" s="477"/>
      <c r="G61" s="477"/>
      <c r="H61" s="530"/>
      <c r="I61" s="477"/>
      <c r="J61" s="477"/>
      <c r="K61" s="477"/>
      <c r="L61" s="524"/>
    </row>
    <row r="62" spans="1:12" s="485" customFormat="1" ht="13.5" customHeight="1" thickTop="1" thickBot="1" x14ac:dyDescent="0.25">
      <c r="A62" s="1487" t="s">
        <v>743</v>
      </c>
      <c r="B62" s="483">
        <v>8610</v>
      </c>
      <c r="C62" s="531"/>
      <c r="D62" s="531"/>
      <c r="E62" s="477"/>
      <c r="F62" s="477"/>
      <c r="G62" s="477"/>
      <c r="H62" s="477"/>
      <c r="I62" s="477"/>
      <c r="J62" s="477"/>
      <c r="K62" s="477"/>
      <c r="L62" s="524"/>
    </row>
    <row r="63" spans="1:12" s="485" customFormat="1" ht="14.25" thickTop="1" thickBot="1" x14ac:dyDescent="0.25">
      <c r="A63" s="1488" t="s">
        <v>694</v>
      </c>
      <c r="B63" s="483">
        <v>8620</v>
      </c>
      <c r="C63" s="531"/>
      <c r="D63" s="531"/>
      <c r="E63" s="477"/>
      <c r="F63" s="477"/>
      <c r="G63" s="477"/>
      <c r="H63" s="477"/>
      <c r="I63" s="477"/>
      <c r="J63" s="477"/>
      <c r="K63" s="477"/>
      <c r="L63" s="524"/>
    </row>
    <row r="64" spans="1:12" s="485" customFormat="1" ht="13.5" customHeight="1" thickTop="1" thickBot="1" x14ac:dyDescent="0.25">
      <c r="A64" s="1487" t="s">
        <v>744</v>
      </c>
      <c r="B64" s="483">
        <v>8630</v>
      </c>
      <c r="C64" s="531"/>
      <c r="D64" s="531"/>
      <c r="E64" s="477"/>
      <c r="F64" s="477"/>
      <c r="G64" s="477"/>
      <c r="H64" s="477"/>
      <c r="I64" s="477"/>
      <c r="J64" s="477"/>
      <c r="K64" s="477"/>
      <c r="L64" s="524"/>
    </row>
    <row r="65" spans="1:12" s="485" customFormat="1" ht="14.25" thickTop="1" thickBot="1" x14ac:dyDescent="0.25">
      <c r="A65" s="1488" t="s">
        <v>745</v>
      </c>
      <c r="B65" s="483">
        <v>8640</v>
      </c>
      <c r="C65" s="531"/>
      <c r="D65" s="531"/>
      <c r="E65" s="477"/>
      <c r="F65" s="477"/>
      <c r="G65" s="477"/>
      <c r="H65" s="477"/>
      <c r="I65" s="477"/>
      <c r="J65" s="477"/>
      <c r="K65" s="477"/>
      <c r="L65" s="524"/>
    </row>
    <row r="66" spans="1:12" s="485" customFormat="1" ht="14.25" thickTop="1" thickBot="1" x14ac:dyDescent="0.25">
      <c r="A66" s="1487" t="s">
        <v>746</v>
      </c>
      <c r="B66" s="483">
        <v>8710</v>
      </c>
      <c r="C66" s="531"/>
      <c r="D66" s="531"/>
      <c r="E66" s="477"/>
      <c r="F66" s="477"/>
      <c r="G66" s="477"/>
      <c r="H66" s="477"/>
      <c r="I66" s="477"/>
      <c r="J66" s="477"/>
      <c r="K66" s="477"/>
      <c r="L66" s="524"/>
    </row>
    <row r="67" spans="1:12" s="485" customFormat="1" ht="14.25" thickTop="1" thickBot="1" x14ac:dyDescent="0.25">
      <c r="A67" s="1488" t="s">
        <v>695</v>
      </c>
      <c r="B67" s="483">
        <v>8720</v>
      </c>
      <c r="C67" s="531"/>
      <c r="D67" s="531"/>
      <c r="E67" s="477"/>
      <c r="F67" s="477"/>
      <c r="G67" s="477"/>
      <c r="H67" s="477"/>
      <c r="I67" s="477"/>
      <c r="J67" s="477"/>
      <c r="K67" s="477"/>
      <c r="L67" s="524"/>
    </row>
    <row r="68" spans="1:12" s="485" customFormat="1" ht="14.25" thickTop="1" thickBot="1" x14ac:dyDescent="0.25">
      <c r="A68" s="1489" t="s">
        <v>747</v>
      </c>
      <c r="B68" s="483">
        <v>8730</v>
      </c>
      <c r="C68" s="531"/>
      <c r="D68" s="531"/>
      <c r="E68" s="477"/>
      <c r="F68" s="477"/>
      <c r="G68" s="477"/>
      <c r="H68" s="477"/>
      <c r="I68" s="477"/>
      <c r="J68" s="477"/>
      <c r="K68" s="477"/>
      <c r="L68" s="524"/>
    </row>
    <row r="69" spans="1:12" s="485" customFormat="1" ht="14.25" thickTop="1" thickBot="1" x14ac:dyDescent="0.25">
      <c r="A69" s="1488" t="s">
        <v>748</v>
      </c>
      <c r="B69" s="483">
        <v>8740</v>
      </c>
      <c r="C69" s="531"/>
      <c r="D69" s="531"/>
      <c r="E69" s="477"/>
      <c r="F69" s="477"/>
      <c r="G69" s="477"/>
      <c r="H69" s="477"/>
      <c r="I69" s="477"/>
      <c r="J69" s="477"/>
      <c r="K69" s="477"/>
      <c r="L69" s="524"/>
    </row>
    <row r="70" spans="1:12" s="485" customFormat="1" ht="14.25" thickTop="1" thickBot="1" x14ac:dyDescent="0.25">
      <c r="A70" s="1487" t="s">
        <v>749</v>
      </c>
      <c r="B70" s="483">
        <v>8810</v>
      </c>
      <c r="C70" s="531"/>
      <c r="D70" s="531"/>
      <c r="E70" s="477"/>
      <c r="F70" s="477"/>
      <c r="G70" s="477"/>
      <c r="H70" s="477"/>
      <c r="I70" s="477"/>
      <c r="J70" s="477"/>
      <c r="K70" s="477"/>
      <c r="L70" s="524"/>
    </row>
    <row r="71" spans="1:12" s="485" customFormat="1" ht="14.25" thickTop="1" thickBot="1" x14ac:dyDescent="0.25">
      <c r="A71" s="1487" t="s">
        <v>753</v>
      </c>
      <c r="B71" s="483">
        <v>8820</v>
      </c>
      <c r="C71" s="531"/>
      <c r="D71" s="531"/>
      <c r="E71" s="477"/>
      <c r="F71" s="477"/>
      <c r="G71" s="477"/>
      <c r="H71" s="477"/>
      <c r="I71" s="477"/>
      <c r="J71" s="477"/>
      <c r="K71" s="477"/>
      <c r="L71" s="524"/>
    </row>
    <row r="72" spans="1:12" s="485" customFormat="1" ht="14.25" thickTop="1" thickBot="1" x14ac:dyDescent="0.25">
      <c r="A72" s="1487" t="s">
        <v>750</v>
      </c>
      <c r="B72" s="483">
        <v>8830</v>
      </c>
      <c r="C72" s="531"/>
      <c r="D72" s="531"/>
      <c r="E72" s="477"/>
      <c r="F72" s="477"/>
      <c r="G72" s="477"/>
      <c r="H72" s="477"/>
      <c r="I72" s="477"/>
      <c r="J72" s="477"/>
      <c r="K72" s="477"/>
      <c r="L72" s="524"/>
    </row>
    <row r="73" spans="1:12" s="485" customFormat="1" ht="14.25" thickTop="1" thickBot="1" x14ac:dyDescent="0.25">
      <c r="A73" s="1487" t="s">
        <v>751</v>
      </c>
      <c r="B73" s="483">
        <v>8840</v>
      </c>
      <c r="C73" s="531"/>
      <c r="D73" s="531"/>
      <c r="E73" s="477"/>
      <c r="F73" s="477"/>
      <c r="G73" s="477"/>
      <c r="H73" s="477"/>
      <c r="I73" s="477"/>
      <c r="J73" s="477"/>
      <c r="K73" s="480"/>
      <c r="L73" s="524"/>
    </row>
    <row r="74" spans="1:12" s="485" customFormat="1" ht="14.25" thickTop="1" thickBot="1" x14ac:dyDescent="0.25">
      <c r="A74" s="1487" t="s">
        <v>374</v>
      </c>
      <c r="B74" s="483">
        <v>8910</v>
      </c>
      <c r="C74" s="531"/>
      <c r="D74" s="531"/>
      <c r="E74" s="480"/>
      <c r="F74" s="530"/>
      <c r="G74" s="530"/>
      <c r="H74" s="530"/>
      <c r="I74" s="480"/>
      <c r="J74" s="480"/>
      <c r="K74" s="530"/>
      <c r="L74" s="524"/>
    </row>
    <row r="75" spans="1:12" s="485" customFormat="1" ht="14.25" thickTop="1" thickBot="1" x14ac:dyDescent="0.25">
      <c r="A75" s="1490" t="s">
        <v>438</v>
      </c>
      <c r="B75" s="483">
        <v>8990</v>
      </c>
      <c r="C75" s="531"/>
      <c r="D75" s="531"/>
      <c r="E75" s="530"/>
      <c r="F75" s="532"/>
      <c r="G75" s="532"/>
      <c r="H75" s="532"/>
      <c r="I75" s="530"/>
      <c r="J75" s="530"/>
      <c r="K75" s="532"/>
      <c r="L75" s="524"/>
    </row>
    <row r="76" spans="1:12" s="485" customFormat="1" ht="14.25" thickTop="1" thickBot="1" x14ac:dyDescent="0.25">
      <c r="A76" s="2125" t="s">
        <v>439</v>
      </c>
      <c r="B76" s="2126"/>
      <c r="C76" s="1700">
        <f t="shared" ref="C76:K76" si="7">SUM(C47:C75)</f>
        <v>0</v>
      </c>
      <c r="D76" s="1700">
        <f t="shared" si="7"/>
        <v>0</v>
      </c>
      <c r="E76" s="1700">
        <f t="shared" si="7"/>
        <v>0</v>
      </c>
      <c r="F76" s="1700">
        <f t="shared" si="7"/>
        <v>0</v>
      </c>
      <c r="G76" s="1700">
        <f t="shared" si="7"/>
        <v>0</v>
      </c>
      <c r="H76" s="1700">
        <f t="shared" si="7"/>
        <v>0</v>
      </c>
      <c r="I76" s="1700">
        <f t="shared" si="7"/>
        <v>0</v>
      </c>
      <c r="J76" s="1700">
        <f t="shared" si="7"/>
        <v>0</v>
      </c>
      <c r="K76" s="1700">
        <f t="shared" si="7"/>
        <v>0</v>
      </c>
      <c r="L76" s="524"/>
    </row>
    <row r="77" spans="1:12" ht="14.25" thickTop="1" thickBot="1" x14ac:dyDescent="0.25">
      <c r="A77" s="2127" t="s">
        <v>1176</v>
      </c>
      <c r="B77" s="2128"/>
      <c r="C77" s="1700">
        <f t="shared" ref="C77:K77" si="8">C44-C76</f>
        <v>0</v>
      </c>
      <c r="D77" s="1700">
        <f t="shared" si="8"/>
        <v>0</v>
      </c>
      <c r="E77" s="1700">
        <f t="shared" si="8"/>
        <v>0</v>
      </c>
      <c r="F77" s="1700">
        <f t="shared" si="8"/>
        <v>230768</v>
      </c>
      <c r="G77" s="1700">
        <f t="shared" si="8"/>
        <v>0</v>
      </c>
      <c r="H77" s="1700">
        <f t="shared" si="8"/>
        <v>0</v>
      </c>
      <c r="I77" s="1700">
        <f t="shared" si="8"/>
        <v>0</v>
      </c>
      <c r="J77" s="1700">
        <f t="shared" si="8"/>
        <v>0</v>
      </c>
      <c r="K77" s="1700">
        <f t="shared" si="8"/>
        <v>0</v>
      </c>
      <c r="L77" s="347"/>
    </row>
    <row r="78" spans="1:12" ht="21.75" customHeight="1" thickTop="1" thickBot="1" x14ac:dyDescent="0.25">
      <c r="A78" s="2131" t="s">
        <v>596</v>
      </c>
      <c r="B78" s="2132"/>
      <c r="C78" s="1699">
        <f t="shared" ref="C78:K78" si="9">C20+C77</f>
        <v>-329709</v>
      </c>
      <c r="D78" s="1699">
        <f t="shared" si="9"/>
        <v>-33532</v>
      </c>
      <c r="E78" s="1699">
        <f t="shared" si="9"/>
        <v>7744</v>
      </c>
      <c r="F78" s="1699">
        <f t="shared" si="9"/>
        <v>-27990</v>
      </c>
      <c r="G78" s="1699">
        <f t="shared" si="9"/>
        <v>156859</v>
      </c>
      <c r="H78" s="1699">
        <f t="shared" si="9"/>
        <v>0</v>
      </c>
      <c r="I78" s="1699">
        <f t="shared" si="9"/>
        <v>39926</v>
      </c>
      <c r="J78" s="1699">
        <f t="shared" si="9"/>
        <v>125943</v>
      </c>
      <c r="K78" s="1699">
        <f t="shared" si="9"/>
        <v>-234</v>
      </c>
      <c r="L78" s="533"/>
    </row>
    <row r="79" spans="1:12" ht="13.5" thickTop="1" x14ac:dyDescent="0.2">
      <c r="A79" s="1491" t="s">
        <v>1948</v>
      </c>
      <c r="B79" s="534"/>
      <c r="C79" s="478">
        <v>-545360</v>
      </c>
      <c r="D79" s="535">
        <v>-66468</v>
      </c>
      <c r="E79" s="535">
        <v>500025</v>
      </c>
      <c r="F79" s="535">
        <v>242839</v>
      </c>
      <c r="G79" s="535">
        <v>716112</v>
      </c>
      <c r="H79" s="535">
        <v>-1453865</v>
      </c>
      <c r="I79" s="535">
        <v>2065334</v>
      </c>
      <c r="J79" s="535">
        <v>1015801</v>
      </c>
      <c r="K79" s="535">
        <v>234</v>
      </c>
      <c r="L79" s="347"/>
    </row>
    <row r="80" spans="1:12" x14ac:dyDescent="0.2">
      <c r="A80" s="2137" t="s">
        <v>1794</v>
      </c>
      <c r="B80" s="2138"/>
      <c r="C80" s="467"/>
      <c r="D80" s="467"/>
      <c r="E80" s="467"/>
      <c r="F80" s="467"/>
      <c r="G80" s="467"/>
      <c r="H80" s="467"/>
      <c r="I80" s="467"/>
      <c r="J80" s="467"/>
      <c r="K80" s="467"/>
      <c r="L80" s="347"/>
    </row>
    <row r="81" spans="1:12" ht="13.5" thickBot="1" x14ac:dyDescent="0.25">
      <c r="A81" s="2129" t="s">
        <v>1949</v>
      </c>
      <c r="B81" s="2130"/>
      <c r="C81" s="1685">
        <f>(SUM(C78:C80))</f>
        <v>-875069</v>
      </c>
      <c r="D81" s="1685">
        <f>SUM(D78:D80)</f>
        <v>-100000</v>
      </c>
      <c r="E81" s="1685">
        <f t="shared" ref="E81:K81" si="10">SUM(E78:E80)</f>
        <v>507769</v>
      </c>
      <c r="F81" s="1685">
        <f t="shared" si="10"/>
        <v>214849</v>
      </c>
      <c r="G81" s="1685">
        <f t="shared" si="10"/>
        <v>872971</v>
      </c>
      <c r="H81" s="1685">
        <f t="shared" si="10"/>
        <v>-1453865</v>
      </c>
      <c r="I81" s="1685">
        <f t="shared" si="10"/>
        <v>2105260</v>
      </c>
      <c r="J81" s="1685">
        <f t="shared" si="10"/>
        <v>1141744</v>
      </c>
      <c r="K81" s="1685">
        <f t="shared" si="10"/>
        <v>0</v>
      </c>
      <c r="L81" s="347"/>
    </row>
    <row r="82" spans="1:12" ht="0.75" customHeight="1" thickTop="1" thickBot="1" x14ac:dyDescent="0.25">
      <c r="A82" s="536" t="s">
        <v>342</v>
      </c>
      <c r="B82" s="537"/>
      <c r="C82" s="538">
        <f>(C81-C79)</f>
        <v>-329709</v>
      </c>
      <c r="D82" s="538">
        <f t="shared" ref="D82:K82" si="11">(D81-D79)</f>
        <v>-33532</v>
      </c>
      <c r="E82" s="538">
        <f t="shared" si="11"/>
        <v>7744</v>
      </c>
      <c r="F82" s="538">
        <f t="shared" si="11"/>
        <v>-27990</v>
      </c>
      <c r="G82" s="538">
        <f t="shared" si="11"/>
        <v>156859</v>
      </c>
      <c r="H82" s="538">
        <f t="shared" si="11"/>
        <v>0</v>
      </c>
      <c r="I82" s="538">
        <f t="shared" si="11"/>
        <v>39926</v>
      </c>
      <c r="J82" s="538">
        <f t="shared" si="11"/>
        <v>125943</v>
      </c>
      <c r="K82" s="538">
        <f t="shared" si="11"/>
        <v>-234</v>
      </c>
    </row>
    <row r="83" spans="1:12" ht="14.25" hidden="1" thickTop="1" thickBot="1" x14ac:dyDescent="0.25">
      <c r="A83" s="539" t="s">
        <v>343</v>
      </c>
      <c r="B83" s="464"/>
      <c r="C83" s="540">
        <f>C82/C81</f>
        <v>0.37678057387474589</v>
      </c>
      <c r="D83" s="540">
        <f t="shared" ref="D83:K83" si="12">D82/D81</f>
        <v>0.33532000000000001</v>
      </c>
      <c r="E83" s="540">
        <f t="shared" si="12"/>
        <v>1.5251029503573476E-2</v>
      </c>
      <c r="F83" s="540">
        <f t="shared" si="12"/>
        <v>-0.13027754376329423</v>
      </c>
      <c r="G83" s="540">
        <f t="shared" si="12"/>
        <v>0.17968409030769636</v>
      </c>
      <c r="H83" s="540">
        <f t="shared" si="12"/>
        <v>0</v>
      </c>
      <c r="I83" s="540">
        <f t="shared" si="12"/>
        <v>1.896487844731767E-2</v>
      </c>
      <c r="J83" s="540">
        <f t="shared" si="12"/>
        <v>0.11030756456788912</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&amp;L&amp;8See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50" activePane="bottomLeft" state="frozen"/>
      <selection pane="bottomLeft" activeCell="C264" sqref="C264"/>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3" t="s">
        <v>1801</v>
      </c>
      <c r="B1" s="452"/>
      <c r="C1" s="453" t="s">
        <v>424</v>
      </c>
      <c r="D1" s="453" t="s">
        <v>425</v>
      </c>
      <c r="E1" s="453" t="s">
        <v>426</v>
      </c>
      <c r="F1" s="453" t="s">
        <v>427</v>
      </c>
      <c r="G1" s="453" t="s">
        <v>428</v>
      </c>
      <c r="H1" s="453" t="s">
        <v>429</v>
      </c>
      <c r="I1" s="453" t="s">
        <v>430</v>
      </c>
      <c r="J1" s="453" t="s">
        <v>431</v>
      </c>
      <c r="K1" s="453" t="s">
        <v>755</v>
      </c>
    </row>
    <row r="2" spans="1:12" ht="36" x14ac:dyDescent="0.2">
      <c r="A2" s="2134"/>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378</v>
      </c>
      <c r="B4" s="1588">
        <v>1100</v>
      </c>
      <c r="C4" s="543"/>
      <c r="D4" s="543"/>
      <c r="E4" s="543"/>
      <c r="F4" s="544"/>
      <c r="G4" s="545"/>
      <c r="H4" s="546"/>
      <c r="I4" s="546"/>
      <c r="J4" s="546"/>
      <c r="K4" s="546"/>
    </row>
    <row r="5" spans="1:12" ht="15" x14ac:dyDescent="0.2">
      <c r="A5" s="493" t="s">
        <v>1660</v>
      </c>
      <c r="B5" s="547"/>
      <c r="C5" s="481">
        <v>2545843</v>
      </c>
      <c r="D5" s="481">
        <v>399034</v>
      </c>
      <c r="E5" s="466">
        <v>1029904</v>
      </c>
      <c r="F5" s="548">
        <v>159615</v>
      </c>
      <c r="G5" s="466">
        <v>156352</v>
      </c>
      <c r="H5" s="466"/>
      <c r="I5" s="466">
        <v>39901</v>
      </c>
      <c r="J5" s="467">
        <v>532397</v>
      </c>
      <c r="K5" s="466">
        <v>39901</v>
      </c>
    </row>
    <row r="6" spans="1:12" ht="15" x14ac:dyDescent="0.2">
      <c r="A6" s="463" t="s">
        <v>1661</v>
      </c>
      <c r="B6" s="470">
        <v>1130</v>
      </c>
      <c r="C6" s="466">
        <v>23646</v>
      </c>
      <c r="D6" s="466"/>
      <c r="E6" s="475"/>
      <c r="F6" s="475"/>
      <c r="G6" s="468"/>
      <c r="H6" s="468"/>
      <c r="I6" s="468"/>
      <c r="J6" s="468"/>
      <c r="K6" s="468"/>
    </row>
    <row r="7" spans="1:12" x14ac:dyDescent="0.2">
      <c r="A7" s="463" t="s">
        <v>110</v>
      </c>
      <c r="B7" s="549">
        <v>1140</v>
      </c>
      <c r="C7" s="466">
        <v>31925</v>
      </c>
      <c r="D7" s="466"/>
      <c r="E7" s="468"/>
      <c r="F7" s="467"/>
      <c r="G7" s="467"/>
      <c r="H7" s="467"/>
      <c r="I7" s="468"/>
      <c r="J7" s="468"/>
      <c r="K7" s="468"/>
    </row>
    <row r="8" spans="1:12" x14ac:dyDescent="0.2">
      <c r="A8" s="463" t="s">
        <v>412</v>
      </c>
      <c r="B8" s="470">
        <v>1150</v>
      </c>
      <c r="C8" s="475"/>
      <c r="D8" s="475"/>
      <c r="E8" s="477"/>
      <c r="F8" s="477"/>
      <c r="G8" s="481">
        <v>193622</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702" t="s">
        <v>29</v>
      </c>
      <c r="B12" s="1703"/>
      <c r="C12" s="1704">
        <f t="shared" ref="C12:K12" si="0">SUM(C5:C11)</f>
        <v>2601414</v>
      </c>
      <c r="D12" s="1704">
        <f t="shared" si="0"/>
        <v>399034</v>
      </c>
      <c r="E12" s="1704">
        <f t="shared" si="0"/>
        <v>1029904</v>
      </c>
      <c r="F12" s="1704">
        <f t="shared" si="0"/>
        <v>159615</v>
      </c>
      <c r="G12" s="1704">
        <f t="shared" si="0"/>
        <v>349974</v>
      </c>
      <c r="H12" s="1704">
        <f t="shared" si="0"/>
        <v>0</v>
      </c>
      <c r="I12" s="1704">
        <f t="shared" si="0"/>
        <v>39901</v>
      </c>
      <c r="J12" s="1704">
        <f t="shared" si="0"/>
        <v>532397</v>
      </c>
      <c r="K12" s="1685">
        <f t="shared" si="0"/>
        <v>39901</v>
      </c>
    </row>
    <row r="13" spans="1:12" ht="15.75" customHeight="1" thickTop="1" x14ac:dyDescent="0.2">
      <c r="A13" s="1589" t="s">
        <v>450</v>
      </c>
      <c r="B13" s="1590">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v>86094</v>
      </c>
      <c r="D16" s="466"/>
      <c r="E16" s="466"/>
      <c r="F16" s="466"/>
      <c r="G16" s="466">
        <v>2818</v>
      </c>
      <c r="H16" s="466"/>
      <c r="I16" s="466"/>
      <c r="J16" s="467"/>
      <c r="K16" s="466"/>
    </row>
    <row r="17" spans="1:11" ht="12.75" customHeight="1" x14ac:dyDescent="0.2">
      <c r="A17" s="463" t="s">
        <v>806</v>
      </c>
      <c r="B17" s="470">
        <v>1290</v>
      </c>
      <c r="C17" s="551"/>
      <c r="D17" s="466"/>
      <c r="E17" s="466"/>
      <c r="F17" s="466"/>
      <c r="G17" s="466"/>
      <c r="H17" s="466"/>
      <c r="I17" s="466"/>
      <c r="J17" s="467"/>
      <c r="K17" s="466"/>
    </row>
    <row r="18" spans="1:11" ht="12.75" customHeight="1" thickBot="1" x14ac:dyDescent="0.25">
      <c r="A18" s="1705" t="s">
        <v>536</v>
      </c>
      <c r="B18" s="1706"/>
      <c r="C18" s="1707">
        <f>SUM(C14:C17)</f>
        <v>86094</v>
      </c>
      <c r="D18" s="1707">
        <f t="shared" ref="D18:K18" si="1">SUM(D14:D17)</f>
        <v>0</v>
      </c>
      <c r="E18" s="1707">
        <f t="shared" si="1"/>
        <v>0</v>
      </c>
      <c r="F18" s="1707">
        <f t="shared" si="1"/>
        <v>0</v>
      </c>
      <c r="G18" s="1707">
        <f t="shared" si="1"/>
        <v>2818</v>
      </c>
      <c r="H18" s="1707">
        <f t="shared" si="1"/>
        <v>0</v>
      </c>
      <c r="I18" s="1707">
        <f t="shared" si="1"/>
        <v>0</v>
      </c>
      <c r="J18" s="1707">
        <f t="shared" si="1"/>
        <v>0</v>
      </c>
      <c r="K18" s="1708">
        <f t="shared" si="1"/>
        <v>0</v>
      </c>
    </row>
    <row r="19" spans="1:11" ht="15.75" customHeight="1" thickTop="1" x14ac:dyDescent="0.2">
      <c r="A19" s="1589" t="s">
        <v>451</v>
      </c>
      <c r="B19" s="1590">
        <v>1300</v>
      </c>
      <c r="C19" s="554"/>
      <c r="D19" s="554"/>
      <c r="E19" s="554"/>
      <c r="F19" s="554"/>
      <c r="G19" s="553"/>
      <c r="H19" s="554"/>
      <c r="I19" s="554"/>
      <c r="J19" s="554"/>
      <c r="K19" s="555"/>
    </row>
    <row r="20" spans="1:11" x14ac:dyDescent="0.2">
      <c r="A20" s="463" t="s">
        <v>1072</v>
      </c>
      <c r="B20" s="470">
        <v>1311</v>
      </c>
      <c r="C20" s="466"/>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v>29471</v>
      </c>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92" t="s">
        <v>593</v>
      </c>
      <c r="B39" s="556">
        <v>1354</v>
      </c>
      <c r="C39" s="489"/>
      <c r="D39" s="468"/>
      <c r="E39" s="468"/>
      <c r="F39" s="468"/>
      <c r="G39" s="468"/>
      <c r="H39" s="468"/>
      <c r="I39" s="468"/>
      <c r="J39" s="468"/>
      <c r="K39" s="468"/>
    </row>
    <row r="40" spans="1:11" ht="12.75" customHeight="1" thickBot="1" x14ac:dyDescent="0.25">
      <c r="A40" s="1705" t="s">
        <v>537</v>
      </c>
      <c r="B40" s="1706"/>
      <c r="C40" s="1685">
        <f>SUM(C20:C39)</f>
        <v>29471</v>
      </c>
      <c r="D40" s="468"/>
      <c r="E40" s="468"/>
      <c r="F40" s="468"/>
      <c r="G40" s="468"/>
      <c r="H40" s="468"/>
      <c r="I40" s="468"/>
      <c r="J40" s="468"/>
      <c r="K40" s="468"/>
    </row>
    <row r="41" spans="1:11" ht="15.75" customHeight="1" thickTop="1" x14ac:dyDescent="0.2">
      <c r="A41" s="1589" t="s">
        <v>273</v>
      </c>
      <c r="B41" s="1590">
        <v>1400</v>
      </c>
      <c r="C41" s="468"/>
      <c r="D41" s="468"/>
      <c r="E41" s="468"/>
      <c r="F41" s="521"/>
      <c r="G41" s="468"/>
      <c r="H41" s="468"/>
      <c r="I41" s="468"/>
      <c r="J41" s="468"/>
      <c r="K41" s="468"/>
    </row>
    <row r="42" spans="1:11" ht="12.75" customHeight="1" x14ac:dyDescent="0.2">
      <c r="A42" s="463" t="s">
        <v>1075</v>
      </c>
      <c r="B42" s="470">
        <v>1411</v>
      </c>
      <c r="C42" s="468"/>
      <c r="D42" s="468"/>
      <c r="E42" s="468"/>
      <c r="F42" s="481">
        <v>10591</v>
      </c>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3" t="s">
        <v>60</v>
      </c>
      <c r="B51" s="557">
        <v>1431</v>
      </c>
      <c r="C51" s="468"/>
      <c r="D51" s="468"/>
      <c r="E51" s="468"/>
      <c r="F51" s="466"/>
      <c r="G51" s="468"/>
      <c r="H51" s="468"/>
      <c r="I51" s="468"/>
      <c r="J51" s="468"/>
      <c r="K51" s="468"/>
    </row>
    <row r="52" spans="1:11" ht="12.75" customHeight="1" x14ac:dyDescent="0.2">
      <c r="A52" s="1493" t="s">
        <v>1105</v>
      </c>
      <c r="B52" s="557">
        <v>1432</v>
      </c>
      <c r="C52" s="468"/>
      <c r="D52" s="468"/>
      <c r="E52" s="468"/>
      <c r="F52" s="466"/>
      <c r="G52" s="468"/>
      <c r="H52" s="468"/>
      <c r="I52" s="468"/>
      <c r="J52" s="468"/>
      <c r="K52" s="468"/>
    </row>
    <row r="53" spans="1:11" ht="12.75" customHeight="1" x14ac:dyDescent="0.2">
      <c r="A53" s="1493" t="s">
        <v>61</v>
      </c>
      <c r="B53" s="557">
        <v>1433</v>
      </c>
      <c r="C53" s="468"/>
      <c r="D53" s="468"/>
      <c r="E53" s="468"/>
      <c r="F53" s="466"/>
      <c r="G53" s="468"/>
      <c r="H53" s="468"/>
      <c r="I53" s="468"/>
      <c r="J53" s="468"/>
      <c r="K53" s="468"/>
    </row>
    <row r="54" spans="1:11" ht="12.75" customHeight="1" x14ac:dyDescent="0.2">
      <c r="A54" s="1493" t="s">
        <v>62</v>
      </c>
      <c r="B54" s="557">
        <v>1434</v>
      </c>
      <c r="C54" s="468"/>
      <c r="D54" s="468"/>
      <c r="E54" s="468"/>
      <c r="F54" s="467"/>
      <c r="G54" s="468"/>
      <c r="H54" s="468"/>
      <c r="I54" s="468"/>
      <c r="J54" s="468"/>
      <c r="K54" s="468"/>
    </row>
    <row r="55" spans="1:11" ht="12.75" customHeight="1" x14ac:dyDescent="0.2">
      <c r="A55" s="1493" t="s">
        <v>63</v>
      </c>
      <c r="B55" s="557">
        <v>1441</v>
      </c>
      <c r="C55" s="468"/>
      <c r="D55" s="468"/>
      <c r="E55" s="468"/>
      <c r="F55" s="466"/>
      <c r="G55" s="468"/>
      <c r="H55" s="468"/>
      <c r="I55" s="468"/>
      <c r="J55" s="468"/>
      <c r="K55" s="468"/>
    </row>
    <row r="56" spans="1:11" ht="12.75" customHeight="1" x14ac:dyDescent="0.2">
      <c r="A56" s="1493" t="s">
        <v>1106</v>
      </c>
      <c r="B56" s="557">
        <v>1442</v>
      </c>
      <c r="C56" s="468"/>
      <c r="D56" s="468"/>
      <c r="E56" s="468"/>
      <c r="F56" s="466"/>
      <c r="G56" s="468"/>
      <c r="H56" s="468"/>
      <c r="I56" s="468"/>
      <c r="J56" s="468"/>
      <c r="K56" s="468"/>
    </row>
    <row r="57" spans="1:11" ht="12.75" customHeight="1" x14ac:dyDescent="0.2">
      <c r="A57" s="1493" t="s">
        <v>488</v>
      </c>
      <c r="B57" s="557">
        <v>1443</v>
      </c>
      <c r="C57" s="468"/>
      <c r="D57" s="468"/>
      <c r="E57" s="468"/>
      <c r="F57" s="466"/>
      <c r="G57" s="468"/>
      <c r="H57" s="468"/>
      <c r="I57" s="468"/>
      <c r="J57" s="468"/>
      <c r="K57" s="468"/>
    </row>
    <row r="58" spans="1:11" ht="12.75" customHeight="1" x14ac:dyDescent="0.2">
      <c r="A58" s="1493" t="s">
        <v>65</v>
      </c>
      <c r="B58" s="557">
        <v>1444</v>
      </c>
      <c r="C58" s="468"/>
      <c r="D58" s="468"/>
      <c r="E58" s="468"/>
      <c r="F58" s="466"/>
      <c r="G58" s="468"/>
      <c r="H58" s="468"/>
      <c r="I58" s="468"/>
      <c r="J58" s="468"/>
      <c r="K58" s="468"/>
    </row>
    <row r="59" spans="1:11" ht="12.75" customHeight="1" x14ac:dyDescent="0.2">
      <c r="A59" s="1493" t="s">
        <v>877</v>
      </c>
      <c r="B59" s="557">
        <v>1451</v>
      </c>
      <c r="C59" s="468"/>
      <c r="D59" s="468"/>
      <c r="E59" s="468"/>
      <c r="F59" s="466"/>
      <c r="G59" s="468"/>
      <c r="H59" s="468"/>
      <c r="I59" s="468"/>
      <c r="J59" s="468"/>
      <c r="K59" s="468"/>
    </row>
    <row r="60" spans="1:11" ht="12.75" customHeight="1" x14ac:dyDescent="0.2">
      <c r="A60" s="1493"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94" t="s">
        <v>879</v>
      </c>
      <c r="B62" s="558">
        <v>1454</v>
      </c>
      <c r="C62" s="468"/>
      <c r="D62" s="468"/>
      <c r="E62" s="468"/>
      <c r="F62" s="467"/>
      <c r="G62" s="468"/>
      <c r="H62" s="468"/>
      <c r="I62" s="468"/>
      <c r="J62" s="468"/>
      <c r="K62" s="468"/>
    </row>
    <row r="63" spans="1:11" ht="12.75" customHeight="1" thickBot="1" x14ac:dyDescent="0.25">
      <c r="A63" s="1705" t="s">
        <v>484</v>
      </c>
      <c r="B63" s="1706"/>
      <c r="C63" s="468"/>
      <c r="D63" s="468"/>
      <c r="E63" s="468"/>
      <c r="F63" s="1685">
        <f>SUM(F42:F62)</f>
        <v>10591</v>
      </c>
      <c r="G63" s="468"/>
      <c r="H63" s="468"/>
      <c r="I63" s="468"/>
      <c r="J63" s="468"/>
      <c r="K63" s="468"/>
    </row>
    <row r="64" spans="1:11" ht="15.75" customHeight="1" thickTop="1" x14ac:dyDescent="0.2">
      <c r="A64" s="1589" t="s">
        <v>453</v>
      </c>
      <c r="B64" s="1590">
        <v>1500</v>
      </c>
      <c r="C64" s="468"/>
      <c r="D64" s="468"/>
      <c r="E64" s="468"/>
      <c r="F64" s="468"/>
      <c r="G64" s="468"/>
      <c r="H64" s="468"/>
      <c r="I64" s="468"/>
      <c r="J64" s="468"/>
      <c r="K64" s="468"/>
    </row>
    <row r="65" spans="1:11" ht="12.75" customHeight="1" x14ac:dyDescent="0.2">
      <c r="A65" s="463" t="s">
        <v>546</v>
      </c>
      <c r="B65" s="470">
        <v>1510</v>
      </c>
      <c r="C65" s="466">
        <v>129</v>
      </c>
      <c r="D65" s="466">
        <v>23</v>
      </c>
      <c r="E65" s="466">
        <v>175</v>
      </c>
      <c r="F65" s="467">
        <v>56</v>
      </c>
      <c r="G65" s="466">
        <v>187</v>
      </c>
      <c r="H65" s="466"/>
      <c r="I65" s="466">
        <v>25</v>
      </c>
      <c r="J65" s="467">
        <v>238</v>
      </c>
      <c r="K65" s="466">
        <v>6</v>
      </c>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705" t="s">
        <v>485</v>
      </c>
      <c r="B67" s="1706"/>
      <c r="C67" s="1685">
        <f>SUM(C65:C66)</f>
        <v>129</v>
      </c>
      <c r="D67" s="1685">
        <f t="shared" ref="D67:K67" si="2">SUM(D65:D66)</f>
        <v>23</v>
      </c>
      <c r="E67" s="1685">
        <f t="shared" si="2"/>
        <v>175</v>
      </c>
      <c r="F67" s="1685">
        <f t="shared" si="2"/>
        <v>56</v>
      </c>
      <c r="G67" s="1685">
        <f t="shared" si="2"/>
        <v>187</v>
      </c>
      <c r="H67" s="1685">
        <f t="shared" si="2"/>
        <v>0</v>
      </c>
      <c r="I67" s="1685">
        <f t="shared" si="2"/>
        <v>25</v>
      </c>
      <c r="J67" s="1685">
        <f t="shared" si="2"/>
        <v>238</v>
      </c>
      <c r="K67" s="1685">
        <f t="shared" si="2"/>
        <v>6</v>
      </c>
    </row>
    <row r="68" spans="1:11" ht="15.75" customHeight="1" thickTop="1" x14ac:dyDescent="0.2">
      <c r="A68" s="1589" t="s">
        <v>454</v>
      </c>
      <c r="B68" s="1591">
        <v>1600</v>
      </c>
      <c r="C68" s="553"/>
      <c r="D68" s="468"/>
      <c r="E68" s="468"/>
      <c r="F68" s="468"/>
      <c r="G68" s="468"/>
      <c r="H68" s="468"/>
      <c r="I68" s="468"/>
      <c r="J68" s="468"/>
      <c r="K68" s="468"/>
    </row>
    <row r="69" spans="1:11" ht="12.75" customHeight="1" x14ac:dyDescent="0.2">
      <c r="A69" s="463" t="s">
        <v>665</v>
      </c>
      <c r="B69" s="470">
        <v>1611</v>
      </c>
      <c r="C69" s="466">
        <v>66462</v>
      </c>
      <c r="D69" s="468"/>
      <c r="E69" s="468"/>
      <c r="F69" s="468"/>
      <c r="G69" s="468"/>
      <c r="H69" s="468"/>
      <c r="I69" s="468"/>
      <c r="J69" s="468"/>
      <c r="K69" s="468"/>
    </row>
    <row r="70" spans="1:11" ht="12.75" customHeight="1" x14ac:dyDescent="0.2">
      <c r="A70" s="463" t="s">
        <v>996</v>
      </c>
      <c r="B70" s="470">
        <v>1612</v>
      </c>
      <c r="C70" s="551"/>
      <c r="D70" s="468"/>
      <c r="E70" s="468"/>
      <c r="F70" s="468"/>
      <c r="G70" s="468"/>
      <c r="H70" s="468"/>
      <c r="I70" s="468"/>
      <c r="J70" s="468"/>
      <c r="K70" s="468"/>
    </row>
    <row r="71" spans="1:11" ht="12.75" customHeight="1" x14ac:dyDescent="0.2">
      <c r="A71" s="463" t="s">
        <v>272</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997</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5" t="s">
        <v>547</v>
      </c>
      <c r="B75" s="1706"/>
      <c r="C75" s="1685">
        <f>SUM(C69:C74)</f>
        <v>66462</v>
      </c>
      <c r="D75" s="468"/>
      <c r="E75" s="468"/>
      <c r="F75" s="468"/>
      <c r="G75" s="468"/>
      <c r="H75" s="468"/>
      <c r="I75" s="468"/>
      <c r="J75" s="468"/>
      <c r="K75" s="468"/>
    </row>
    <row r="76" spans="1:11" ht="15.75" customHeight="1" thickTop="1" x14ac:dyDescent="0.2">
      <c r="A76" s="1589" t="s">
        <v>880</v>
      </c>
      <c r="B76" s="1591">
        <v>1700</v>
      </c>
      <c r="C76" s="553"/>
      <c r="D76" s="468"/>
      <c r="E76" s="468"/>
      <c r="F76" s="468"/>
      <c r="G76" s="468"/>
      <c r="H76" s="468"/>
      <c r="I76" s="468"/>
      <c r="J76" s="468"/>
      <c r="K76" s="468"/>
    </row>
    <row r="77" spans="1:11" ht="12.75" customHeight="1" x14ac:dyDescent="0.2">
      <c r="A77" s="463" t="s">
        <v>548</v>
      </c>
      <c r="B77" s="470">
        <v>1711</v>
      </c>
      <c r="C77" s="516">
        <v>10261</v>
      </c>
      <c r="D77" s="466"/>
      <c r="E77" s="468"/>
      <c r="F77" s="468"/>
      <c r="G77" s="468"/>
      <c r="H77" s="468"/>
      <c r="I77" s="468"/>
      <c r="J77" s="468"/>
      <c r="K77" s="468"/>
    </row>
    <row r="78" spans="1:11" ht="12.75" customHeight="1" x14ac:dyDescent="0.2">
      <c r="A78" s="463" t="s">
        <v>76</v>
      </c>
      <c r="B78" s="470">
        <v>1719</v>
      </c>
      <c r="C78" s="551">
        <v>888</v>
      </c>
      <c r="D78" s="466"/>
      <c r="E78" s="468"/>
      <c r="F78" s="468"/>
      <c r="G78" s="468"/>
      <c r="H78" s="468"/>
      <c r="I78" s="468"/>
      <c r="J78" s="468"/>
      <c r="K78" s="468"/>
    </row>
    <row r="79" spans="1:11" ht="12.75" customHeight="1" x14ac:dyDescent="0.2">
      <c r="A79" s="463" t="s">
        <v>549</v>
      </c>
      <c r="B79" s="470">
        <v>1720</v>
      </c>
      <c r="C79" s="551">
        <f>16050+29</f>
        <v>16079</v>
      </c>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v>15901</v>
      </c>
      <c r="D81" s="466"/>
      <c r="E81" s="468"/>
      <c r="F81" s="468"/>
      <c r="G81" s="468"/>
      <c r="H81" s="468"/>
      <c r="I81" s="468"/>
      <c r="J81" s="468"/>
      <c r="K81" s="468"/>
    </row>
    <row r="82" spans="1:11" ht="12.75" customHeight="1" thickBot="1" x14ac:dyDescent="0.25">
      <c r="A82" s="1705" t="s">
        <v>241</v>
      </c>
      <c r="B82" s="1706"/>
      <c r="C82" s="1704">
        <f>SUM(C77:C81)</f>
        <v>43129</v>
      </c>
      <c r="D82" s="1685">
        <f>SUM(D77:D81)</f>
        <v>0</v>
      </c>
      <c r="E82" s="468"/>
      <c r="F82" s="468"/>
      <c r="G82" s="468"/>
      <c r="H82" s="468"/>
      <c r="I82" s="468"/>
      <c r="J82" s="468"/>
      <c r="K82" s="468"/>
    </row>
    <row r="83" spans="1:11" ht="15.75" customHeight="1" thickTop="1" x14ac:dyDescent="0.2">
      <c r="A83" s="1589" t="s">
        <v>242</v>
      </c>
      <c r="B83" s="1591">
        <v>1800</v>
      </c>
      <c r="C83" s="553"/>
      <c r="D83" s="468"/>
      <c r="E83" s="468"/>
      <c r="F83" s="468"/>
      <c r="G83" s="468"/>
      <c r="H83" s="468"/>
      <c r="I83" s="468"/>
      <c r="J83" s="468"/>
      <c r="K83" s="468"/>
    </row>
    <row r="84" spans="1:11" ht="12.75" customHeight="1" x14ac:dyDescent="0.2">
      <c r="A84" s="463" t="s">
        <v>551</v>
      </c>
      <c r="B84" s="470">
        <v>1811</v>
      </c>
      <c r="C84" s="466">
        <v>26351</v>
      </c>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705" t="s">
        <v>243</v>
      </c>
      <c r="B93" s="1706"/>
      <c r="C93" s="1685">
        <f>SUM(C84:C92)</f>
        <v>26351</v>
      </c>
      <c r="D93" s="468"/>
      <c r="E93" s="468"/>
      <c r="F93" s="468"/>
      <c r="G93" s="468"/>
      <c r="H93" s="468"/>
      <c r="I93" s="468"/>
      <c r="J93" s="468"/>
      <c r="K93" s="468"/>
    </row>
    <row r="94" spans="1:11" ht="15.75" customHeight="1" thickTop="1" x14ac:dyDescent="0.2">
      <c r="A94" s="1589" t="s">
        <v>1136</v>
      </c>
      <c r="B94" s="1591">
        <v>1900</v>
      </c>
      <c r="C94" s="553"/>
      <c r="D94" s="521"/>
      <c r="E94" s="468"/>
      <c r="F94" s="468"/>
      <c r="G94" s="468"/>
      <c r="H94" s="468"/>
      <c r="I94" s="468"/>
      <c r="J94" s="468"/>
      <c r="K94" s="468"/>
    </row>
    <row r="95" spans="1:11" ht="12.75" customHeight="1" x14ac:dyDescent="0.2">
      <c r="A95" s="463" t="s">
        <v>1063</v>
      </c>
      <c r="B95" s="470">
        <v>1910</v>
      </c>
      <c r="C95" s="466"/>
      <c r="D95" s="551"/>
      <c r="E95" s="521"/>
      <c r="F95" s="521"/>
      <c r="G95" s="521"/>
      <c r="H95" s="521"/>
      <c r="I95" s="521"/>
      <c r="J95" s="521"/>
      <c r="K95" s="521"/>
    </row>
    <row r="96" spans="1:11" ht="12.75" customHeight="1" x14ac:dyDescent="0.2">
      <c r="A96" s="463" t="s">
        <v>390</v>
      </c>
      <c r="B96" s="470">
        <v>1920</v>
      </c>
      <c r="C96" s="551"/>
      <c r="D96" s="551"/>
      <c r="E96" s="479"/>
      <c r="F96" s="478"/>
      <c r="G96" s="478"/>
      <c r="H96" s="478"/>
      <c r="I96" s="478"/>
      <c r="J96" s="478"/>
      <c r="K96" s="478"/>
    </row>
    <row r="97" spans="1:12" ht="12.75" customHeight="1" x14ac:dyDescent="0.2">
      <c r="A97" s="1492"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820</v>
      </c>
      <c r="B99" s="470">
        <v>1950</v>
      </c>
      <c r="C99" s="489">
        <v>1032</v>
      </c>
      <c r="D99" s="466"/>
      <c r="E99" s="466"/>
      <c r="F99" s="466"/>
      <c r="G99" s="466"/>
      <c r="H99" s="466"/>
      <c r="I99" s="468"/>
      <c r="J99" s="467">
        <v>1094</v>
      </c>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c r="D106" s="489"/>
      <c r="E106" s="467"/>
      <c r="F106" s="467"/>
      <c r="G106" s="467"/>
      <c r="H106" s="467"/>
      <c r="I106" s="521"/>
      <c r="J106" s="467"/>
      <c r="K106" s="467"/>
    </row>
    <row r="107" spans="1:12" ht="12.75" customHeight="1" x14ac:dyDescent="0.2">
      <c r="A107" s="463" t="s">
        <v>78</v>
      </c>
      <c r="B107" s="470">
        <v>1999</v>
      </c>
      <c r="C107" s="551">
        <v>7674</v>
      </c>
      <c r="D107" s="466">
        <v>214</v>
      </c>
      <c r="E107" s="466"/>
      <c r="F107" s="466">
        <v>1612</v>
      </c>
      <c r="G107" s="466"/>
      <c r="H107" s="466"/>
      <c r="I107" s="466"/>
      <c r="J107" s="467"/>
      <c r="K107" s="466"/>
    </row>
    <row r="108" spans="1:12" ht="12.75" customHeight="1" thickBot="1" x14ac:dyDescent="0.25">
      <c r="A108" s="1705" t="s">
        <v>486</v>
      </c>
      <c r="B108" s="1709"/>
      <c r="C108" s="1704">
        <f>SUM(C95:C107)</f>
        <v>8706</v>
      </c>
      <c r="D108" s="1704">
        <f t="shared" ref="D108:K108" si="3">SUM(D95:D107)</f>
        <v>214</v>
      </c>
      <c r="E108" s="1704">
        <f t="shared" si="3"/>
        <v>0</v>
      </c>
      <c r="F108" s="1704">
        <f t="shared" si="3"/>
        <v>1612</v>
      </c>
      <c r="G108" s="1704">
        <f t="shared" si="3"/>
        <v>0</v>
      </c>
      <c r="H108" s="1704">
        <f t="shared" si="3"/>
        <v>0</v>
      </c>
      <c r="I108" s="1704">
        <f t="shared" si="3"/>
        <v>0</v>
      </c>
      <c r="J108" s="1704">
        <f t="shared" si="3"/>
        <v>1094</v>
      </c>
      <c r="K108" s="1685">
        <f t="shared" si="3"/>
        <v>0</v>
      </c>
    </row>
    <row r="109" spans="1:12" ht="14.25" thickTop="1" thickBot="1" x14ac:dyDescent="0.25">
      <c r="A109" s="1710" t="s">
        <v>248</v>
      </c>
      <c r="B109" s="1711" t="s">
        <v>569</v>
      </c>
      <c r="C109" s="1712">
        <f t="shared" ref="C109:K109" si="4">SUM(C12,C18,C40,C63,C67,C75,C82,C93,C108,)</f>
        <v>2861756</v>
      </c>
      <c r="D109" s="1712">
        <f t="shared" si="4"/>
        <v>399271</v>
      </c>
      <c r="E109" s="1712">
        <f t="shared" si="4"/>
        <v>1030079</v>
      </c>
      <c r="F109" s="1712">
        <f t="shared" si="4"/>
        <v>171874</v>
      </c>
      <c r="G109" s="1712">
        <f t="shared" si="4"/>
        <v>352979</v>
      </c>
      <c r="H109" s="1712">
        <f t="shared" si="4"/>
        <v>0</v>
      </c>
      <c r="I109" s="1712">
        <f t="shared" si="4"/>
        <v>39926</v>
      </c>
      <c r="J109" s="1712">
        <f t="shared" si="4"/>
        <v>533729</v>
      </c>
      <c r="K109" s="1699">
        <f t="shared" si="4"/>
        <v>39907</v>
      </c>
    </row>
    <row r="110" spans="1:12" ht="30" customHeight="1" thickTop="1" x14ac:dyDescent="0.2">
      <c r="A110" s="1582" t="s">
        <v>345</v>
      </c>
      <c r="B110" s="1583"/>
      <c r="C110" s="1568"/>
      <c r="D110" s="1568"/>
      <c r="E110" s="1568"/>
      <c r="F110" s="1568"/>
      <c r="G110" s="1568"/>
      <c r="H110" s="1568"/>
      <c r="I110" s="1568"/>
      <c r="J110" s="1568"/>
      <c r="K110" s="1569"/>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3" t="s">
        <v>805</v>
      </c>
      <c r="B114" s="1714" t="s">
        <v>568</v>
      </c>
      <c r="C114" s="1715">
        <f>SUM(C111:C113)</f>
        <v>0</v>
      </c>
      <c r="D114" s="1715">
        <f>SUM(D111:D113)</f>
        <v>0</v>
      </c>
      <c r="E114" s="561" t="s">
        <v>1168</v>
      </c>
      <c r="F114" s="1715">
        <f>SUM(F111:F113)</f>
        <v>0</v>
      </c>
      <c r="G114" s="1715">
        <f>SUM(G111:G113)</f>
        <v>0</v>
      </c>
      <c r="H114" s="561"/>
      <c r="I114" s="468"/>
      <c r="J114" s="468"/>
      <c r="K114" s="468"/>
    </row>
    <row r="115" spans="1:11" ht="16.7" customHeight="1" thickTop="1" x14ac:dyDescent="0.2">
      <c r="A115" s="1584" t="s">
        <v>802</v>
      </c>
      <c r="B115" s="1585"/>
      <c r="C115" s="1567"/>
      <c r="D115" s="1568"/>
      <c r="E115" s="1568"/>
      <c r="F115" s="1568"/>
      <c r="G115" s="1568"/>
      <c r="H115" s="1568"/>
      <c r="I115" s="1568"/>
      <c r="J115" s="1568"/>
      <c r="K115" s="1569"/>
    </row>
    <row r="116" spans="1:11" ht="18" customHeight="1" x14ac:dyDescent="0.2">
      <c r="A116" s="1592" t="s">
        <v>1490</v>
      </c>
      <c r="B116" s="1593"/>
      <c r="C116" s="522"/>
      <c r="D116" s="521"/>
      <c r="E116" s="561"/>
      <c r="F116" s="521"/>
      <c r="G116" s="521"/>
      <c r="H116" s="561"/>
      <c r="I116" s="468"/>
      <c r="J116" s="521"/>
      <c r="K116" s="521"/>
    </row>
    <row r="117" spans="1:11" ht="12.75" customHeight="1" x14ac:dyDescent="0.2">
      <c r="A117" s="463" t="s">
        <v>1666</v>
      </c>
      <c r="B117" s="562">
        <v>3001</v>
      </c>
      <c r="C117" s="516">
        <v>1674391</v>
      </c>
      <c r="D117" s="481">
        <v>69041</v>
      </c>
      <c r="E117" s="466"/>
      <c r="F117" s="481"/>
      <c r="G117" s="481"/>
      <c r="H117" s="466"/>
      <c r="I117" s="468"/>
      <c r="J117" s="467"/>
      <c r="K117" s="466"/>
    </row>
    <row r="118" spans="1:11" ht="12.75" customHeight="1" x14ac:dyDescent="0.2">
      <c r="A118" s="463" t="s">
        <v>1798</v>
      </c>
      <c r="B118" s="562">
        <v>3002</v>
      </c>
      <c r="C118" s="551"/>
      <c r="D118" s="466"/>
      <c r="E118" s="466"/>
      <c r="F118" s="466"/>
      <c r="G118" s="466"/>
      <c r="H118" s="466"/>
      <c r="I118" s="468"/>
      <c r="J118" s="467"/>
      <c r="K118" s="466"/>
    </row>
    <row r="119" spans="1:11" ht="12.75" customHeight="1" x14ac:dyDescent="0.2">
      <c r="A119" s="463" t="s">
        <v>1799</v>
      </c>
      <c r="B119" s="562">
        <v>3005</v>
      </c>
      <c r="C119" s="551"/>
      <c r="D119" s="466"/>
      <c r="E119" s="466"/>
      <c r="F119" s="466"/>
      <c r="G119" s="466"/>
      <c r="H119" s="466"/>
      <c r="I119" s="468"/>
      <c r="J119" s="467"/>
      <c r="K119" s="466"/>
    </row>
    <row r="120" spans="1:11" ht="12.75" customHeight="1" x14ac:dyDescent="0.2">
      <c r="A120" s="1927" t="s">
        <v>1935</v>
      </c>
      <c r="B120" s="562">
        <v>3030</v>
      </c>
      <c r="C120" s="551"/>
      <c r="D120" s="466"/>
      <c r="E120" s="466"/>
      <c r="F120" s="466"/>
      <c r="G120" s="466"/>
      <c r="H120" s="466"/>
      <c r="I120" s="468"/>
      <c r="J120" s="467"/>
      <c r="K120" s="466"/>
    </row>
    <row r="121" spans="1:11" x14ac:dyDescent="0.2">
      <c r="A121" s="1493" t="s">
        <v>1800</v>
      </c>
      <c r="B121" s="564">
        <v>3099</v>
      </c>
      <c r="C121" s="551"/>
      <c r="D121" s="466"/>
      <c r="E121" s="466"/>
      <c r="F121" s="466"/>
      <c r="G121" s="466"/>
      <c r="H121" s="466"/>
      <c r="I121" s="468"/>
      <c r="J121" s="467"/>
      <c r="K121" s="466"/>
    </row>
    <row r="122" spans="1:11" ht="12.6" customHeight="1" thickBot="1" x14ac:dyDescent="0.25">
      <c r="A122" s="1705" t="s">
        <v>487</v>
      </c>
      <c r="B122" s="1716"/>
      <c r="C122" s="1704">
        <f t="shared" ref="C122:H122" si="5">SUM(C117:C121)</f>
        <v>1674391</v>
      </c>
      <c r="D122" s="1704">
        <f t="shared" si="5"/>
        <v>69041</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1489</v>
      </c>
      <c r="B123" s="1594"/>
      <c r="C123" s="565"/>
      <c r="D123" s="509"/>
      <c r="E123" s="468"/>
      <c r="F123" s="566"/>
      <c r="G123" s="468"/>
      <c r="H123" s="468"/>
      <c r="I123" s="468"/>
      <c r="J123" s="468"/>
      <c r="K123" s="468"/>
    </row>
    <row r="124" spans="1:11" ht="15" customHeight="1" x14ac:dyDescent="0.2">
      <c r="A124" s="1595" t="s">
        <v>666</v>
      </c>
      <c r="B124" s="1596"/>
      <c r="C124" s="521"/>
      <c r="D124" s="509"/>
      <c r="E124" s="468"/>
      <c r="F124" s="521"/>
      <c r="G124" s="468"/>
      <c r="H124" s="468"/>
      <c r="I124" s="468"/>
      <c r="J124" s="468"/>
      <c r="K124" s="468"/>
    </row>
    <row r="125" spans="1:11" ht="12.75" customHeight="1" x14ac:dyDescent="0.2">
      <c r="A125" s="463" t="s">
        <v>865</v>
      </c>
      <c r="B125" s="567">
        <v>3100</v>
      </c>
      <c r="C125" s="481"/>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v>42661</v>
      </c>
      <c r="D128" s="561"/>
      <c r="E128" s="468"/>
      <c r="F128" s="466"/>
      <c r="G128" s="468"/>
      <c r="H128" s="468"/>
      <c r="I128" s="468"/>
      <c r="J128" s="468"/>
      <c r="K128" s="468"/>
    </row>
    <row r="129" spans="1:11" ht="12.75" customHeight="1" x14ac:dyDescent="0.2">
      <c r="A129" s="463" t="s">
        <v>1446</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5" t="s">
        <v>1031</v>
      </c>
      <c r="B132" s="1717"/>
      <c r="C132" s="1704">
        <f>SUM(C125:C131)</f>
        <v>42661</v>
      </c>
      <c r="D132" s="1704">
        <f>SUM(D125:D131)</f>
        <v>0</v>
      </c>
      <c r="E132" s="469" t="s">
        <v>1168</v>
      </c>
      <c r="F132" s="1704">
        <f>SUM(F125:F131)</f>
        <v>0</v>
      </c>
      <c r="G132" s="468" t="s">
        <v>1168</v>
      </c>
      <c r="H132" s="468" t="s">
        <v>1168</v>
      </c>
      <c r="I132" s="468" t="s">
        <v>1168</v>
      </c>
      <c r="J132" s="468" t="s">
        <v>1168</v>
      </c>
      <c r="K132" s="468" t="s">
        <v>1168</v>
      </c>
    </row>
    <row r="133" spans="1:11" ht="15.75" customHeight="1" thickTop="1" x14ac:dyDescent="0.2">
      <c r="A133" s="1597" t="s">
        <v>250</v>
      </c>
      <c r="B133" s="1598"/>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v>4842</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5" t="s">
        <v>602</v>
      </c>
      <c r="B141" s="1717"/>
      <c r="C141" s="1704">
        <f>SUM(C134:C140)</f>
        <v>4842</v>
      </c>
      <c r="D141" s="1704">
        <f>SUM(D134:D140)</f>
        <v>0</v>
      </c>
      <c r="E141" s="561" t="s">
        <v>1168</v>
      </c>
      <c r="F141" s="477"/>
      <c r="G141" s="1704">
        <f>SUM(G134:G140)</f>
        <v>0</v>
      </c>
      <c r="H141" s="468" t="s">
        <v>1168</v>
      </c>
      <c r="I141" s="468" t="s">
        <v>1168</v>
      </c>
      <c r="J141" s="468" t="s">
        <v>1168</v>
      </c>
      <c r="K141" s="468" t="s">
        <v>1168</v>
      </c>
    </row>
    <row r="142" spans="1:11" ht="15.75" customHeight="1" thickTop="1" x14ac:dyDescent="0.2">
      <c r="A142" s="1597" t="s">
        <v>669</v>
      </c>
      <c r="B142" s="1598"/>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705" t="s">
        <v>395</v>
      </c>
      <c r="B145" s="1717"/>
      <c r="C145" s="1685">
        <f>SUM(C143:C144)</f>
        <v>0</v>
      </c>
      <c r="D145" s="468"/>
      <c r="E145" s="509"/>
      <c r="F145" s="468"/>
      <c r="G145" s="1718">
        <f>SUM(G143:G144)</f>
        <v>0</v>
      </c>
      <c r="H145" s="468"/>
      <c r="I145" s="468"/>
      <c r="J145" s="468"/>
      <c r="K145" s="468"/>
    </row>
    <row r="146" spans="1:11" s="202" customFormat="1" ht="12.75" customHeight="1" thickTop="1" x14ac:dyDescent="0.2">
      <c r="A146" s="1495" t="s">
        <v>1055</v>
      </c>
      <c r="B146" s="568">
        <v>3360</v>
      </c>
      <c r="C146" s="569">
        <v>2464</v>
      </c>
      <c r="D146" s="570"/>
      <c r="E146" s="509"/>
      <c r="F146" s="468"/>
      <c r="G146" s="571"/>
      <c r="H146" s="468"/>
      <c r="I146" s="468"/>
      <c r="J146" s="468"/>
      <c r="K146" s="468"/>
    </row>
    <row r="147" spans="1:11" ht="12.75" customHeight="1" thickBot="1" x14ac:dyDescent="0.25">
      <c r="A147" s="1496" t="s">
        <v>921</v>
      </c>
      <c r="B147" s="572">
        <v>3365</v>
      </c>
      <c r="C147" s="573"/>
      <c r="D147" s="532"/>
      <c r="E147" s="561"/>
      <c r="F147" s="468"/>
      <c r="G147" s="532"/>
      <c r="H147" s="468"/>
      <c r="I147" s="468"/>
      <c r="J147" s="468"/>
      <c r="K147" s="468"/>
    </row>
    <row r="148" spans="1:11" ht="12.75" customHeight="1" thickTop="1" thickBot="1" x14ac:dyDescent="0.25">
      <c r="A148" s="1497" t="s">
        <v>138</v>
      </c>
      <c r="B148" s="574">
        <v>3370</v>
      </c>
      <c r="C148" s="573">
        <v>6935</v>
      </c>
      <c r="D148" s="573"/>
      <c r="E148" s="509"/>
      <c r="F148" s="468"/>
      <c r="G148" s="468"/>
      <c r="H148" s="468"/>
      <c r="I148" s="468"/>
      <c r="J148" s="468"/>
      <c r="K148" s="468"/>
    </row>
    <row r="149" spans="1:11" ht="12.75" customHeight="1" thickTop="1" thickBot="1" x14ac:dyDescent="0.25">
      <c r="A149" s="1497" t="s">
        <v>766</v>
      </c>
      <c r="B149" s="574">
        <v>3410</v>
      </c>
      <c r="C149" s="575"/>
      <c r="D149" s="576"/>
      <c r="E149" s="577"/>
      <c r="F149" s="530"/>
      <c r="G149" s="530"/>
      <c r="H149" s="530"/>
      <c r="I149" s="530"/>
      <c r="J149" s="530"/>
      <c r="K149" s="530"/>
    </row>
    <row r="150" spans="1:11" ht="12.75" customHeight="1" thickTop="1" thickBot="1" x14ac:dyDescent="0.25">
      <c r="A150" s="1497" t="s">
        <v>68</v>
      </c>
      <c r="B150" s="574">
        <v>3499</v>
      </c>
      <c r="C150" s="575"/>
      <c r="D150" s="576"/>
      <c r="E150" s="532"/>
      <c r="F150" s="532"/>
      <c r="G150" s="532"/>
      <c r="H150" s="532"/>
      <c r="I150" s="532"/>
      <c r="J150" s="532"/>
      <c r="K150" s="532"/>
    </row>
    <row r="151" spans="1:11" ht="15.75" customHeight="1" thickTop="1" x14ac:dyDescent="0.2">
      <c r="A151" s="1597" t="s">
        <v>452</v>
      </c>
      <c r="B151" s="1599"/>
      <c r="C151" s="553"/>
      <c r="D151" s="468"/>
      <c r="E151" s="561"/>
      <c r="F151" s="468"/>
      <c r="G151" s="468"/>
      <c r="H151" s="468"/>
      <c r="I151" s="468"/>
      <c r="J151" s="468"/>
      <c r="K151" s="468"/>
    </row>
    <row r="152" spans="1:11" ht="12.75" customHeight="1" x14ac:dyDescent="0.2">
      <c r="A152" s="463" t="s">
        <v>1447</v>
      </c>
      <c r="B152" s="562">
        <v>3500</v>
      </c>
      <c r="C152" s="551"/>
      <c r="D152" s="466"/>
      <c r="E152" s="561"/>
      <c r="F152" s="466">
        <v>28393</v>
      </c>
      <c r="G152" s="467"/>
      <c r="H152" s="468"/>
      <c r="I152" s="468"/>
      <c r="J152" s="468"/>
      <c r="K152" s="468"/>
    </row>
    <row r="153" spans="1:11" ht="12.75" customHeight="1" x14ac:dyDescent="0.2">
      <c r="A153" s="463" t="s">
        <v>1056</v>
      </c>
      <c r="B153" s="562">
        <v>3510</v>
      </c>
      <c r="C153" s="551"/>
      <c r="D153" s="466"/>
      <c r="E153" s="561"/>
      <c r="F153" s="466">
        <v>98916</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5" t="s">
        <v>94</v>
      </c>
      <c r="B155" s="1717"/>
      <c r="C155" s="1704">
        <f>SUM(C152:C154)</f>
        <v>0</v>
      </c>
      <c r="D155" s="1704">
        <f>SUM(D152:D154)</f>
        <v>0</v>
      </c>
      <c r="E155" s="561"/>
      <c r="F155" s="1704">
        <f>SUM(F152:F154)</f>
        <v>127309</v>
      </c>
      <c r="G155" s="1704">
        <f>SUM(G152:G154)</f>
        <v>0</v>
      </c>
      <c r="H155" s="468"/>
      <c r="I155" s="468"/>
      <c r="J155" s="468"/>
      <c r="K155" s="468"/>
    </row>
    <row r="156" spans="1:11" ht="12.75" customHeight="1" thickTop="1" thickBot="1" x14ac:dyDescent="0.25">
      <c r="A156" s="1497" t="s">
        <v>379</v>
      </c>
      <c r="B156" s="574">
        <v>3610</v>
      </c>
      <c r="C156" s="576"/>
      <c r="D156" s="468"/>
      <c r="E156" s="509"/>
      <c r="F156" s="468"/>
      <c r="G156" s="468"/>
      <c r="H156" s="468"/>
      <c r="I156" s="468"/>
      <c r="J156" s="468"/>
      <c r="K156" s="468"/>
    </row>
    <row r="157" spans="1:11" ht="12.75" customHeight="1" thickTop="1" thickBot="1" x14ac:dyDescent="0.25">
      <c r="A157" s="1497" t="s">
        <v>50</v>
      </c>
      <c r="B157" s="574">
        <v>3660</v>
      </c>
      <c r="C157" s="573"/>
      <c r="D157" s="578"/>
      <c r="E157" s="561"/>
      <c r="F157" s="578"/>
      <c r="G157" s="578"/>
      <c r="H157" s="468"/>
      <c r="I157" s="468"/>
      <c r="J157" s="468"/>
      <c r="K157" s="468"/>
    </row>
    <row r="158" spans="1:11" ht="12.75" customHeight="1" thickTop="1" thickBot="1" x14ac:dyDescent="0.25">
      <c r="A158" s="1497" t="s">
        <v>999</v>
      </c>
      <c r="B158" s="574">
        <v>3695</v>
      </c>
      <c r="C158" s="576"/>
      <c r="D158" s="468"/>
      <c r="E158" s="561"/>
      <c r="F158" s="576"/>
      <c r="G158" s="576"/>
      <c r="H158" s="468"/>
      <c r="I158" s="468"/>
      <c r="J158" s="468"/>
      <c r="K158" s="468"/>
    </row>
    <row r="159" spans="1:11" ht="12.75" customHeight="1" thickTop="1" thickBot="1" x14ac:dyDescent="0.25">
      <c r="A159" s="1497" t="s">
        <v>1050</v>
      </c>
      <c r="B159" s="574">
        <v>3705</v>
      </c>
      <c r="C159" s="576">
        <v>7334</v>
      </c>
      <c r="D159" s="578"/>
      <c r="E159" s="561"/>
      <c r="F159" s="576"/>
      <c r="G159" s="576"/>
      <c r="H159" s="468"/>
      <c r="I159" s="468"/>
      <c r="J159" s="468"/>
      <c r="K159" s="468"/>
    </row>
    <row r="160" spans="1:11" ht="12.75" customHeight="1" thickTop="1" thickBot="1" x14ac:dyDescent="0.25">
      <c r="A160" s="1497" t="s">
        <v>39</v>
      </c>
      <c r="B160" s="574">
        <v>3766</v>
      </c>
      <c r="C160" s="576"/>
      <c r="D160" s="578"/>
      <c r="E160" s="561"/>
      <c r="F160" s="576"/>
      <c r="G160" s="531"/>
      <c r="H160" s="468"/>
      <c r="I160" s="468"/>
      <c r="J160" s="468"/>
      <c r="K160" s="468"/>
    </row>
    <row r="161" spans="1:11" ht="12.75" customHeight="1" thickTop="1" thickBot="1" x14ac:dyDescent="0.25">
      <c r="A161" s="1497" t="s">
        <v>984</v>
      </c>
      <c r="B161" s="574">
        <v>3767</v>
      </c>
      <c r="C161" s="576"/>
      <c r="D161" s="531"/>
      <c r="E161" s="561"/>
      <c r="F161" s="531"/>
      <c r="G161" s="531"/>
      <c r="H161" s="468"/>
      <c r="I161" s="468"/>
      <c r="J161" s="468"/>
      <c r="K161" s="468"/>
    </row>
    <row r="162" spans="1:11" ht="12.75" customHeight="1" thickTop="1" thickBot="1" x14ac:dyDescent="0.25">
      <c r="A162" s="1497" t="s">
        <v>985</v>
      </c>
      <c r="B162" s="574">
        <v>3775</v>
      </c>
      <c r="C162" s="576"/>
      <c r="D162" s="573"/>
      <c r="E162" s="530"/>
      <c r="F162" s="573"/>
      <c r="G162" s="532"/>
      <c r="H162" s="530"/>
      <c r="I162" s="468"/>
      <c r="J162" s="468"/>
      <c r="K162" s="530"/>
    </row>
    <row r="163" spans="1:11" ht="12.75" customHeight="1" thickTop="1" thickBot="1" x14ac:dyDescent="0.25">
      <c r="A163" s="1497" t="s">
        <v>1448</v>
      </c>
      <c r="B163" s="574">
        <v>3780</v>
      </c>
      <c r="C163" s="531"/>
      <c r="D163" s="530"/>
      <c r="E163" s="531"/>
      <c r="F163" s="531"/>
      <c r="G163" s="531"/>
      <c r="H163" s="531"/>
      <c r="I163" s="468"/>
      <c r="J163" s="468"/>
      <c r="K163" s="531"/>
    </row>
    <row r="164" spans="1:11" ht="12.75" customHeight="1" thickTop="1" thickBot="1" x14ac:dyDescent="0.25">
      <c r="A164" s="1497" t="s">
        <v>857</v>
      </c>
      <c r="B164" s="574">
        <v>3815</v>
      </c>
      <c r="C164" s="576"/>
      <c r="D164" s="468"/>
      <c r="E164" s="561"/>
      <c r="F164" s="576"/>
      <c r="G164" s="468"/>
      <c r="H164" s="468"/>
      <c r="I164" s="468"/>
      <c r="J164" s="468"/>
      <c r="K164" s="468"/>
    </row>
    <row r="165" spans="1:11" ht="12.75" customHeight="1" thickTop="1" thickBot="1" x14ac:dyDescent="0.25">
      <c r="A165" s="1497" t="s">
        <v>396</v>
      </c>
      <c r="B165" s="574">
        <v>3825</v>
      </c>
      <c r="C165" s="576"/>
      <c r="D165" s="468"/>
      <c r="E165" s="561"/>
      <c r="F165" s="576"/>
      <c r="G165" s="468"/>
      <c r="H165" s="468"/>
      <c r="I165" s="468"/>
      <c r="J165" s="468"/>
      <c r="K165" s="468"/>
    </row>
    <row r="166" spans="1:11" ht="12.75" customHeight="1" thickTop="1" thickBot="1" x14ac:dyDescent="0.25">
      <c r="A166" s="1497" t="s">
        <v>347</v>
      </c>
      <c r="B166" s="574">
        <v>3920</v>
      </c>
      <c r="C166" s="566"/>
      <c r="D166" s="578"/>
      <c r="E166" s="468"/>
      <c r="F166" s="566"/>
      <c r="G166" s="468"/>
      <c r="H166" s="530"/>
      <c r="I166" s="468"/>
      <c r="J166" s="468"/>
      <c r="K166" s="468"/>
    </row>
    <row r="167" spans="1:11" ht="12.75" customHeight="1" thickTop="1" thickBot="1" x14ac:dyDescent="0.25">
      <c r="A167" s="1497" t="s">
        <v>348</v>
      </c>
      <c r="B167" s="574">
        <v>3925</v>
      </c>
      <c r="C167" s="521"/>
      <c r="D167" s="576"/>
      <c r="E167" s="521"/>
      <c r="F167" s="521"/>
      <c r="G167" s="468"/>
      <c r="H167" s="531"/>
      <c r="I167" s="468"/>
      <c r="J167" s="468"/>
      <c r="K167" s="530"/>
    </row>
    <row r="168" spans="1:11" ht="14.25" thickTop="1" thickBot="1" x14ac:dyDescent="0.25">
      <c r="A168" s="1497" t="s">
        <v>70</v>
      </c>
      <c r="B168" s="574">
        <v>3999</v>
      </c>
      <c r="C168" s="579">
        <v>750</v>
      </c>
      <c r="D168" s="580"/>
      <c r="E168" s="580"/>
      <c r="F168" s="580"/>
      <c r="G168" s="581"/>
      <c r="H168" s="582"/>
      <c r="I168" s="581"/>
      <c r="J168" s="581"/>
      <c r="K168" s="582"/>
    </row>
    <row r="169" spans="1:11" ht="12.75" customHeight="1" thickTop="1" thickBot="1" x14ac:dyDescent="0.25">
      <c r="A169" s="2153" t="s">
        <v>397</v>
      </c>
      <c r="B169" s="2154"/>
      <c r="C169" s="1719">
        <f t="shared" ref="C169:K169" si="6">SUM(C132,C141,C145,C146:C150,C155,C156:C167,C168)</f>
        <v>64986</v>
      </c>
      <c r="D169" s="1719">
        <f t="shared" si="6"/>
        <v>0</v>
      </c>
      <c r="E169" s="1719">
        <f t="shared" si="6"/>
        <v>0</v>
      </c>
      <c r="F169" s="1719">
        <f t="shared" si="6"/>
        <v>127309</v>
      </c>
      <c r="G169" s="1719">
        <f t="shared" si="6"/>
        <v>0</v>
      </c>
      <c r="H169" s="1719">
        <f t="shared" si="6"/>
        <v>0</v>
      </c>
      <c r="I169" s="1719">
        <f t="shared" si="6"/>
        <v>0</v>
      </c>
      <c r="J169" s="1719">
        <f t="shared" si="6"/>
        <v>0</v>
      </c>
      <c r="K169" s="1700">
        <f t="shared" si="6"/>
        <v>0</v>
      </c>
    </row>
    <row r="170" spans="1:11" ht="12.75" customHeight="1" thickTop="1" thickBot="1" x14ac:dyDescent="0.25">
      <c r="A170" s="1705" t="s">
        <v>398</v>
      </c>
      <c r="B170" s="1711" t="s">
        <v>574</v>
      </c>
      <c r="C170" s="1712">
        <f t="shared" ref="C170:K170" si="7">SUM(C122,C169)</f>
        <v>1739377</v>
      </c>
      <c r="D170" s="1712">
        <f t="shared" si="7"/>
        <v>69041</v>
      </c>
      <c r="E170" s="1712">
        <f t="shared" si="7"/>
        <v>0</v>
      </c>
      <c r="F170" s="1712">
        <f t="shared" si="7"/>
        <v>127309</v>
      </c>
      <c r="G170" s="1712">
        <f t="shared" si="7"/>
        <v>0</v>
      </c>
      <c r="H170" s="1712">
        <f t="shared" si="7"/>
        <v>0</v>
      </c>
      <c r="I170" s="1712">
        <f t="shared" si="7"/>
        <v>0</v>
      </c>
      <c r="J170" s="1712">
        <f t="shared" si="7"/>
        <v>0</v>
      </c>
      <c r="K170" s="1699">
        <f t="shared" si="7"/>
        <v>0</v>
      </c>
    </row>
    <row r="171" spans="1:11" ht="16.7" customHeight="1" thickTop="1" x14ac:dyDescent="0.2">
      <c r="A171" s="1586" t="s">
        <v>803</v>
      </c>
      <c r="B171" s="1564"/>
      <c r="C171" s="1567"/>
      <c r="D171" s="1568"/>
      <c r="E171" s="1568"/>
      <c r="F171" s="1568"/>
      <c r="G171" s="1568"/>
      <c r="H171" s="1568"/>
      <c r="I171" s="1568"/>
      <c r="J171" s="1568"/>
      <c r="K171" s="1569"/>
    </row>
    <row r="172" spans="1:11" ht="15.75" customHeight="1" x14ac:dyDescent="0.2">
      <c r="A172" s="2155" t="s">
        <v>1491</v>
      </c>
      <c r="B172" s="2156"/>
      <c r="C172" s="520"/>
      <c r="D172" s="520"/>
      <c r="E172" s="509"/>
      <c r="F172" s="468"/>
      <c r="G172" s="468"/>
      <c r="H172" s="468"/>
      <c r="I172" s="468"/>
      <c r="J172" s="468"/>
      <c r="K172" s="468"/>
    </row>
    <row r="173" spans="1:11" ht="12.6" customHeight="1" x14ac:dyDescent="0.2">
      <c r="A173" s="493" t="s">
        <v>1043</v>
      </c>
      <c r="B173" s="491">
        <v>4001</v>
      </c>
      <c r="C173" s="516">
        <v>2333</v>
      </c>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59" t="s">
        <v>1664</v>
      </c>
      <c r="B175" s="2160"/>
      <c r="C175" s="1704">
        <f>SUM(C173:C174)</f>
        <v>2333</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63" t="s">
        <v>1663</v>
      </c>
      <c r="B176" s="2164"/>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61" t="s">
        <v>784</v>
      </c>
      <c r="B181" s="2162"/>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57" t="s">
        <v>1802</v>
      </c>
      <c r="B182" s="2158"/>
      <c r="C182" s="584"/>
      <c r="D182" s="566"/>
      <c r="E182" s="509"/>
      <c r="F182" s="566"/>
      <c r="G182" s="566"/>
      <c r="H182" s="468"/>
      <c r="I182" s="468"/>
      <c r="J182" s="468"/>
      <c r="K182" s="468"/>
    </row>
    <row r="183" spans="1:11" ht="15.75" customHeight="1" x14ac:dyDescent="0.2">
      <c r="A183" s="1600" t="s">
        <v>1601</v>
      </c>
      <c r="B183" s="1601"/>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705" t="s">
        <v>1606</v>
      </c>
      <c r="B188" s="1706"/>
      <c r="C188" s="1704">
        <f>SUM(C184:C187)</f>
        <v>0</v>
      </c>
      <c r="D188" s="1704">
        <f>SUM(D184:D187)</f>
        <v>0</v>
      </c>
      <c r="E188" s="561"/>
      <c r="F188" s="1704">
        <f>SUM(F184:F187)</f>
        <v>0</v>
      </c>
      <c r="G188" s="1704">
        <f>SUM(G184:G187)</f>
        <v>0</v>
      </c>
      <c r="H188" s="468"/>
      <c r="I188" s="468"/>
      <c r="J188" s="468"/>
      <c r="K188" s="468"/>
    </row>
    <row r="189" spans="1:11" ht="15.75" customHeight="1" thickTop="1" x14ac:dyDescent="0.2">
      <c r="A189" s="1597" t="s">
        <v>454</v>
      </c>
      <c r="B189" s="1602"/>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v>88063</v>
      </c>
      <c r="D191" s="468"/>
      <c r="E191" s="561"/>
      <c r="F191" s="468"/>
      <c r="G191" s="585"/>
      <c r="H191" s="468"/>
      <c r="I191" s="468"/>
      <c r="J191" s="468"/>
      <c r="K191" s="468"/>
    </row>
    <row r="192" spans="1:11" ht="12.75" customHeight="1" x14ac:dyDescent="0.2">
      <c r="A192" s="463" t="s">
        <v>1046</v>
      </c>
      <c r="B192" s="470">
        <v>4215</v>
      </c>
      <c r="C192" s="551"/>
      <c r="D192" s="468"/>
      <c r="E192" s="561"/>
      <c r="F192" s="468"/>
      <c r="G192" s="585"/>
      <c r="H192" s="468"/>
      <c r="I192" s="468"/>
      <c r="J192" s="468"/>
      <c r="K192" s="468"/>
    </row>
    <row r="193" spans="1:11" ht="12.75" customHeight="1" x14ac:dyDescent="0.2">
      <c r="A193" s="463" t="s">
        <v>1058</v>
      </c>
      <c r="B193" s="470">
        <v>4220</v>
      </c>
      <c r="C193" s="551">
        <v>33755</v>
      </c>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5" t="s">
        <v>547</v>
      </c>
      <c r="B198" s="1706"/>
      <c r="C198" s="1685">
        <f>SUM(C190:C197)</f>
        <v>121818</v>
      </c>
      <c r="D198" s="468"/>
      <c r="E198" s="468"/>
      <c r="F198" s="468"/>
      <c r="G198" s="1685">
        <f>SUM(G190:G197)</f>
        <v>0</v>
      </c>
      <c r="H198" s="468"/>
      <c r="I198" s="468"/>
      <c r="J198" s="468"/>
      <c r="K198" s="468"/>
    </row>
    <row r="199" spans="1:11" ht="15.75" customHeight="1" thickTop="1" x14ac:dyDescent="0.2">
      <c r="A199" s="1597" t="s">
        <v>1137</v>
      </c>
      <c r="B199" s="1602"/>
      <c r="C199" s="553"/>
      <c r="D199" s="468"/>
      <c r="E199" s="468"/>
      <c r="F199" s="468"/>
      <c r="G199" s="468"/>
      <c r="H199" s="468"/>
      <c r="I199" s="468"/>
      <c r="J199" s="468"/>
      <c r="K199" s="468"/>
    </row>
    <row r="200" spans="1:11" ht="12.75" customHeight="1" x14ac:dyDescent="0.2">
      <c r="A200" s="463" t="s">
        <v>917</v>
      </c>
      <c r="B200" s="470">
        <v>4300</v>
      </c>
      <c r="C200" s="466">
        <v>245725</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v>777</v>
      </c>
      <c r="D203" s="466"/>
      <c r="E203" s="468"/>
      <c r="F203" s="466"/>
      <c r="G203" s="466"/>
      <c r="H203" s="468"/>
      <c r="I203" s="468"/>
      <c r="J203" s="468"/>
      <c r="K203" s="468"/>
    </row>
    <row r="204" spans="1:11" ht="12.75" customHeight="1" thickBot="1" x14ac:dyDescent="0.25">
      <c r="A204" s="1705" t="s">
        <v>399</v>
      </c>
      <c r="B204" s="1706"/>
      <c r="C204" s="1704">
        <f>SUM(C200:C203)</f>
        <v>246502</v>
      </c>
      <c r="D204" s="1704">
        <f>SUM(D200:D203)</f>
        <v>0</v>
      </c>
      <c r="E204" s="468"/>
      <c r="F204" s="1704">
        <f>SUM(F200:F203)</f>
        <v>0</v>
      </c>
      <c r="G204" s="1704">
        <f>SUM(G200:G203)</f>
        <v>0</v>
      </c>
      <c r="H204" s="468"/>
      <c r="I204" s="468"/>
      <c r="J204" s="468"/>
      <c r="K204" s="468"/>
    </row>
    <row r="205" spans="1:11" ht="15.75" customHeight="1" thickTop="1" x14ac:dyDescent="0.2">
      <c r="A205" s="1597" t="s">
        <v>1138</v>
      </c>
      <c r="B205" s="1602"/>
      <c r="C205" s="553"/>
      <c r="D205" s="553"/>
      <c r="E205" s="468"/>
      <c r="F205" s="553"/>
      <c r="G205" s="553"/>
      <c r="H205" s="468"/>
      <c r="I205" s="468"/>
      <c r="J205" s="468"/>
      <c r="K205" s="468"/>
    </row>
    <row r="206" spans="1:11" ht="12.75" customHeight="1" x14ac:dyDescent="0.2">
      <c r="A206" s="463" t="s">
        <v>758</v>
      </c>
      <c r="B206" s="470">
        <v>4400</v>
      </c>
      <c r="C206" s="551"/>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5" t="s">
        <v>888</v>
      </c>
      <c r="B209" s="1706"/>
      <c r="C209" s="1704">
        <f>SUM(C206:C208)</f>
        <v>0</v>
      </c>
      <c r="D209" s="1704">
        <f>SUM(D206:D208)</f>
        <v>0</v>
      </c>
      <c r="E209" s="468" t="s">
        <v>1168</v>
      </c>
      <c r="F209" s="1704">
        <f>SUM(F206:F208)</f>
        <v>0</v>
      </c>
      <c r="G209" s="1704">
        <f>SUM(G206:G208)</f>
        <v>0</v>
      </c>
      <c r="H209" s="468"/>
      <c r="I209" s="468"/>
      <c r="J209" s="468"/>
      <c r="K209" s="468"/>
    </row>
    <row r="210" spans="1:11" ht="15.75" customHeight="1" thickTop="1" x14ac:dyDescent="0.2">
      <c r="A210" s="1597" t="s">
        <v>1091</v>
      </c>
      <c r="B210" s="1602"/>
      <c r="C210" s="553"/>
      <c r="D210" s="553"/>
      <c r="E210" s="468"/>
      <c r="F210" s="553"/>
      <c r="G210" s="553"/>
      <c r="H210" s="468"/>
      <c r="I210" s="468"/>
      <c r="J210" s="468"/>
      <c r="K210" s="468"/>
    </row>
    <row r="211" spans="1:11" ht="12.75" customHeight="1" x14ac:dyDescent="0.2">
      <c r="A211" s="463" t="s">
        <v>1051</v>
      </c>
      <c r="B211" s="470">
        <v>4600</v>
      </c>
      <c r="C211" s="551"/>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v>125698</v>
      </c>
      <c r="D213" s="466"/>
      <c r="E213" s="468"/>
      <c r="F213" s="466"/>
      <c r="G213" s="466"/>
      <c r="H213" s="468"/>
      <c r="I213" s="468"/>
      <c r="J213" s="468"/>
      <c r="K213" s="468"/>
    </row>
    <row r="214" spans="1:11" ht="12.75" customHeight="1" x14ac:dyDescent="0.2">
      <c r="A214" s="463" t="s">
        <v>1053</v>
      </c>
      <c r="B214" s="470">
        <v>4625</v>
      </c>
      <c r="C214" s="551"/>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498" t="s">
        <v>74</v>
      </c>
      <c r="B216" s="557">
        <v>4699</v>
      </c>
      <c r="C216" s="551"/>
      <c r="D216" s="466"/>
      <c r="E216" s="468"/>
      <c r="F216" s="466"/>
      <c r="G216" s="466"/>
      <c r="H216" s="468"/>
      <c r="I216" s="468"/>
      <c r="J216" s="468"/>
      <c r="K216" s="468"/>
    </row>
    <row r="217" spans="1:11" ht="12.75" customHeight="1" thickBot="1" x14ac:dyDescent="0.25">
      <c r="A217" s="1705" t="s">
        <v>446</v>
      </c>
      <c r="B217" s="1706"/>
      <c r="C217" s="1704">
        <f>SUM(C211:C216)</f>
        <v>125698</v>
      </c>
      <c r="D217" s="1704">
        <f>SUM(D211:D216)</f>
        <v>0</v>
      </c>
      <c r="E217" s="468"/>
      <c r="F217" s="1704">
        <f>SUM(F211:F216)</f>
        <v>0</v>
      </c>
      <c r="G217" s="1704">
        <f>SUM(G211:G216)</f>
        <v>0</v>
      </c>
      <c r="H217" s="468"/>
      <c r="I217" s="468"/>
      <c r="J217" s="468"/>
      <c r="K217" s="468"/>
    </row>
    <row r="218" spans="1:11" ht="15.75" customHeight="1" thickTop="1" x14ac:dyDescent="0.2">
      <c r="A218" s="1597" t="s">
        <v>1092</v>
      </c>
      <c r="B218" s="1602"/>
      <c r="C218" s="553"/>
      <c r="D218" s="553"/>
      <c r="E218" s="468"/>
      <c r="F218" s="553"/>
      <c r="G218" s="553"/>
      <c r="H218" s="468"/>
      <c r="I218" s="468"/>
      <c r="J218" s="468"/>
      <c r="K218" s="468"/>
    </row>
    <row r="219" spans="1:11" ht="12.75" customHeight="1" x14ac:dyDescent="0.2">
      <c r="A219" s="463" t="s">
        <v>786</v>
      </c>
      <c r="B219" s="470">
        <v>4770</v>
      </c>
      <c r="C219" s="551"/>
      <c r="D219" s="466"/>
      <c r="E219" s="468"/>
      <c r="F219" s="468"/>
      <c r="G219" s="466"/>
      <c r="H219" s="468"/>
      <c r="I219" s="468"/>
      <c r="J219" s="468"/>
      <c r="K219" s="468"/>
    </row>
    <row r="220" spans="1:11" ht="12.75" customHeight="1" x14ac:dyDescent="0.2">
      <c r="A220" s="463" t="s">
        <v>67</v>
      </c>
      <c r="B220" s="470">
        <v>4799</v>
      </c>
      <c r="C220" s="551">
        <v>11034</v>
      </c>
      <c r="D220" s="466"/>
      <c r="E220" s="468"/>
      <c r="F220" s="468"/>
      <c r="G220" s="466"/>
      <c r="H220" s="468"/>
      <c r="I220" s="468"/>
      <c r="J220" s="468"/>
      <c r="K220" s="468"/>
    </row>
    <row r="221" spans="1:11" ht="12.75" customHeight="1" thickBot="1" x14ac:dyDescent="0.25">
      <c r="A221" s="1720" t="s">
        <v>1084</v>
      </c>
      <c r="B221" s="1721"/>
      <c r="C221" s="1704">
        <f>SUM(C219:C220)</f>
        <v>11034</v>
      </c>
      <c r="D221" s="1704">
        <f>SUM(D219:D220)</f>
        <v>0</v>
      </c>
      <c r="E221" s="468"/>
      <c r="F221" s="468"/>
      <c r="G221" s="1704">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2" t="s">
        <v>773</v>
      </c>
      <c r="B252" s="1723"/>
      <c r="C252" s="1715">
        <f t="shared" ref="C252:H252" si="9">SUM(C223:C251)</f>
        <v>0</v>
      </c>
      <c r="D252" s="1704">
        <f t="shared" si="9"/>
        <v>0</v>
      </c>
      <c r="E252" s="1704">
        <f t="shared" si="9"/>
        <v>0</v>
      </c>
      <c r="F252" s="1704">
        <f t="shared" si="9"/>
        <v>0</v>
      </c>
      <c r="G252" s="1704">
        <f t="shared" si="9"/>
        <v>0</v>
      </c>
      <c r="H252" s="1704">
        <f t="shared" si="9"/>
        <v>0</v>
      </c>
      <c r="I252" s="553"/>
      <c r="J252" s="1704">
        <f>SUM(J223:J251)</f>
        <v>0</v>
      </c>
      <c r="K252" s="1685">
        <f>SUM(K223:K251)</f>
        <v>0</v>
      </c>
    </row>
    <row r="253" spans="1:11" ht="12.75" customHeight="1" thickTop="1" thickBot="1" x14ac:dyDescent="0.25">
      <c r="A253" s="1499" t="s">
        <v>1420</v>
      </c>
      <c r="B253" s="588">
        <v>4901</v>
      </c>
      <c r="C253" s="589"/>
      <c r="D253" s="469"/>
      <c r="E253" s="468"/>
      <c r="F253" s="468"/>
      <c r="G253" s="468"/>
      <c r="H253" s="468"/>
      <c r="I253" s="468"/>
      <c r="J253" s="468"/>
      <c r="K253" s="468"/>
    </row>
    <row r="254" spans="1:11" ht="12.75" customHeight="1" thickTop="1" thickBot="1" x14ac:dyDescent="0.25">
      <c r="A254" s="1500"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51766</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27" t="s">
        <v>1936</v>
      </c>
      <c r="B261" s="470">
        <v>4981</v>
      </c>
      <c r="C261" s="575"/>
      <c r="D261" s="576"/>
      <c r="E261" s="468"/>
      <c r="F261" s="576"/>
      <c r="G261" s="576"/>
      <c r="H261" s="468"/>
      <c r="I261" s="468"/>
      <c r="J261" s="468"/>
      <c r="K261" s="468"/>
    </row>
    <row r="262" spans="1:11" ht="12.75" customHeight="1" thickTop="1" thickBot="1" x14ac:dyDescent="0.25">
      <c r="A262" s="1928" t="s">
        <v>1937</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12579</v>
      </c>
      <c r="D263" s="576"/>
      <c r="E263" s="468"/>
      <c r="F263" s="576"/>
      <c r="G263" s="576"/>
      <c r="H263" s="468"/>
      <c r="I263" s="468"/>
      <c r="J263" s="468"/>
      <c r="K263" s="468"/>
    </row>
    <row r="264" spans="1:11" ht="12.75" customHeight="1" thickTop="1" thickBot="1" x14ac:dyDescent="0.25">
      <c r="A264" s="463" t="s">
        <v>376</v>
      </c>
      <c r="B264" s="470">
        <v>4992</v>
      </c>
      <c r="C264" s="575">
        <v>30894</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5" t="s">
        <v>1665</v>
      </c>
      <c r="B266" s="1724"/>
      <c r="C266" s="1712">
        <f t="shared" ref="C266:H266" si="10">SUM(C188,C198,C204,C209,C217,C221,C222,C252:C265)</f>
        <v>600291</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1085</v>
      </c>
      <c r="B267" s="1726" t="s">
        <v>859</v>
      </c>
      <c r="C267" s="1712">
        <f>SUM(C175,C181,C266)</f>
        <v>602624</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5203757</v>
      </c>
      <c r="D268" s="1712">
        <f t="shared" si="12"/>
        <v>468312</v>
      </c>
      <c r="E268" s="1712">
        <f t="shared" si="12"/>
        <v>1030079</v>
      </c>
      <c r="F268" s="1712">
        <f t="shared" si="12"/>
        <v>299183</v>
      </c>
      <c r="G268" s="1712">
        <f t="shared" si="12"/>
        <v>352979</v>
      </c>
      <c r="H268" s="1712">
        <f t="shared" si="12"/>
        <v>0</v>
      </c>
      <c r="I268" s="1712">
        <f t="shared" si="12"/>
        <v>39926</v>
      </c>
      <c r="J268" s="1712">
        <f t="shared" si="12"/>
        <v>533729</v>
      </c>
      <c r="K268" s="1699">
        <f t="shared" si="12"/>
        <v>39907</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&amp;L&amp;8See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06" activePane="bottomLeft" state="frozen"/>
      <selection pane="bottomLeft" activeCell="I325" sqref="I325"/>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3" t="s">
        <v>1801</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65"/>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71" t="s">
        <v>296</v>
      </c>
      <c r="B3" s="2172"/>
      <c r="C3" s="1545"/>
      <c r="D3" s="1545"/>
      <c r="E3" s="1545"/>
      <c r="F3" s="1545"/>
      <c r="G3" s="1545"/>
      <c r="H3" s="1545"/>
      <c r="I3" s="1545"/>
      <c r="J3" s="1545"/>
      <c r="K3" s="1546"/>
      <c r="L3" s="1547"/>
      <c r="M3" s="609"/>
      <c r="N3" s="609"/>
    </row>
    <row r="4" spans="1:14" s="259" customFormat="1" ht="15.75" customHeight="1" x14ac:dyDescent="0.2">
      <c r="A4" s="1603" t="s">
        <v>44</v>
      </c>
      <c r="B4" s="1604" t="s">
        <v>569</v>
      </c>
      <c r="C4" s="610"/>
      <c r="D4" s="610"/>
      <c r="E4" s="610"/>
      <c r="F4" s="610"/>
      <c r="G4" s="610"/>
      <c r="H4" s="610"/>
      <c r="I4" s="611"/>
      <c r="J4" s="610"/>
      <c r="K4" s="612"/>
      <c r="L4" s="610"/>
      <c r="M4" s="613"/>
      <c r="N4" s="613"/>
    </row>
    <row r="5" spans="1:14" x14ac:dyDescent="0.2">
      <c r="A5" s="1501" t="s">
        <v>960</v>
      </c>
      <c r="B5" s="614">
        <v>1100</v>
      </c>
      <c r="C5" s="466">
        <v>2100391</v>
      </c>
      <c r="D5" s="466">
        <v>470311</v>
      </c>
      <c r="E5" s="466">
        <v>87218</v>
      </c>
      <c r="F5" s="466">
        <v>36793</v>
      </c>
      <c r="G5" s="466">
        <v>679</v>
      </c>
      <c r="H5" s="466">
        <v>9179</v>
      </c>
      <c r="I5" s="467"/>
      <c r="J5" s="467"/>
      <c r="K5" s="1668">
        <f>SUM(C5:J5)</f>
        <v>2704571</v>
      </c>
      <c r="L5" s="466">
        <v>2632165</v>
      </c>
    </row>
    <row r="6" spans="1:14" x14ac:dyDescent="0.2">
      <c r="A6" s="1501" t="s">
        <v>1432</v>
      </c>
      <c r="B6" s="614" t="s">
        <v>1430</v>
      </c>
      <c r="C6" s="477"/>
      <c r="D6" s="477"/>
      <c r="E6" s="466"/>
      <c r="F6" s="477"/>
      <c r="G6" s="477"/>
      <c r="H6" s="477"/>
      <c r="I6" s="477"/>
      <c r="J6" s="477"/>
      <c r="K6" s="1668">
        <f>SUM(C6,E6)</f>
        <v>0</v>
      </c>
      <c r="L6" s="466"/>
    </row>
    <row r="7" spans="1:14" x14ac:dyDescent="0.2">
      <c r="A7" s="1501" t="s">
        <v>163</v>
      </c>
      <c r="B7" s="614" t="s">
        <v>966</v>
      </c>
      <c r="C7" s="467">
        <v>30115</v>
      </c>
      <c r="D7" s="467">
        <v>5528</v>
      </c>
      <c r="E7" s="467">
        <v>778</v>
      </c>
      <c r="F7" s="467">
        <v>51</v>
      </c>
      <c r="G7" s="467"/>
      <c r="H7" s="467"/>
      <c r="I7" s="467"/>
      <c r="J7" s="467"/>
      <c r="K7" s="1668">
        <f t="shared" ref="K7:K32" si="0">SUM(C7:J7)</f>
        <v>36472</v>
      </c>
      <c r="L7" s="466">
        <v>39720</v>
      </c>
    </row>
    <row r="8" spans="1:14" x14ac:dyDescent="0.2">
      <c r="A8" s="1501" t="s">
        <v>164</v>
      </c>
      <c r="B8" s="614">
        <v>1200</v>
      </c>
      <c r="C8" s="466">
        <v>662383</v>
      </c>
      <c r="D8" s="466">
        <v>117185</v>
      </c>
      <c r="E8" s="466">
        <v>8378</v>
      </c>
      <c r="F8" s="466">
        <v>4595</v>
      </c>
      <c r="G8" s="466"/>
      <c r="H8" s="466"/>
      <c r="I8" s="467"/>
      <c r="J8" s="467"/>
      <c r="K8" s="1668">
        <f t="shared" si="0"/>
        <v>792541</v>
      </c>
      <c r="L8" s="466">
        <v>767457</v>
      </c>
    </row>
    <row r="9" spans="1:14" x14ac:dyDescent="0.2">
      <c r="A9" s="1501" t="s">
        <v>720</v>
      </c>
      <c r="B9" s="614" t="s">
        <v>967</v>
      </c>
      <c r="C9" s="467">
        <v>29590</v>
      </c>
      <c r="D9" s="467">
        <v>5477</v>
      </c>
      <c r="E9" s="467">
        <v>32</v>
      </c>
      <c r="F9" s="467"/>
      <c r="G9" s="467"/>
      <c r="H9" s="467"/>
      <c r="I9" s="467"/>
      <c r="J9" s="467"/>
      <c r="K9" s="1668">
        <f t="shared" si="0"/>
        <v>35099</v>
      </c>
      <c r="L9" s="466">
        <v>37070</v>
      </c>
    </row>
    <row r="10" spans="1:14" x14ac:dyDescent="0.2">
      <c r="A10" s="1501" t="s">
        <v>721</v>
      </c>
      <c r="B10" s="614">
        <v>1250</v>
      </c>
      <c r="C10" s="466">
        <v>104671</v>
      </c>
      <c r="D10" s="466">
        <v>27884</v>
      </c>
      <c r="E10" s="466">
        <v>13360</v>
      </c>
      <c r="F10" s="466">
        <v>30986</v>
      </c>
      <c r="G10" s="466"/>
      <c r="H10" s="466"/>
      <c r="I10" s="467"/>
      <c r="J10" s="467"/>
      <c r="K10" s="1668">
        <f t="shared" si="0"/>
        <v>176901</v>
      </c>
      <c r="L10" s="466">
        <v>180150</v>
      </c>
    </row>
    <row r="11" spans="1:14" x14ac:dyDescent="0.2">
      <c r="A11" s="1501" t="s">
        <v>1129</v>
      </c>
      <c r="B11" s="614" t="s">
        <v>161</v>
      </c>
      <c r="C11" s="467"/>
      <c r="D11" s="467"/>
      <c r="E11" s="467"/>
      <c r="F11" s="467"/>
      <c r="G11" s="467"/>
      <c r="H11" s="467"/>
      <c r="I11" s="467"/>
      <c r="J11" s="467"/>
      <c r="K11" s="1668">
        <f t="shared" si="0"/>
        <v>0</v>
      </c>
      <c r="L11" s="466"/>
    </row>
    <row r="12" spans="1:14" x14ac:dyDescent="0.2">
      <c r="A12" s="1501" t="s">
        <v>961</v>
      </c>
      <c r="B12" s="614">
        <v>1300</v>
      </c>
      <c r="C12" s="466"/>
      <c r="D12" s="466"/>
      <c r="E12" s="466"/>
      <c r="F12" s="466"/>
      <c r="G12" s="466"/>
      <c r="H12" s="466"/>
      <c r="I12" s="467"/>
      <c r="J12" s="467"/>
      <c r="K12" s="1668">
        <f t="shared" si="0"/>
        <v>0</v>
      </c>
      <c r="L12" s="466"/>
    </row>
    <row r="13" spans="1:14" x14ac:dyDescent="0.2">
      <c r="A13" s="1501" t="s">
        <v>722</v>
      </c>
      <c r="B13" s="614">
        <v>1400</v>
      </c>
      <c r="C13" s="466">
        <v>79925</v>
      </c>
      <c r="D13" s="466">
        <v>17081</v>
      </c>
      <c r="E13" s="466"/>
      <c r="F13" s="466">
        <v>12884</v>
      </c>
      <c r="G13" s="466"/>
      <c r="H13" s="466"/>
      <c r="I13" s="467"/>
      <c r="J13" s="467"/>
      <c r="K13" s="1668">
        <f t="shared" si="0"/>
        <v>109890</v>
      </c>
      <c r="L13" s="466">
        <v>104050</v>
      </c>
    </row>
    <row r="14" spans="1:14" x14ac:dyDescent="0.2">
      <c r="A14" s="1501" t="s">
        <v>962</v>
      </c>
      <c r="B14" s="614">
        <v>1500</v>
      </c>
      <c r="C14" s="466">
        <v>97023</v>
      </c>
      <c r="D14" s="466">
        <v>3429</v>
      </c>
      <c r="E14" s="466">
        <v>31106</v>
      </c>
      <c r="F14" s="466">
        <v>21418</v>
      </c>
      <c r="G14" s="466"/>
      <c r="H14" s="466"/>
      <c r="I14" s="467"/>
      <c r="J14" s="467"/>
      <c r="K14" s="1668">
        <f t="shared" si="0"/>
        <v>152976</v>
      </c>
      <c r="L14" s="466">
        <v>161200</v>
      </c>
    </row>
    <row r="15" spans="1:14" x14ac:dyDescent="0.2">
      <c r="A15" s="1501" t="s">
        <v>963</v>
      </c>
      <c r="B15" s="614">
        <v>1600</v>
      </c>
      <c r="C15" s="466"/>
      <c r="D15" s="466"/>
      <c r="E15" s="466"/>
      <c r="F15" s="466"/>
      <c r="G15" s="466"/>
      <c r="H15" s="466"/>
      <c r="I15" s="467"/>
      <c r="J15" s="467"/>
      <c r="K15" s="1668">
        <f t="shared" si="0"/>
        <v>0</v>
      </c>
      <c r="L15" s="466"/>
    </row>
    <row r="16" spans="1:14" x14ac:dyDescent="0.2">
      <c r="A16" s="1501" t="s">
        <v>986</v>
      </c>
      <c r="B16" s="614" t="s">
        <v>423</v>
      </c>
      <c r="C16" s="466"/>
      <c r="D16" s="466"/>
      <c r="E16" s="466"/>
      <c r="F16" s="466"/>
      <c r="G16" s="466"/>
      <c r="H16" s="466"/>
      <c r="I16" s="467"/>
      <c r="J16" s="467"/>
      <c r="K16" s="1668">
        <f t="shared" si="0"/>
        <v>0</v>
      </c>
      <c r="L16" s="466"/>
    </row>
    <row r="17" spans="1:12" x14ac:dyDescent="0.2">
      <c r="A17" s="1501" t="s">
        <v>723</v>
      </c>
      <c r="B17" s="614" t="s">
        <v>162</v>
      </c>
      <c r="C17" s="467">
        <v>6120</v>
      </c>
      <c r="D17" s="467">
        <v>740</v>
      </c>
      <c r="E17" s="467"/>
      <c r="F17" s="467">
        <v>1064</v>
      </c>
      <c r="G17" s="467"/>
      <c r="H17" s="467"/>
      <c r="I17" s="467"/>
      <c r="J17" s="467"/>
      <c r="K17" s="1668">
        <f t="shared" si="0"/>
        <v>7924</v>
      </c>
      <c r="L17" s="466">
        <v>6250</v>
      </c>
    </row>
    <row r="18" spans="1:12" x14ac:dyDescent="0.2">
      <c r="A18" s="1501" t="s">
        <v>1086</v>
      </c>
      <c r="B18" s="614">
        <v>1800</v>
      </c>
      <c r="C18" s="466"/>
      <c r="D18" s="466"/>
      <c r="E18" s="466"/>
      <c r="F18" s="466"/>
      <c r="G18" s="466"/>
      <c r="H18" s="466"/>
      <c r="I18" s="467"/>
      <c r="J18" s="467"/>
      <c r="K18" s="1668">
        <f t="shared" si="0"/>
        <v>0</v>
      </c>
      <c r="L18" s="466"/>
    </row>
    <row r="19" spans="1:12" x14ac:dyDescent="0.2">
      <c r="A19" s="1501" t="s">
        <v>134</v>
      </c>
      <c r="B19" s="614">
        <v>1900</v>
      </c>
      <c r="C19" s="466"/>
      <c r="D19" s="466"/>
      <c r="E19" s="466"/>
      <c r="F19" s="466"/>
      <c r="G19" s="466"/>
      <c r="H19" s="466"/>
      <c r="I19" s="467"/>
      <c r="J19" s="467"/>
      <c r="K19" s="1668">
        <f t="shared" si="0"/>
        <v>0</v>
      </c>
      <c r="L19" s="466"/>
    </row>
    <row r="20" spans="1:12" x14ac:dyDescent="0.2">
      <c r="A20" s="1502" t="s">
        <v>737</v>
      </c>
      <c r="B20" s="602" t="s">
        <v>724</v>
      </c>
      <c r="C20" s="477"/>
      <c r="D20" s="477"/>
      <c r="E20" s="477"/>
      <c r="F20" s="477"/>
      <c r="G20" s="477"/>
      <c r="H20" s="474"/>
      <c r="I20" s="616"/>
      <c r="J20" s="475"/>
      <c r="K20" s="1668">
        <f t="shared" si="0"/>
        <v>0</v>
      </c>
      <c r="L20" s="471"/>
    </row>
    <row r="21" spans="1:12" x14ac:dyDescent="0.2">
      <c r="A21" s="1502" t="s">
        <v>738</v>
      </c>
      <c r="B21" s="602" t="s">
        <v>725</v>
      </c>
      <c r="C21" s="477"/>
      <c r="D21" s="477"/>
      <c r="E21" s="477"/>
      <c r="F21" s="477"/>
      <c r="G21" s="477"/>
      <c r="H21" s="474"/>
      <c r="I21" s="616"/>
      <c r="J21" s="477"/>
      <c r="K21" s="1668">
        <f t="shared" si="0"/>
        <v>0</v>
      </c>
      <c r="L21" s="471"/>
    </row>
    <row r="22" spans="1:12" x14ac:dyDescent="0.2">
      <c r="A22" s="1502" t="s">
        <v>739</v>
      </c>
      <c r="B22" s="602" t="s">
        <v>726</v>
      </c>
      <c r="C22" s="477"/>
      <c r="D22" s="477"/>
      <c r="E22" s="477"/>
      <c r="F22" s="477"/>
      <c r="G22" s="477"/>
      <c r="H22" s="474"/>
      <c r="I22" s="616"/>
      <c r="J22" s="477"/>
      <c r="K22" s="1668">
        <f t="shared" si="0"/>
        <v>0</v>
      </c>
      <c r="L22" s="471"/>
    </row>
    <row r="23" spans="1:12" x14ac:dyDescent="0.2">
      <c r="A23" s="1502" t="s">
        <v>740</v>
      </c>
      <c r="B23" s="602" t="s">
        <v>727</v>
      </c>
      <c r="C23" s="477"/>
      <c r="D23" s="477"/>
      <c r="E23" s="477"/>
      <c r="F23" s="477"/>
      <c r="G23" s="477"/>
      <c r="H23" s="474"/>
      <c r="I23" s="616"/>
      <c r="J23" s="477"/>
      <c r="K23" s="1668">
        <f t="shared" si="0"/>
        <v>0</v>
      </c>
      <c r="L23" s="471"/>
    </row>
    <row r="24" spans="1:12" ht="12.75" customHeight="1" x14ac:dyDescent="0.2">
      <c r="A24" s="1502" t="s">
        <v>741</v>
      </c>
      <c r="B24" s="602" t="s">
        <v>728</v>
      </c>
      <c r="C24" s="477"/>
      <c r="D24" s="477"/>
      <c r="E24" s="477"/>
      <c r="F24" s="477"/>
      <c r="G24" s="477"/>
      <c r="H24" s="474"/>
      <c r="I24" s="616"/>
      <c r="J24" s="477"/>
      <c r="K24" s="1668">
        <f t="shared" si="0"/>
        <v>0</v>
      </c>
      <c r="L24" s="471"/>
    </row>
    <row r="25" spans="1:12" ht="12.75" customHeight="1" x14ac:dyDescent="0.2">
      <c r="A25" s="1502" t="s">
        <v>801</v>
      </c>
      <c r="B25" s="602" t="s">
        <v>729</v>
      </c>
      <c r="C25" s="477"/>
      <c r="D25" s="477"/>
      <c r="E25" s="477"/>
      <c r="F25" s="477"/>
      <c r="G25" s="477"/>
      <c r="H25" s="474"/>
      <c r="I25" s="616"/>
      <c r="J25" s="477"/>
      <c r="K25" s="1668">
        <f t="shared" si="0"/>
        <v>0</v>
      </c>
      <c r="L25" s="471"/>
    </row>
    <row r="26" spans="1:12" x14ac:dyDescent="0.2">
      <c r="A26" s="1502" t="s">
        <v>621</v>
      </c>
      <c r="B26" s="602" t="s">
        <v>730</v>
      </c>
      <c r="C26" s="477"/>
      <c r="D26" s="477"/>
      <c r="E26" s="477"/>
      <c r="F26" s="477"/>
      <c r="G26" s="477"/>
      <c r="H26" s="474"/>
      <c r="I26" s="616"/>
      <c r="J26" s="477"/>
      <c r="K26" s="1668">
        <f t="shared" si="0"/>
        <v>0</v>
      </c>
      <c r="L26" s="471"/>
    </row>
    <row r="27" spans="1:12" x14ac:dyDescent="0.2">
      <c r="A27" s="1502" t="s">
        <v>622</v>
      </c>
      <c r="B27" s="602" t="s">
        <v>731</v>
      </c>
      <c r="C27" s="477"/>
      <c r="D27" s="477"/>
      <c r="E27" s="477"/>
      <c r="F27" s="477"/>
      <c r="G27" s="477"/>
      <c r="H27" s="474"/>
      <c r="I27" s="616"/>
      <c r="J27" s="477"/>
      <c r="K27" s="1668">
        <f t="shared" si="0"/>
        <v>0</v>
      </c>
      <c r="L27" s="471"/>
    </row>
    <row r="28" spans="1:12" x14ac:dyDescent="0.2">
      <c r="A28" s="1502" t="s">
        <v>150</v>
      </c>
      <c r="B28" s="602" t="s">
        <v>732</v>
      </c>
      <c r="C28" s="477"/>
      <c r="D28" s="477"/>
      <c r="E28" s="477"/>
      <c r="F28" s="477"/>
      <c r="G28" s="477"/>
      <c r="H28" s="474"/>
      <c r="I28" s="616"/>
      <c r="J28" s="477"/>
      <c r="K28" s="1668">
        <f t="shared" si="0"/>
        <v>0</v>
      </c>
      <c r="L28" s="471"/>
    </row>
    <row r="29" spans="1:12" x14ac:dyDescent="0.2">
      <c r="A29" s="1502" t="s">
        <v>151</v>
      </c>
      <c r="B29" s="602" t="s">
        <v>733</v>
      </c>
      <c r="C29" s="477"/>
      <c r="D29" s="477"/>
      <c r="E29" s="477"/>
      <c r="F29" s="477"/>
      <c r="G29" s="477"/>
      <c r="H29" s="474"/>
      <c r="I29" s="616"/>
      <c r="J29" s="477"/>
      <c r="K29" s="1668">
        <f t="shared" si="0"/>
        <v>0</v>
      </c>
      <c r="L29" s="471"/>
    </row>
    <row r="30" spans="1:12" x14ac:dyDescent="0.2">
      <c r="A30" s="1502" t="s">
        <v>152</v>
      </c>
      <c r="B30" s="602" t="s">
        <v>734</v>
      </c>
      <c r="C30" s="477"/>
      <c r="D30" s="477"/>
      <c r="E30" s="477"/>
      <c r="F30" s="477"/>
      <c r="G30" s="477"/>
      <c r="H30" s="474"/>
      <c r="I30" s="616"/>
      <c r="J30" s="477"/>
      <c r="K30" s="1668">
        <f t="shared" si="0"/>
        <v>0</v>
      </c>
      <c r="L30" s="471"/>
    </row>
    <row r="31" spans="1:12" x14ac:dyDescent="0.2">
      <c r="A31" s="1502" t="s">
        <v>153</v>
      </c>
      <c r="B31" s="602" t="s">
        <v>735</v>
      </c>
      <c r="C31" s="477"/>
      <c r="D31" s="477"/>
      <c r="E31" s="477"/>
      <c r="F31" s="477"/>
      <c r="G31" s="477"/>
      <c r="H31" s="474"/>
      <c r="I31" s="616"/>
      <c r="J31" s="477"/>
      <c r="K31" s="1668">
        <f t="shared" si="0"/>
        <v>0</v>
      </c>
      <c r="L31" s="471"/>
    </row>
    <row r="32" spans="1:12" x14ac:dyDescent="0.2">
      <c r="A32" s="1503" t="s">
        <v>1128</v>
      </c>
      <c r="B32" s="614" t="s">
        <v>736</v>
      </c>
      <c r="C32" s="477"/>
      <c r="D32" s="477"/>
      <c r="E32" s="477"/>
      <c r="F32" s="477"/>
      <c r="G32" s="477"/>
      <c r="H32" s="474"/>
      <c r="I32" s="616"/>
      <c r="J32" s="480"/>
      <c r="K32" s="1668">
        <f t="shared" si="0"/>
        <v>0</v>
      </c>
      <c r="L32" s="471"/>
    </row>
    <row r="33" spans="1:14" ht="12.75" customHeight="1" thickBot="1" x14ac:dyDescent="0.25">
      <c r="A33" s="1665" t="s">
        <v>1667</v>
      </c>
      <c r="B33" s="1666" t="s">
        <v>569</v>
      </c>
      <c r="C33" s="1667">
        <f>SUM(C5:C32)</f>
        <v>3110218</v>
      </c>
      <c r="D33" s="1667">
        <f t="shared" ref="D33:L33" si="1">SUM(D5:D32)</f>
        <v>647635</v>
      </c>
      <c r="E33" s="1667">
        <f t="shared" si="1"/>
        <v>140872</v>
      </c>
      <c r="F33" s="1667">
        <f t="shared" si="1"/>
        <v>107791</v>
      </c>
      <c r="G33" s="1667">
        <f t="shared" si="1"/>
        <v>679</v>
      </c>
      <c r="H33" s="1667">
        <f t="shared" si="1"/>
        <v>9179</v>
      </c>
      <c r="I33" s="1667">
        <f t="shared" si="1"/>
        <v>0</v>
      </c>
      <c r="J33" s="1667">
        <f t="shared" si="1"/>
        <v>0</v>
      </c>
      <c r="K33" s="1667">
        <f t="shared" si="1"/>
        <v>4016374</v>
      </c>
      <c r="L33" s="1667">
        <f t="shared" si="1"/>
        <v>3928062</v>
      </c>
    </row>
    <row r="34" spans="1:14" s="620" customFormat="1" ht="15.75" customHeight="1" thickTop="1" x14ac:dyDescent="0.2">
      <c r="A34" s="1605" t="s">
        <v>46</v>
      </c>
      <c r="B34" s="1606"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1" t="s">
        <v>1088</v>
      </c>
      <c r="B36" s="614">
        <v>2110</v>
      </c>
      <c r="C36" s="481"/>
      <c r="D36" s="481"/>
      <c r="E36" s="481"/>
      <c r="F36" s="481"/>
      <c r="G36" s="481"/>
      <c r="H36" s="481"/>
      <c r="I36" s="467"/>
      <c r="J36" s="467"/>
      <c r="K36" s="1668">
        <f t="shared" ref="K36:K41" si="2">SUM(C36:J36)</f>
        <v>0</v>
      </c>
      <c r="L36" s="466"/>
    </row>
    <row r="37" spans="1:14" x14ac:dyDescent="0.2">
      <c r="A37" s="1501" t="s">
        <v>1089</v>
      </c>
      <c r="B37" s="614">
        <v>2120</v>
      </c>
      <c r="C37" s="466">
        <v>62628</v>
      </c>
      <c r="D37" s="466">
        <v>13411</v>
      </c>
      <c r="E37" s="466"/>
      <c r="F37" s="466">
        <v>366</v>
      </c>
      <c r="G37" s="466"/>
      <c r="H37" s="466"/>
      <c r="I37" s="467"/>
      <c r="J37" s="467"/>
      <c r="K37" s="1668">
        <f t="shared" si="2"/>
        <v>76405</v>
      </c>
      <c r="L37" s="466">
        <v>77300</v>
      </c>
    </row>
    <row r="38" spans="1:14" x14ac:dyDescent="0.2">
      <c r="A38" s="1501" t="s">
        <v>198</v>
      </c>
      <c r="B38" s="614">
        <v>2130</v>
      </c>
      <c r="C38" s="466">
        <v>29903</v>
      </c>
      <c r="D38" s="466">
        <v>5558</v>
      </c>
      <c r="E38" s="466"/>
      <c r="F38" s="466">
        <v>1673</v>
      </c>
      <c r="G38" s="466"/>
      <c r="H38" s="466"/>
      <c r="I38" s="467"/>
      <c r="J38" s="467"/>
      <c r="K38" s="1668">
        <f t="shared" si="2"/>
        <v>37134</v>
      </c>
      <c r="L38" s="466">
        <v>37515</v>
      </c>
    </row>
    <row r="39" spans="1:14" x14ac:dyDescent="0.2">
      <c r="A39" s="1501" t="s">
        <v>199</v>
      </c>
      <c r="B39" s="614">
        <v>2140</v>
      </c>
      <c r="C39" s="466"/>
      <c r="D39" s="466"/>
      <c r="E39" s="466"/>
      <c r="F39" s="466"/>
      <c r="G39" s="466"/>
      <c r="H39" s="466"/>
      <c r="I39" s="467"/>
      <c r="J39" s="467"/>
      <c r="K39" s="1668">
        <f t="shared" si="2"/>
        <v>0</v>
      </c>
      <c r="L39" s="466"/>
    </row>
    <row r="40" spans="1:14" x14ac:dyDescent="0.2">
      <c r="A40" s="1501" t="s">
        <v>200</v>
      </c>
      <c r="B40" s="614">
        <v>2150</v>
      </c>
      <c r="C40" s="466">
        <v>43728</v>
      </c>
      <c r="D40" s="466">
        <v>10837</v>
      </c>
      <c r="E40" s="466"/>
      <c r="F40" s="466"/>
      <c r="G40" s="466"/>
      <c r="H40" s="466"/>
      <c r="I40" s="467"/>
      <c r="J40" s="467"/>
      <c r="K40" s="1668">
        <f t="shared" si="2"/>
        <v>54565</v>
      </c>
      <c r="L40" s="466">
        <v>53700</v>
      </c>
    </row>
    <row r="41" spans="1:14" x14ac:dyDescent="0.2">
      <c r="A41" s="1501" t="s">
        <v>1668</v>
      </c>
      <c r="B41" s="614">
        <v>2190</v>
      </c>
      <c r="C41" s="466"/>
      <c r="D41" s="466"/>
      <c r="E41" s="466"/>
      <c r="F41" s="466"/>
      <c r="G41" s="466"/>
      <c r="H41" s="466"/>
      <c r="I41" s="467"/>
      <c r="J41" s="467"/>
      <c r="K41" s="1668">
        <f t="shared" si="2"/>
        <v>0</v>
      </c>
      <c r="L41" s="466"/>
    </row>
    <row r="42" spans="1:14" ht="12.75" customHeight="1" thickBot="1" x14ac:dyDescent="0.25">
      <c r="A42" s="1665" t="s">
        <v>559</v>
      </c>
      <c r="B42" s="1666" t="s">
        <v>715</v>
      </c>
      <c r="C42" s="1667">
        <f>SUM(C36:C41)</f>
        <v>136259</v>
      </c>
      <c r="D42" s="1667">
        <f t="shared" ref="D42:L42" si="3">SUM(D36:D41)</f>
        <v>29806</v>
      </c>
      <c r="E42" s="1667">
        <f t="shared" si="3"/>
        <v>0</v>
      </c>
      <c r="F42" s="1667">
        <f t="shared" si="3"/>
        <v>2039</v>
      </c>
      <c r="G42" s="1667">
        <f t="shared" si="3"/>
        <v>0</v>
      </c>
      <c r="H42" s="1667">
        <f t="shared" si="3"/>
        <v>0</v>
      </c>
      <c r="I42" s="1667">
        <f t="shared" si="3"/>
        <v>0</v>
      </c>
      <c r="J42" s="1667">
        <f t="shared" si="3"/>
        <v>0</v>
      </c>
      <c r="K42" s="1667">
        <f t="shared" si="3"/>
        <v>168104</v>
      </c>
      <c r="L42" s="1667">
        <f t="shared" si="3"/>
        <v>168515</v>
      </c>
    </row>
    <row r="43" spans="1:14" ht="15.75" customHeight="1" thickTop="1" x14ac:dyDescent="0.2">
      <c r="A43" s="624" t="s">
        <v>591</v>
      </c>
      <c r="B43" s="625"/>
      <c r="C43" s="626"/>
      <c r="D43" s="626"/>
      <c r="E43" s="626"/>
      <c r="F43" s="626"/>
      <c r="G43" s="626"/>
      <c r="H43" s="626"/>
      <c r="I43" s="616"/>
      <c r="J43" s="616"/>
      <c r="K43" s="626"/>
      <c r="L43" s="626"/>
    </row>
    <row r="44" spans="1:14" x14ac:dyDescent="0.2">
      <c r="A44" s="1501" t="s">
        <v>813</v>
      </c>
      <c r="B44" s="614">
        <v>2210</v>
      </c>
      <c r="C44" s="481">
        <v>30825</v>
      </c>
      <c r="D44" s="481">
        <v>6330</v>
      </c>
      <c r="E44" s="481">
        <v>23815</v>
      </c>
      <c r="F44" s="481">
        <v>166</v>
      </c>
      <c r="G44" s="481"/>
      <c r="H44" s="481"/>
      <c r="I44" s="467"/>
      <c r="J44" s="467"/>
      <c r="K44" s="1669">
        <f>SUM(C44:J44)</f>
        <v>61136</v>
      </c>
      <c r="L44" s="481">
        <v>58250</v>
      </c>
    </row>
    <row r="45" spans="1:14" x14ac:dyDescent="0.2">
      <c r="A45" s="1501" t="s">
        <v>814</v>
      </c>
      <c r="B45" s="614">
        <v>2220</v>
      </c>
      <c r="C45" s="466">
        <v>85515</v>
      </c>
      <c r="D45" s="466">
        <v>14803</v>
      </c>
      <c r="E45" s="466">
        <v>2598</v>
      </c>
      <c r="F45" s="466"/>
      <c r="G45" s="466"/>
      <c r="H45" s="466"/>
      <c r="I45" s="467"/>
      <c r="J45" s="467"/>
      <c r="K45" s="1669">
        <f>SUM(C45:J45)</f>
        <v>102916</v>
      </c>
      <c r="L45" s="466">
        <v>102575</v>
      </c>
    </row>
    <row r="46" spans="1:14" x14ac:dyDescent="0.2">
      <c r="A46" s="1501" t="s">
        <v>815</v>
      </c>
      <c r="B46" s="614">
        <v>2230</v>
      </c>
      <c r="C46" s="466">
        <v>9000</v>
      </c>
      <c r="D46" s="466">
        <v>2451</v>
      </c>
      <c r="E46" s="466">
        <v>5986</v>
      </c>
      <c r="F46" s="466"/>
      <c r="G46" s="466"/>
      <c r="H46" s="466"/>
      <c r="I46" s="467"/>
      <c r="J46" s="467"/>
      <c r="K46" s="1669">
        <f>SUM(C46:J46)</f>
        <v>17437</v>
      </c>
      <c r="L46" s="466">
        <v>9500</v>
      </c>
    </row>
    <row r="47" spans="1:14" ht="12.75" customHeight="1" thickBot="1" x14ac:dyDescent="0.25">
      <c r="A47" s="1665" t="s">
        <v>560</v>
      </c>
      <c r="B47" s="1666" t="s">
        <v>32</v>
      </c>
      <c r="C47" s="1667">
        <f>SUM(C44:C46)</f>
        <v>125340</v>
      </c>
      <c r="D47" s="1667">
        <f t="shared" ref="D47:K47" si="4">SUM(D44:D46)</f>
        <v>23584</v>
      </c>
      <c r="E47" s="1667">
        <f t="shared" si="4"/>
        <v>32399</v>
      </c>
      <c r="F47" s="1667">
        <f t="shared" si="4"/>
        <v>166</v>
      </c>
      <c r="G47" s="1667">
        <f t="shared" si="4"/>
        <v>0</v>
      </c>
      <c r="H47" s="1667">
        <f t="shared" si="4"/>
        <v>0</v>
      </c>
      <c r="I47" s="1667">
        <f t="shared" si="4"/>
        <v>0</v>
      </c>
      <c r="J47" s="1667">
        <f t="shared" si="4"/>
        <v>0</v>
      </c>
      <c r="K47" s="1667">
        <f t="shared" si="4"/>
        <v>181489</v>
      </c>
      <c r="L47" s="1667">
        <f>SUM(L44:L46)</f>
        <v>170325</v>
      </c>
    </row>
    <row r="48" spans="1:14" ht="15.75" customHeight="1" thickTop="1" x14ac:dyDescent="0.2">
      <c r="A48" s="624" t="s">
        <v>609</v>
      </c>
      <c r="B48" s="625"/>
      <c r="C48" s="626"/>
      <c r="D48" s="626"/>
      <c r="E48" s="626"/>
      <c r="F48" s="626"/>
      <c r="G48" s="626"/>
      <c r="H48" s="626"/>
      <c r="I48" s="616"/>
      <c r="J48" s="616"/>
      <c r="K48" s="626"/>
      <c r="L48" s="626"/>
    </row>
    <row r="49" spans="1:14" x14ac:dyDescent="0.2">
      <c r="A49" s="1501" t="s">
        <v>816</v>
      </c>
      <c r="B49" s="614">
        <v>2310</v>
      </c>
      <c r="C49" s="481">
        <v>14142</v>
      </c>
      <c r="D49" s="481"/>
      <c r="E49" s="481">
        <v>42293</v>
      </c>
      <c r="F49" s="481">
        <v>3362</v>
      </c>
      <c r="G49" s="481"/>
      <c r="H49" s="481"/>
      <c r="I49" s="467"/>
      <c r="J49" s="467"/>
      <c r="K49" s="1669">
        <f>SUM(C49:J49)</f>
        <v>59797</v>
      </c>
      <c r="L49" s="481">
        <v>48000</v>
      </c>
    </row>
    <row r="50" spans="1:14" x14ac:dyDescent="0.2">
      <c r="A50" s="1501" t="s">
        <v>817</v>
      </c>
      <c r="B50" s="614">
        <v>2320</v>
      </c>
      <c r="C50" s="466">
        <v>135412</v>
      </c>
      <c r="D50" s="466">
        <v>19505</v>
      </c>
      <c r="E50" s="466">
        <v>10239</v>
      </c>
      <c r="F50" s="466">
        <v>3859</v>
      </c>
      <c r="G50" s="466"/>
      <c r="H50" s="466"/>
      <c r="I50" s="467"/>
      <c r="J50" s="467"/>
      <c r="K50" s="1669">
        <f>SUM(C50:J50)</f>
        <v>169015</v>
      </c>
      <c r="L50" s="466">
        <v>169100</v>
      </c>
    </row>
    <row r="51" spans="1:14" x14ac:dyDescent="0.2">
      <c r="A51" s="1501" t="s">
        <v>42</v>
      </c>
      <c r="B51" s="614">
        <v>2330</v>
      </c>
      <c r="C51" s="466">
        <v>12363</v>
      </c>
      <c r="D51" s="466">
        <v>1690</v>
      </c>
      <c r="E51" s="466"/>
      <c r="F51" s="466"/>
      <c r="G51" s="466"/>
      <c r="H51" s="466"/>
      <c r="I51" s="467"/>
      <c r="J51" s="467"/>
      <c r="K51" s="1669">
        <f>SUM(C51:J51)</f>
        <v>14053</v>
      </c>
      <c r="L51" s="466">
        <v>15200</v>
      </c>
    </row>
    <row r="52" spans="1:14" ht="22.5" x14ac:dyDescent="0.2">
      <c r="A52" s="1502" t="s">
        <v>297</v>
      </c>
      <c r="B52" s="627" t="s">
        <v>365</v>
      </c>
      <c r="C52" s="474"/>
      <c r="D52" s="474"/>
      <c r="E52" s="474"/>
      <c r="F52" s="474"/>
      <c r="G52" s="474"/>
      <c r="H52" s="474"/>
      <c r="I52" s="474"/>
      <c r="J52" s="474"/>
      <c r="K52" s="1669">
        <f>SUM(C52:J52)</f>
        <v>0</v>
      </c>
      <c r="L52" s="474"/>
    </row>
    <row r="53" spans="1:14" ht="12.75" customHeight="1" thickBot="1" x14ac:dyDescent="0.25">
      <c r="A53" s="1665" t="s">
        <v>716</v>
      </c>
      <c r="B53" s="1666" t="s">
        <v>33</v>
      </c>
      <c r="C53" s="1667">
        <f>SUM(C49:C52)</f>
        <v>161917</v>
      </c>
      <c r="D53" s="1667">
        <f t="shared" ref="D53:L53" si="5">SUM(D49:D52)</f>
        <v>21195</v>
      </c>
      <c r="E53" s="1667">
        <f t="shared" si="5"/>
        <v>52532</v>
      </c>
      <c r="F53" s="1667">
        <f t="shared" si="5"/>
        <v>7221</v>
      </c>
      <c r="G53" s="1667">
        <f t="shared" si="5"/>
        <v>0</v>
      </c>
      <c r="H53" s="1667">
        <f t="shared" si="5"/>
        <v>0</v>
      </c>
      <c r="I53" s="1667">
        <f t="shared" si="5"/>
        <v>0</v>
      </c>
      <c r="J53" s="1667">
        <f t="shared" si="5"/>
        <v>0</v>
      </c>
      <c r="K53" s="1667">
        <f t="shared" si="5"/>
        <v>242865</v>
      </c>
      <c r="L53" s="1667">
        <f t="shared" si="5"/>
        <v>232300</v>
      </c>
    </row>
    <row r="54" spans="1:14" ht="15.75" customHeight="1" thickTop="1" x14ac:dyDescent="0.2">
      <c r="A54" s="624" t="s">
        <v>610</v>
      </c>
      <c r="B54" s="625"/>
      <c r="C54" s="626"/>
      <c r="D54" s="626"/>
      <c r="E54" s="626"/>
      <c r="F54" s="626"/>
      <c r="G54" s="626"/>
      <c r="H54" s="626"/>
      <c r="I54" s="616"/>
      <c r="J54" s="616"/>
      <c r="K54" s="626"/>
      <c r="L54" s="626"/>
    </row>
    <row r="55" spans="1:14" x14ac:dyDescent="0.2">
      <c r="A55" s="1501" t="s">
        <v>1066</v>
      </c>
      <c r="B55" s="614">
        <v>2410</v>
      </c>
      <c r="C55" s="481">
        <v>218852</v>
      </c>
      <c r="D55" s="481">
        <v>23779</v>
      </c>
      <c r="E55" s="481">
        <v>935</v>
      </c>
      <c r="F55" s="481">
        <v>94</v>
      </c>
      <c r="G55" s="481"/>
      <c r="H55" s="481"/>
      <c r="I55" s="467"/>
      <c r="J55" s="467"/>
      <c r="K55" s="1669">
        <f>SUM(C55:J55)</f>
        <v>243660</v>
      </c>
      <c r="L55" s="481">
        <v>258425</v>
      </c>
    </row>
    <row r="56" spans="1:14" ht="12.75" customHeight="1" x14ac:dyDescent="0.2">
      <c r="A56" s="1505" t="s">
        <v>375</v>
      </c>
      <c r="B56" s="628">
        <v>2490</v>
      </c>
      <c r="C56" s="466"/>
      <c r="D56" s="466"/>
      <c r="E56" s="466"/>
      <c r="F56" s="466"/>
      <c r="G56" s="466"/>
      <c r="H56" s="466"/>
      <c r="I56" s="467"/>
      <c r="J56" s="467"/>
      <c r="K56" s="1669">
        <f>SUM(C56:J56)</f>
        <v>0</v>
      </c>
      <c r="L56" s="466"/>
    </row>
    <row r="57" spans="1:14" s="343" customFormat="1" ht="12.75" customHeight="1" thickBot="1" x14ac:dyDescent="0.25">
      <c r="A57" s="1665" t="s">
        <v>263</v>
      </c>
      <c r="B57" s="1670" t="s">
        <v>34</v>
      </c>
      <c r="C57" s="1671">
        <f>SUM(C55:C56)</f>
        <v>218852</v>
      </c>
      <c r="D57" s="1671">
        <f t="shared" ref="D57:K57" si="6">SUM(D55:D56)</f>
        <v>23779</v>
      </c>
      <c r="E57" s="1671">
        <f t="shared" si="6"/>
        <v>935</v>
      </c>
      <c r="F57" s="1671">
        <f t="shared" si="6"/>
        <v>94</v>
      </c>
      <c r="G57" s="1671">
        <f t="shared" si="6"/>
        <v>0</v>
      </c>
      <c r="H57" s="1671">
        <f t="shared" si="6"/>
        <v>0</v>
      </c>
      <c r="I57" s="1671">
        <f t="shared" si="6"/>
        <v>0</v>
      </c>
      <c r="J57" s="1671">
        <f t="shared" si="6"/>
        <v>0</v>
      </c>
      <c r="K57" s="1671">
        <f t="shared" si="6"/>
        <v>243660</v>
      </c>
      <c r="L57" s="1667">
        <f>SUM(L55:L56)</f>
        <v>258425</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1" t="s">
        <v>1067</v>
      </c>
      <c r="B59" s="614">
        <v>2510</v>
      </c>
      <c r="C59" s="481"/>
      <c r="D59" s="481"/>
      <c r="E59" s="481"/>
      <c r="F59" s="481"/>
      <c r="G59" s="481"/>
      <c r="H59" s="481"/>
      <c r="I59" s="467"/>
      <c r="J59" s="467"/>
      <c r="K59" s="1669">
        <f t="shared" ref="K59:K64" si="7">SUM(C59:J59)</f>
        <v>0</v>
      </c>
      <c r="L59" s="481"/>
      <c r="M59" s="609"/>
      <c r="N59" s="609"/>
    </row>
    <row r="60" spans="1:14" s="343" customFormat="1" x14ac:dyDescent="0.2">
      <c r="A60" s="1501" t="s">
        <v>462</v>
      </c>
      <c r="B60" s="614">
        <v>2520</v>
      </c>
      <c r="C60" s="466">
        <v>36798</v>
      </c>
      <c r="D60" s="466">
        <v>6504</v>
      </c>
      <c r="E60" s="466">
        <v>1891</v>
      </c>
      <c r="F60" s="466">
        <v>983</v>
      </c>
      <c r="G60" s="466"/>
      <c r="H60" s="466"/>
      <c r="I60" s="467"/>
      <c r="J60" s="467"/>
      <c r="K60" s="1669">
        <f t="shared" si="7"/>
        <v>46176</v>
      </c>
      <c r="L60" s="466">
        <v>45140</v>
      </c>
      <c r="M60" s="609"/>
      <c r="N60" s="609"/>
    </row>
    <row r="61" spans="1:14" s="343" customFormat="1" x14ac:dyDescent="0.2">
      <c r="A61" s="1501" t="s">
        <v>197</v>
      </c>
      <c r="B61" s="614">
        <v>2540</v>
      </c>
      <c r="C61" s="466"/>
      <c r="D61" s="466"/>
      <c r="E61" s="466"/>
      <c r="F61" s="466"/>
      <c r="G61" s="466"/>
      <c r="H61" s="466"/>
      <c r="I61" s="467"/>
      <c r="J61" s="467"/>
      <c r="K61" s="1669">
        <f t="shared" si="7"/>
        <v>0</v>
      </c>
      <c r="L61" s="466"/>
      <c r="M61" s="609"/>
      <c r="N61" s="609"/>
    </row>
    <row r="62" spans="1:14" s="343" customFormat="1" x14ac:dyDescent="0.2">
      <c r="A62" s="1501" t="s">
        <v>952</v>
      </c>
      <c r="B62" s="614">
        <v>2550</v>
      </c>
      <c r="C62" s="466"/>
      <c r="D62" s="466"/>
      <c r="E62" s="466"/>
      <c r="F62" s="466"/>
      <c r="G62" s="466"/>
      <c r="H62" s="466"/>
      <c r="I62" s="467"/>
      <c r="J62" s="467"/>
      <c r="K62" s="1669">
        <f t="shared" si="7"/>
        <v>0</v>
      </c>
      <c r="L62" s="466">
        <v>130</v>
      </c>
      <c r="M62" s="609"/>
      <c r="N62" s="609"/>
    </row>
    <row r="63" spans="1:14" s="609" customFormat="1" x14ac:dyDescent="0.2">
      <c r="A63" s="1501" t="s">
        <v>100</v>
      </c>
      <c r="B63" s="614">
        <v>2560</v>
      </c>
      <c r="C63" s="466">
        <v>71535</v>
      </c>
      <c r="D63" s="466"/>
      <c r="E63" s="466">
        <v>1004</v>
      </c>
      <c r="F63" s="466">
        <v>111394</v>
      </c>
      <c r="G63" s="466"/>
      <c r="H63" s="466"/>
      <c r="I63" s="467"/>
      <c r="J63" s="467"/>
      <c r="K63" s="1669">
        <f t="shared" si="7"/>
        <v>183933</v>
      </c>
      <c r="L63" s="466">
        <v>212360</v>
      </c>
    </row>
    <row r="64" spans="1:14" s="609" customFormat="1" x14ac:dyDescent="0.2">
      <c r="A64" s="1506" t="s">
        <v>101</v>
      </c>
      <c r="B64" s="630">
        <v>2570</v>
      </c>
      <c r="C64" s="481"/>
      <c r="D64" s="481"/>
      <c r="E64" s="481"/>
      <c r="F64" s="481"/>
      <c r="G64" s="481"/>
      <c r="H64" s="481"/>
      <c r="I64" s="467"/>
      <c r="J64" s="467"/>
      <c r="K64" s="1669">
        <f t="shared" si="7"/>
        <v>0</v>
      </c>
      <c r="L64" s="481"/>
    </row>
    <row r="65" spans="1:14" s="343" customFormat="1" ht="12.75" customHeight="1" thickBot="1" x14ac:dyDescent="0.25">
      <c r="A65" s="1665" t="s">
        <v>718</v>
      </c>
      <c r="B65" s="1666" t="s">
        <v>35</v>
      </c>
      <c r="C65" s="1667">
        <f>SUM(C59:C64)</f>
        <v>108333</v>
      </c>
      <c r="D65" s="1667">
        <f t="shared" ref="D65:L65" si="8">SUM(D59:D64)</f>
        <v>6504</v>
      </c>
      <c r="E65" s="1667">
        <f t="shared" si="8"/>
        <v>2895</v>
      </c>
      <c r="F65" s="1667">
        <f t="shared" si="8"/>
        <v>112377</v>
      </c>
      <c r="G65" s="1667">
        <f t="shared" si="8"/>
        <v>0</v>
      </c>
      <c r="H65" s="1667">
        <f t="shared" si="8"/>
        <v>0</v>
      </c>
      <c r="I65" s="1667">
        <f t="shared" si="8"/>
        <v>0</v>
      </c>
      <c r="J65" s="1667">
        <f t="shared" si="8"/>
        <v>0</v>
      </c>
      <c r="K65" s="1667">
        <f t="shared" si="8"/>
        <v>230109</v>
      </c>
      <c r="L65" s="1667">
        <f t="shared" si="8"/>
        <v>257630</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1" t="s">
        <v>1059</v>
      </c>
      <c r="B67" s="614">
        <v>2610</v>
      </c>
      <c r="C67" s="466"/>
      <c r="D67" s="466"/>
      <c r="E67" s="466"/>
      <c r="F67" s="466"/>
      <c r="G67" s="466"/>
      <c r="H67" s="466"/>
      <c r="I67" s="467"/>
      <c r="J67" s="467"/>
      <c r="K67" s="1669">
        <f>SUM(C67:J67)</f>
        <v>0</v>
      </c>
      <c r="L67" s="481"/>
      <c r="M67" s="609"/>
      <c r="N67" s="609"/>
    </row>
    <row r="68" spans="1:14" s="343" customFormat="1" x14ac:dyDescent="0.2">
      <c r="A68" s="1501" t="s">
        <v>606</v>
      </c>
      <c r="B68" s="614">
        <v>2620</v>
      </c>
      <c r="C68" s="466"/>
      <c r="D68" s="466"/>
      <c r="E68" s="466"/>
      <c r="F68" s="466"/>
      <c r="G68" s="466"/>
      <c r="H68" s="466"/>
      <c r="I68" s="467"/>
      <c r="J68" s="467"/>
      <c r="K68" s="1669">
        <f>SUM(C68:J68)</f>
        <v>0</v>
      </c>
      <c r="L68" s="466"/>
      <c r="M68" s="609"/>
      <c r="N68" s="609"/>
    </row>
    <row r="69" spans="1:14" s="343" customFormat="1" x14ac:dyDescent="0.2">
      <c r="A69" s="1501" t="s">
        <v>1060</v>
      </c>
      <c r="B69" s="614">
        <v>2630</v>
      </c>
      <c r="C69" s="466"/>
      <c r="D69" s="466"/>
      <c r="E69" s="466"/>
      <c r="F69" s="466"/>
      <c r="G69" s="466"/>
      <c r="H69" s="466"/>
      <c r="I69" s="467"/>
      <c r="J69" s="467"/>
      <c r="K69" s="1669">
        <f>SUM(C69:J69)</f>
        <v>0</v>
      </c>
      <c r="L69" s="466"/>
      <c r="M69" s="609"/>
      <c r="N69" s="609"/>
    </row>
    <row r="70" spans="1:14" s="343" customFormat="1" x14ac:dyDescent="0.2">
      <c r="A70" s="1501" t="s">
        <v>402</v>
      </c>
      <c r="B70" s="614">
        <v>2640</v>
      </c>
      <c r="C70" s="466"/>
      <c r="D70" s="466"/>
      <c r="E70" s="466"/>
      <c r="F70" s="466"/>
      <c r="G70" s="466"/>
      <c r="H70" s="466"/>
      <c r="I70" s="467"/>
      <c r="J70" s="467"/>
      <c r="K70" s="1669">
        <f>SUM(C70:J70)</f>
        <v>0</v>
      </c>
      <c r="L70" s="466"/>
      <c r="M70" s="609"/>
      <c r="N70" s="609"/>
    </row>
    <row r="71" spans="1:14" s="343" customFormat="1" x14ac:dyDescent="0.2">
      <c r="A71" s="1501" t="s">
        <v>403</v>
      </c>
      <c r="B71" s="614">
        <v>2660</v>
      </c>
      <c r="C71" s="466"/>
      <c r="D71" s="466"/>
      <c r="E71" s="466"/>
      <c r="F71" s="466"/>
      <c r="G71" s="466"/>
      <c r="H71" s="466"/>
      <c r="I71" s="467"/>
      <c r="J71" s="467"/>
      <c r="K71" s="1669">
        <f>SUM(C71:J71)</f>
        <v>0</v>
      </c>
      <c r="L71" s="466"/>
      <c r="M71" s="609"/>
      <c r="N71" s="609"/>
    </row>
    <row r="72" spans="1:14" s="343" customFormat="1" ht="12.75" customHeight="1" thickBot="1" x14ac:dyDescent="0.25">
      <c r="A72" s="1665" t="s">
        <v>37</v>
      </c>
      <c r="B72" s="1672"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609"/>
      <c r="N72" s="609"/>
    </row>
    <row r="73" spans="1:14" s="343" customFormat="1" ht="14.25" thickTop="1" thickBot="1" x14ac:dyDescent="0.25">
      <c r="A73" s="1507" t="s">
        <v>979</v>
      </c>
      <c r="B73" s="632" t="s">
        <v>573</v>
      </c>
      <c r="C73" s="573"/>
      <c r="D73" s="573"/>
      <c r="E73" s="573"/>
      <c r="F73" s="573">
        <v>7330</v>
      </c>
      <c r="G73" s="573"/>
      <c r="H73" s="573"/>
      <c r="I73" s="531"/>
      <c r="J73" s="531"/>
      <c r="K73" s="1667">
        <f>SUM(C73:J73)</f>
        <v>7330</v>
      </c>
      <c r="L73" s="576">
        <v>1000</v>
      </c>
      <c r="M73" s="609"/>
      <c r="N73" s="609"/>
    </row>
    <row r="74" spans="1:14" ht="12.75" customHeight="1" thickTop="1" thickBot="1" x14ac:dyDescent="0.25">
      <c r="A74" s="1665" t="s">
        <v>810</v>
      </c>
      <c r="B74" s="1673">
        <v>2000</v>
      </c>
      <c r="C74" s="1674">
        <f>SUM(C42,C47,C53,C57,C65,C72,C73)</f>
        <v>750701</v>
      </c>
      <c r="D74" s="1674">
        <f t="shared" ref="D74:K74" si="10">SUM(D42,D47,D53,D57,D65,D72,D73)</f>
        <v>104868</v>
      </c>
      <c r="E74" s="1674">
        <f t="shared" si="10"/>
        <v>88761</v>
      </c>
      <c r="F74" s="1674">
        <f t="shared" si="10"/>
        <v>129227</v>
      </c>
      <c r="G74" s="1674">
        <f t="shared" si="10"/>
        <v>0</v>
      </c>
      <c r="H74" s="1674">
        <f t="shared" si="10"/>
        <v>0</v>
      </c>
      <c r="I74" s="1674">
        <f t="shared" si="10"/>
        <v>0</v>
      </c>
      <c r="J74" s="1674">
        <f t="shared" si="10"/>
        <v>0</v>
      </c>
      <c r="K74" s="1674">
        <f t="shared" si="10"/>
        <v>1073557</v>
      </c>
      <c r="L74" s="1674">
        <f>SUM(L42,L47,L53,L57,L65,L72,L73)</f>
        <v>1088195</v>
      </c>
    </row>
    <row r="75" spans="1:14" s="259" customFormat="1" ht="15.75" customHeight="1" thickTop="1" thickBot="1" x14ac:dyDescent="0.25">
      <c r="A75" s="1607" t="s">
        <v>47</v>
      </c>
      <c r="B75" s="1608" t="s">
        <v>574</v>
      </c>
      <c r="C75" s="573"/>
      <c r="D75" s="573"/>
      <c r="E75" s="573">
        <v>425</v>
      </c>
      <c r="F75" s="573">
        <v>638</v>
      </c>
      <c r="G75" s="573"/>
      <c r="H75" s="573"/>
      <c r="I75" s="531"/>
      <c r="J75" s="531"/>
      <c r="K75" s="1667">
        <f>SUM(C75:J75)</f>
        <v>1063</v>
      </c>
      <c r="L75" s="576">
        <v>500</v>
      </c>
      <c r="M75" s="613"/>
      <c r="N75" s="613"/>
    </row>
    <row r="76" spans="1:14" s="633" customFormat="1" ht="15.75" customHeight="1" thickTop="1" x14ac:dyDescent="0.2">
      <c r="A76" s="1609" t="s">
        <v>364</v>
      </c>
      <c r="B76" s="1606"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1" t="s">
        <v>495</v>
      </c>
      <c r="B78" s="614">
        <v>4110</v>
      </c>
      <c r="C78" s="616"/>
      <c r="D78" s="616"/>
      <c r="E78" s="481"/>
      <c r="F78" s="616"/>
      <c r="G78" s="616"/>
      <c r="H78" s="634"/>
      <c r="I78" s="477"/>
      <c r="J78" s="477"/>
      <c r="K78" s="1668">
        <f t="shared" ref="K78:K83" si="11">SUM(C78:J78)</f>
        <v>0</v>
      </c>
      <c r="L78" s="481"/>
    </row>
    <row r="79" spans="1:14" x14ac:dyDescent="0.2">
      <c r="A79" s="1501" t="s">
        <v>303</v>
      </c>
      <c r="B79" s="614">
        <v>4120</v>
      </c>
      <c r="C79" s="616"/>
      <c r="D79" s="616"/>
      <c r="E79" s="466">
        <v>39104</v>
      </c>
      <c r="F79" s="616"/>
      <c r="G79" s="616"/>
      <c r="H79" s="466"/>
      <c r="I79" s="477"/>
      <c r="J79" s="477"/>
      <c r="K79" s="1668">
        <f t="shared" si="11"/>
        <v>39104</v>
      </c>
      <c r="L79" s="466">
        <v>45000</v>
      </c>
    </row>
    <row r="80" spans="1:14" x14ac:dyDescent="0.2">
      <c r="A80" s="1501" t="s">
        <v>304</v>
      </c>
      <c r="B80" s="614">
        <v>4130</v>
      </c>
      <c r="C80" s="616"/>
      <c r="D80" s="616"/>
      <c r="E80" s="466"/>
      <c r="F80" s="616"/>
      <c r="G80" s="616"/>
      <c r="H80" s="466"/>
      <c r="I80" s="477"/>
      <c r="J80" s="477"/>
      <c r="K80" s="1668">
        <f t="shared" si="11"/>
        <v>0</v>
      </c>
      <c r="L80" s="466"/>
    </row>
    <row r="81" spans="1:12" x14ac:dyDescent="0.2">
      <c r="A81" s="1501" t="s">
        <v>696</v>
      </c>
      <c r="B81" s="614">
        <v>4140</v>
      </c>
      <c r="C81" s="616"/>
      <c r="D81" s="616"/>
      <c r="E81" s="466"/>
      <c r="F81" s="616"/>
      <c r="G81" s="616"/>
      <c r="H81" s="466"/>
      <c r="I81" s="477"/>
      <c r="J81" s="477"/>
      <c r="K81" s="1668">
        <f t="shared" si="11"/>
        <v>0</v>
      </c>
      <c r="L81" s="466"/>
    </row>
    <row r="82" spans="1:12" x14ac:dyDescent="0.2">
      <c r="A82" s="1501" t="s">
        <v>86</v>
      </c>
      <c r="B82" s="614">
        <v>4170</v>
      </c>
      <c r="C82" s="616"/>
      <c r="D82" s="616"/>
      <c r="E82" s="466"/>
      <c r="F82" s="616"/>
      <c r="G82" s="616"/>
      <c r="H82" s="466"/>
      <c r="I82" s="477"/>
      <c r="J82" s="477"/>
      <c r="K82" s="1668">
        <f t="shared" si="11"/>
        <v>0</v>
      </c>
      <c r="L82" s="466"/>
    </row>
    <row r="83" spans="1:12" x14ac:dyDescent="0.2">
      <c r="A83" s="1505" t="s">
        <v>697</v>
      </c>
      <c r="B83" s="628">
        <v>4190</v>
      </c>
      <c r="C83" s="616"/>
      <c r="D83" s="616"/>
      <c r="E83" s="466"/>
      <c r="F83" s="616"/>
      <c r="G83" s="616"/>
      <c r="H83" s="466"/>
      <c r="I83" s="477"/>
      <c r="J83" s="477"/>
      <c r="K83" s="1668">
        <f t="shared" si="11"/>
        <v>0</v>
      </c>
      <c r="L83" s="466"/>
    </row>
    <row r="84" spans="1:12" ht="13.5" thickBot="1" x14ac:dyDescent="0.25">
      <c r="A84" s="1665" t="s">
        <v>1484</v>
      </c>
      <c r="B84" s="1675">
        <v>4100</v>
      </c>
      <c r="C84" s="616"/>
      <c r="D84" s="616"/>
      <c r="E84" s="1667">
        <f>SUM(E78:E83)</f>
        <v>39104</v>
      </c>
      <c r="F84" s="616"/>
      <c r="G84" s="616"/>
      <c r="H84" s="1667">
        <f>SUM(H78:H83)</f>
        <v>0</v>
      </c>
      <c r="I84" s="477"/>
      <c r="J84" s="477"/>
      <c r="K84" s="1667">
        <f>SUM(K78:K83)</f>
        <v>39104</v>
      </c>
      <c r="L84" s="1667">
        <f>SUM(L78:L83)</f>
        <v>45000</v>
      </c>
    </row>
    <row r="85" spans="1:12" ht="12.75" customHeight="1" thickTop="1" thickBot="1" x14ac:dyDescent="0.25">
      <c r="A85" s="1508" t="s">
        <v>255</v>
      </c>
      <c r="B85" s="635">
        <v>4210</v>
      </c>
      <c r="C85" s="616"/>
      <c r="D85" s="616"/>
      <c r="E85" s="636"/>
      <c r="F85" s="616"/>
      <c r="G85" s="616"/>
      <c r="H85" s="535"/>
      <c r="I85" s="477"/>
      <c r="J85" s="477"/>
      <c r="K85" s="1674">
        <f>H85</f>
        <v>0</v>
      </c>
      <c r="L85" s="530"/>
    </row>
    <row r="86" spans="1:12" ht="12.75" customHeight="1" thickTop="1" thickBot="1" x14ac:dyDescent="0.25">
      <c r="A86" s="1509" t="s">
        <v>698</v>
      </c>
      <c r="B86" s="637">
        <v>4220</v>
      </c>
      <c r="C86" s="616"/>
      <c r="D86" s="616"/>
      <c r="E86" s="638"/>
      <c r="F86" s="616"/>
      <c r="G86" s="616"/>
      <c r="H86" s="467">
        <v>386855</v>
      </c>
      <c r="I86" s="477"/>
      <c r="J86" s="477"/>
      <c r="K86" s="1674">
        <f t="shared" ref="K86:K98" si="12">H86</f>
        <v>386855</v>
      </c>
      <c r="L86" s="530">
        <v>325000</v>
      </c>
    </row>
    <row r="87" spans="1:12" ht="14.25" thickTop="1" thickBot="1" x14ac:dyDescent="0.25">
      <c r="A87" s="1510" t="s">
        <v>699</v>
      </c>
      <c r="B87" s="639">
        <v>4230</v>
      </c>
      <c r="C87" s="616"/>
      <c r="D87" s="616"/>
      <c r="E87" s="638"/>
      <c r="F87" s="616"/>
      <c r="G87" s="616"/>
      <c r="H87" s="467"/>
      <c r="I87" s="477"/>
      <c r="J87" s="477"/>
      <c r="K87" s="1674">
        <f t="shared" si="12"/>
        <v>0</v>
      </c>
      <c r="L87" s="530"/>
    </row>
    <row r="88" spans="1:12" ht="12.75" customHeight="1" thickTop="1" thickBot="1" x14ac:dyDescent="0.25">
      <c r="A88" s="1510" t="s">
        <v>764</v>
      </c>
      <c r="B88" s="639">
        <v>4240</v>
      </c>
      <c r="C88" s="616"/>
      <c r="D88" s="616"/>
      <c r="E88" s="638"/>
      <c r="F88" s="616"/>
      <c r="G88" s="616"/>
      <c r="H88" s="467"/>
      <c r="I88" s="477"/>
      <c r="J88" s="477"/>
      <c r="K88" s="1674">
        <f t="shared" si="12"/>
        <v>0</v>
      </c>
      <c r="L88" s="530"/>
    </row>
    <row r="89" spans="1:12" ht="12.75" customHeight="1" thickTop="1" thickBot="1" x14ac:dyDescent="0.25">
      <c r="A89" s="1510" t="s">
        <v>700</v>
      </c>
      <c r="B89" s="639">
        <v>4270</v>
      </c>
      <c r="C89" s="616"/>
      <c r="D89" s="616"/>
      <c r="E89" s="638"/>
      <c r="F89" s="616"/>
      <c r="G89" s="616"/>
      <c r="H89" s="467"/>
      <c r="I89" s="477"/>
      <c r="J89" s="477"/>
      <c r="K89" s="1674">
        <f t="shared" si="12"/>
        <v>0</v>
      </c>
      <c r="L89" s="530"/>
    </row>
    <row r="90" spans="1:12" ht="12.75" customHeight="1" thickTop="1" thickBot="1" x14ac:dyDescent="0.25">
      <c r="A90" s="1510" t="s">
        <v>685</v>
      </c>
      <c r="B90" s="639">
        <v>4280</v>
      </c>
      <c r="C90" s="616"/>
      <c r="D90" s="616"/>
      <c r="E90" s="638"/>
      <c r="F90" s="616"/>
      <c r="G90" s="616"/>
      <c r="H90" s="467"/>
      <c r="I90" s="477"/>
      <c r="J90" s="477"/>
      <c r="K90" s="1674">
        <f t="shared" si="12"/>
        <v>0</v>
      </c>
      <c r="L90" s="530"/>
    </row>
    <row r="91" spans="1:12" ht="12.75" customHeight="1" thickTop="1" thickBot="1" x14ac:dyDescent="0.25">
      <c r="A91" s="1510" t="s">
        <v>686</v>
      </c>
      <c r="B91" s="639">
        <v>4290</v>
      </c>
      <c r="C91" s="616"/>
      <c r="D91" s="616"/>
      <c r="E91" s="638"/>
      <c r="F91" s="616"/>
      <c r="G91" s="616"/>
      <c r="H91" s="467"/>
      <c r="I91" s="477"/>
      <c r="J91" s="477"/>
      <c r="K91" s="1674">
        <f t="shared" si="12"/>
        <v>0</v>
      </c>
      <c r="L91" s="530"/>
    </row>
    <row r="92" spans="1:12" ht="14.25" thickTop="1" thickBot="1" x14ac:dyDescent="0.25">
      <c r="A92" s="1677" t="s">
        <v>1559</v>
      </c>
      <c r="B92" s="1675">
        <v>4200</v>
      </c>
      <c r="C92" s="616"/>
      <c r="D92" s="616"/>
      <c r="E92" s="638"/>
      <c r="F92" s="616"/>
      <c r="G92" s="616"/>
      <c r="H92" s="1667">
        <f>SUM(H85:H91)</f>
        <v>386855</v>
      </c>
      <c r="I92" s="477"/>
      <c r="J92" s="477"/>
      <c r="K92" s="1674">
        <f t="shared" si="12"/>
        <v>386855</v>
      </c>
      <c r="L92" s="1667">
        <f>SUM(L85:L91)</f>
        <v>325000</v>
      </c>
    </row>
    <row r="93" spans="1:12" ht="14.25" thickTop="1" thickBot="1" x14ac:dyDescent="0.25">
      <c r="A93" s="1509" t="s">
        <v>687</v>
      </c>
      <c r="B93" s="640">
        <v>4310</v>
      </c>
      <c r="C93" s="616"/>
      <c r="D93" s="616"/>
      <c r="E93" s="638"/>
      <c r="F93" s="616"/>
      <c r="G93" s="616"/>
      <c r="H93" s="641"/>
      <c r="I93" s="477"/>
      <c r="J93" s="477"/>
      <c r="K93" s="1674">
        <f t="shared" si="12"/>
        <v>0</v>
      </c>
      <c r="L93" s="532"/>
    </row>
    <row r="94" spans="1:12" ht="12.75" customHeight="1" thickTop="1" thickBot="1" x14ac:dyDescent="0.25">
      <c r="A94" s="1510" t="s">
        <v>688</v>
      </c>
      <c r="B94" s="639">
        <v>4320</v>
      </c>
      <c r="C94" s="616"/>
      <c r="D94" s="616"/>
      <c r="E94" s="638"/>
      <c r="F94" s="616"/>
      <c r="G94" s="616"/>
      <c r="H94" s="467"/>
      <c r="I94" s="477"/>
      <c r="J94" s="477"/>
      <c r="K94" s="1674">
        <f t="shared" si="12"/>
        <v>0</v>
      </c>
      <c r="L94" s="530"/>
    </row>
    <row r="95" spans="1:12" ht="15" customHeight="1" thickTop="1" thickBot="1" x14ac:dyDescent="0.25">
      <c r="A95" s="1510" t="s">
        <v>1487</v>
      </c>
      <c r="B95" s="639">
        <v>4330</v>
      </c>
      <c r="C95" s="616"/>
      <c r="D95" s="616"/>
      <c r="E95" s="638"/>
      <c r="F95" s="616"/>
      <c r="G95" s="616"/>
      <c r="H95" s="467"/>
      <c r="I95" s="477"/>
      <c r="J95" s="477"/>
      <c r="K95" s="1674">
        <f t="shared" si="12"/>
        <v>0</v>
      </c>
      <c r="L95" s="530"/>
    </row>
    <row r="96" spans="1:12" ht="14.25" thickTop="1" thickBot="1" x14ac:dyDescent="0.25">
      <c r="A96" s="1510" t="s">
        <v>689</v>
      </c>
      <c r="B96" s="639">
        <v>4340</v>
      </c>
      <c r="C96" s="616"/>
      <c r="D96" s="616"/>
      <c r="E96" s="638"/>
      <c r="F96" s="616"/>
      <c r="G96" s="616"/>
      <c r="H96" s="467"/>
      <c r="I96" s="477"/>
      <c r="J96" s="477"/>
      <c r="K96" s="1674">
        <f t="shared" si="12"/>
        <v>0</v>
      </c>
      <c r="L96" s="530"/>
    </row>
    <row r="97" spans="1:14" ht="12.75" customHeight="1" thickTop="1" thickBot="1" x14ac:dyDescent="0.25">
      <c r="A97" s="1510" t="s">
        <v>762</v>
      </c>
      <c r="B97" s="639">
        <v>4370</v>
      </c>
      <c r="C97" s="616"/>
      <c r="D97" s="616"/>
      <c r="E97" s="638"/>
      <c r="F97" s="616"/>
      <c r="G97" s="616"/>
      <c r="H97" s="467"/>
      <c r="I97" s="477"/>
      <c r="J97" s="477"/>
      <c r="K97" s="1674">
        <f t="shared" si="12"/>
        <v>0</v>
      </c>
      <c r="L97" s="530"/>
    </row>
    <row r="98" spans="1:14" ht="14.25" thickTop="1" thickBot="1" x14ac:dyDescent="0.25">
      <c r="A98" s="1510" t="s">
        <v>763</v>
      </c>
      <c r="B98" s="639">
        <v>4380</v>
      </c>
      <c r="C98" s="616"/>
      <c r="D98" s="616"/>
      <c r="E98" s="642"/>
      <c r="F98" s="616"/>
      <c r="G98" s="616"/>
      <c r="H98" s="467"/>
      <c r="I98" s="477"/>
      <c r="J98" s="477"/>
      <c r="K98" s="1674">
        <f t="shared" si="12"/>
        <v>0</v>
      </c>
      <c r="L98" s="530"/>
    </row>
    <row r="99" spans="1:14" ht="14.25" thickTop="1" thickBot="1" x14ac:dyDescent="0.25">
      <c r="A99" s="1510" t="s">
        <v>366</v>
      </c>
      <c r="B99" s="639">
        <v>4390</v>
      </c>
      <c r="C99" s="616"/>
      <c r="D99" s="616"/>
      <c r="E99" s="532"/>
      <c r="F99" s="616"/>
      <c r="G99" s="616"/>
      <c r="H99" s="467"/>
      <c r="I99" s="477"/>
      <c r="J99" s="477"/>
      <c r="K99" s="1674">
        <f>SUM(E99,H99)</f>
        <v>0</v>
      </c>
      <c r="L99" s="530"/>
    </row>
    <row r="100" spans="1:14" ht="14.25" thickTop="1" thickBot="1" x14ac:dyDescent="0.25">
      <c r="A100" s="1677" t="s">
        <v>1485</v>
      </c>
      <c r="B100" s="1678">
        <v>4300</v>
      </c>
      <c r="C100" s="616"/>
      <c r="D100" s="616"/>
      <c r="E100" s="1674">
        <f>SUM(E93:E99)</f>
        <v>0</v>
      </c>
      <c r="F100" s="616"/>
      <c r="G100" s="616"/>
      <c r="H100" s="1674">
        <f>SUM(H93:H99)</f>
        <v>0</v>
      </c>
      <c r="I100" s="477"/>
      <c r="J100" s="477"/>
      <c r="K100" s="1674">
        <f>SUM(K93:K99)</f>
        <v>0</v>
      </c>
      <c r="L100" s="1674">
        <f>SUM(L93:L99)</f>
        <v>0</v>
      </c>
    </row>
    <row r="101" spans="1:14" ht="12.75" customHeight="1" thickTop="1" thickBot="1" x14ac:dyDescent="0.25">
      <c r="A101" s="1507" t="s">
        <v>1488</v>
      </c>
      <c r="B101" s="643" t="s">
        <v>930</v>
      </c>
      <c r="C101" s="616"/>
      <c r="D101" s="616"/>
      <c r="E101" s="531"/>
      <c r="F101" s="616"/>
      <c r="G101" s="616"/>
      <c r="H101" s="531"/>
      <c r="I101" s="477"/>
      <c r="J101" s="477"/>
      <c r="K101" s="1676">
        <f>SUM(C101:J101)</f>
        <v>0</v>
      </c>
      <c r="L101" s="530"/>
    </row>
    <row r="102" spans="1:14" ht="12.75" customHeight="1" thickTop="1" thickBot="1" x14ac:dyDescent="0.25">
      <c r="A102" s="1665" t="s">
        <v>1486</v>
      </c>
      <c r="B102" s="1675">
        <v>4000</v>
      </c>
      <c r="C102" s="616"/>
      <c r="D102" s="616"/>
      <c r="E102" s="1674">
        <f>SUM(E84,E92,E100,E101)</f>
        <v>39104</v>
      </c>
      <c r="F102" s="616"/>
      <c r="G102" s="616"/>
      <c r="H102" s="1674">
        <f>SUM(H84,H92,H100,H101)</f>
        <v>386855</v>
      </c>
      <c r="I102" s="477"/>
      <c r="J102" s="477"/>
      <c r="K102" s="1674">
        <f>SUM(K84,K92,K100,K101)</f>
        <v>425959</v>
      </c>
      <c r="L102" s="1674">
        <f>SUM(L84,L92,L100,L101)</f>
        <v>370000</v>
      </c>
    </row>
    <row r="103" spans="1:14" s="633" customFormat="1" ht="15.75" customHeight="1" thickTop="1" x14ac:dyDescent="0.2">
      <c r="A103" s="1609" t="s">
        <v>512</v>
      </c>
      <c r="B103" s="1606"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1" t="s">
        <v>87</v>
      </c>
      <c r="B105" s="614">
        <v>5110</v>
      </c>
      <c r="C105" s="616"/>
      <c r="D105" s="616"/>
      <c r="E105" s="616"/>
      <c r="F105" s="616"/>
      <c r="G105" s="616"/>
      <c r="H105" s="481"/>
      <c r="I105" s="468"/>
      <c r="J105" s="468"/>
      <c r="K105" s="1668">
        <f>H105</f>
        <v>0</v>
      </c>
      <c r="L105" s="481"/>
      <c r="M105" s="210"/>
      <c r="N105" s="210"/>
    </row>
    <row r="106" spans="1:14" s="597" customFormat="1" x14ac:dyDescent="0.2">
      <c r="A106" s="1501" t="s">
        <v>88</v>
      </c>
      <c r="B106" s="614">
        <v>5120</v>
      </c>
      <c r="C106" s="616"/>
      <c r="D106" s="616"/>
      <c r="E106" s="616"/>
      <c r="F106" s="616"/>
      <c r="G106" s="616"/>
      <c r="H106" s="466"/>
      <c r="I106" s="468"/>
      <c r="J106" s="468"/>
      <c r="K106" s="1668">
        <f>H106</f>
        <v>0</v>
      </c>
      <c r="L106" s="466">
        <v>6000</v>
      </c>
      <c r="M106" s="210"/>
      <c r="N106" s="210"/>
    </row>
    <row r="107" spans="1:14" s="597" customFormat="1" ht="12.75" customHeight="1" x14ac:dyDescent="0.2">
      <c r="A107" s="1501" t="s">
        <v>1169</v>
      </c>
      <c r="B107" s="614">
        <v>5130</v>
      </c>
      <c r="C107" s="616"/>
      <c r="D107" s="616"/>
      <c r="E107" s="616"/>
      <c r="F107" s="616"/>
      <c r="G107" s="616"/>
      <c r="H107" s="466"/>
      <c r="I107" s="468"/>
      <c r="J107" s="468"/>
      <c r="K107" s="1668">
        <f>H107</f>
        <v>0</v>
      </c>
      <c r="L107" s="466"/>
      <c r="M107" s="210"/>
      <c r="N107" s="210"/>
    </row>
    <row r="108" spans="1:14" s="597" customFormat="1" x14ac:dyDescent="0.2">
      <c r="A108" s="1501" t="s">
        <v>89</v>
      </c>
      <c r="B108" s="614" t="s">
        <v>588</v>
      </c>
      <c r="C108" s="616"/>
      <c r="D108" s="616"/>
      <c r="E108" s="616"/>
      <c r="F108" s="616"/>
      <c r="G108" s="616"/>
      <c r="H108" s="466"/>
      <c r="I108" s="468"/>
      <c r="J108" s="468"/>
      <c r="K108" s="1668">
        <f>H108</f>
        <v>0</v>
      </c>
      <c r="L108" s="466"/>
      <c r="M108" s="210"/>
      <c r="N108" s="210"/>
    </row>
    <row r="109" spans="1:14" s="597" customFormat="1" x14ac:dyDescent="0.2">
      <c r="A109" s="1501" t="s">
        <v>254</v>
      </c>
      <c r="B109" s="628">
        <v>5150</v>
      </c>
      <c r="C109" s="616"/>
      <c r="D109" s="616"/>
      <c r="E109" s="616"/>
      <c r="F109" s="616"/>
      <c r="G109" s="616"/>
      <c r="H109" s="466"/>
      <c r="I109" s="468"/>
      <c r="J109" s="468"/>
      <c r="K109" s="1668">
        <f>H109</f>
        <v>0</v>
      </c>
      <c r="L109" s="466"/>
      <c r="M109" s="210"/>
      <c r="N109" s="210"/>
    </row>
    <row r="110" spans="1:14" s="597" customFormat="1" ht="12.75" customHeight="1" thickBot="1" x14ac:dyDescent="0.25">
      <c r="A110" s="1665" t="s">
        <v>1101</v>
      </c>
      <c r="B110" s="1672" t="s">
        <v>717</v>
      </c>
      <c r="C110" s="616"/>
      <c r="D110" s="616"/>
      <c r="E110" s="616"/>
      <c r="F110" s="616"/>
      <c r="G110" s="616"/>
      <c r="H110" s="1667">
        <f>SUM(H105:H109)</f>
        <v>0</v>
      </c>
      <c r="I110" s="468"/>
      <c r="J110" s="468"/>
      <c r="K110" s="1667">
        <f>SUM(K105:K109)</f>
        <v>0</v>
      </c>
      <c r="L110" s="1667">
        <f>SUM(L105:L109)</f>
        <v>6000</v>
      </c>
      <c r="M110" s="210"/>
      <c r="N110" s="210"/>
    </row>
    <row r="111" spans="1:14" s="597" customFormat="1" ht="12.75" customHeight="1" thickTop="1" thickBot="1" x14ac:dyDescent="0.25">
      <c r="A111" s="1511" t="s">
        <v>367</v>
      </c>
      <c r="B111" s="647" t="s">
        <v>38</v>
      </c>
      <c r="C111" s="616"/>
      <c r="D111" s="616"/>
      <c r="E111" s="616"/>
      <c r="F111" s="616"/>
      <c r="G111" s="616"/>
      <c r="H111" s="535">
        <v>16513</v>
      </c>
      <c r="I111" s="468"/>
      <c r="J111" s="468"/>
      <c r="K111" s="1680">
        <f>H111</f>
        <v>16513</v>
      </c>
      <c r="L111" s="532"/>
      <c r="M111" s="210"/>
      <c r="N111" s="210"/>
    </row>
    <row r="112" spans="1:14" s="597" customFormat="1" ht="12.75" customHeight="1" thickTop="1" thickBot="1" x14ac:dyDescent="0.25">
      <c r="A112" s="1665" t="s">
        <v>637</v>
      </c>
      <c r="B112" s="1666" t="s">
        <v>491</v>
      </c>
      <c r="C112" s="616"/>
      <c r="D112" s="616"/>
      <c r="E112" s="616"/>
      <c r="F112" s="616"/>
      <c r="G112" s="616"/>
      <c r="H112" s="1667">
        <f>SUM(H110:H111)</f>
        <v>16513</v>
      </c>
      <c r="I112" s="468"/>
      <c r="J112" s="468"/>
      <c r="K112" s="1667">
        <f>SUM(K110:K111)</f>
        <v>16513</v>
      </c>
      <c r="L112" s="1674">
        <f>SUM(L110,L111)</f>
        <v>6000</v>
      </c>
      <c r="M112" s="210"/>
      <c r="N112" s="210"/>
    </row>
    <row r="113" spans="1:14" s="259" customFormat="1" ht="15.75" customHeight="1" thickTop="1" thickBot="1" x14ac:dyDescent="0.25">
      <c r="A113" s="1603" t="s">
        <v>513</v>
      </c>
      <c r="B113" s="1610" t="s">
        <v>860</v>
      </c>
      <c r="C113" s="623"/>
      <c r="D113" s="623"/>
      <c r="E113" s="616"/>
      <c r="F113" s="616"/>
      <c r="G113" s="616"/>
      <c r="H113" s="623"/>
      <c r="I113" s="468"/>
      <c r="J113" s="468"/>
      <c r="K113" s="623"/>
      <c r="L113" s="531"/>
      <c r="M113" s="613"/>
      <c r="N113" s="613"/>
    </row>
    <row r="114" spans="1:14" ht="12.75" customHeight="1" thickTop="1" thickBot="1" x14ac:dyDescent="0.25">
      <c r="A114" s="1665" t="s">
        <v>48</v>
      </c>
      <c r="B114" s="1679"/>
      <c r="C114" s="1667">
        <f>SUM(C33,C74,C75,C102,C112,C113)</f>
        <v>3860919</v>
      </c>
      <c r="D114" s="1667">
        <f t="shared" ref="D114:K114" si="13">SUM(D33,D74,D75,D102,D112,D113)</f>
        <v>752503</v>
      </c>
      <c r="E114" s="1667">
        <f t="shared" si="13"/>
        <v>269162</v>
      </c>
      <c r="F114" s="1667">
        <f t="shared" si="13"/>
        <v>237656</v>
      </c>
      <c r="G114" s="1667">
        <f t="shared" si="13"/>
        <v>679</v>
      </c>
      <c r="H114" s="1667">
        <f>SUM(H33,H74,H75,H102,H112,H113)</f>
        <v>412547</v>
      </c>
      <c r="I114" s="1667">
        <f t="shared" si="13"/>
        <v>0</v>
      </c>
      <c r="J114" s="1667">
        <f t="shared" si="13"/>
        <v>0</v>
      </c>
      <c r="K114" s="1667">
        <f t="shared" si="13"/>
        <v>5533466</v>
      </c>
      <c r="L114" s="1667">
        <f>SUM(L33,L74,L75,L102,L112,L113)</f>
        <v>5392757</v>
      </c>
    </row>
    <row r="115" spans="1:14" ht="13.5" thickTop="1" x14ac:dyDescent="0.2">
      <c r="A115" s="2190" t="s">
        <v>995</v>
      </c>
      <c r="B115" s="2191"/>
      <c r="C115" s="618"/>
      <c r="D115" s="618"/>
      <c r="E115" s="618"/>
      <c r="F115" s="618"/>
      <c r="G115" s="618"/>
      <c r="H115" s="618"/>
      <c r="I115" s="618"/>
      <c r="J115" s="618"/>
      <c r="K115" s="1681">
        <f>'Revenues 9-14'!C268-'Expenditures 15-22'!K114</f>
        <v>-329709</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8" t="s">
        <v>295</v>
      </c>
      <c r="B117" s="2169"/>
      <c r="C117" s="1623"/>
      <c r="D117" s="1624"/>
      <c r="E117" s="1624"/>
      <c r="F117" s="1624"/>
      <c r="G117" s="1624"/>
      <c r="H117" s="1624"/>
      <c r="I117" s="1624"/>
      <c r="J117" s="1624"/>
      <c r="K117" s="1624"/>
      <c r="L117" s="1625"/>
      <c r="M117" s="175"/>
      <c r="N117" s="175"/>
    </row>
    <row r="118" spans="1:14" ht="15.75" customHeight="1" x14ac:dyDescent="0.2">
      <c r="A118" s="1611" t="s">
        <v>1034</v>
      </c>
      <c r="B118" s="1612"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5" t="s">
        <v>2059</v>
      </c>
      <c r="B120" s="628" t="s">
        <v>715</v>
      </c>
      <c r="C120" s="466"/>
      <c r="D120" s="466"/>
      <c r="E120" s="466"/>
      <c r="F120" s="466"/>
      <c r="G120" s="466"/>
      <c r="H120" s="466"/>
      <c r="I120" s="467"/>
      <c r="J120" s="467"/>
      <c r="K120" s="1668">
        <f>SUM(C120:J120)</f>
        <v>0</v>
      </c>
      <c r="L120" s="466"/>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1" t="s">
        <v>1067</v>
      </c>
      <c r="B122" s="614">
        <v>2510</v>
      </c>
      <c r="C122" s="466"/>
      <c r="D122" s="466"/>
      <c r="E122" s="466"/>
      <c r="F122" s="466"/>
      <c r="G122" s="466"/>
      <c r="H122" s="466"/>
      <c r="I122" s="467"/>
      <c r="J122" s="467"/>
      <c r="K122" s="1667">
        <f>SUM(C122:J122)</f>
        <v>0</v>
      </c>
      <c r="L122" s="466"/>
    </row>
    <row r="123" spans="1:14" ht="14.25" thickTop="1" thickBot="1" x14ac:dyDescent="0.25">
      <c r="A123" s="1501" t="s">
        <v>4</v>
      </c>
      <c r="B123" s="614">
        <v>2530</v>
      </c>
      <c r="C123" s="466"/>
      <c r="D123" s="466"/>
      <c r="E123" s="466"/>
      <c r="F123" s="466"/>
      <c r="G123" s="466"/>
      <c r="H123" s="466"/>
      <c r="I123" s="467"/>
      <c r="J123" s="467"/>
      <c r="K123" s="1667">
        <f>SUM(C123:J123)</f>
        <v>0</v>
      </c>
      <c r="L123" s="466"/>
    </row>
    <row r="124" spans="1:14" ht="14.25" thickTop="1" thickBot="1" x14ac:dyDescent="0.25">
      <c r="A124" s="1501" t="s">
        <v>197</v>
      </c>
      <c r="B124" s="614">
        <v>2540</v>
      </c>
      <c r="C124" s="466">
        <v>161906</v>
      </c>
      <c r="D124" s="466">
        <v>29220</v>
      </c>
      <c r="E124" s="466">
        <v>129482</v>
      </c>
      <c r="F124" s="466">
        <v>176804</v>
      </c>
      <c r="G124" s="466">
        <v>4432</v>
      </c>
      <c r="H124" s="466"/>
      <c r="I124" s="467"/>
      <c r="J124" s="467"/>
      <c r="K124" s="1667">
        <f>SUM(C124:J124)</f>
        <v>501844</v>
      </c>
      <c r="L124" s="466">
        <v>434141</v>
      </c>
    </row>
    <row r="125" spans="1:14" ht="14.25" thickTop="1" thickBot="1" x14ac:dyDescent="0.25">
      <c r="A125" s="1501" t="s">
        <v>952</v>
      </c>
      <c r="B125" s="614">
        <v>2550</v>
      </c>
      <c r="C125" s="466"/>
      <c r="D125" s="466"/>
      <c r="E125" s="466"/>
      <c r="F125" s="466"/>
      <c r="G125" s="466"/>
      <c r="H125" s="466"/>
      <c r="I125" s="467"/>
      <c r="J125" s="467"/>
      <c r="K125" s="1667">
        <f>SUM(C125:J125)</f>
        <v>0</v>
      </c>
      <c r="L125" s="466"/>
    </row>
    <row r="126" spans="1:14" ht="14.25" thickTop="1" thickBot="1" x14ac:dyDescent="0.25">
      <c r="A126" s="1501" t="s">
        <v>100</v>
      </c>
      <c r="B126" s="614">
        <v>2560</v>
      </c>
      <c r="C126" s="654"/>
      <c r="D126" s="654"/>
      <c r="E126" s="654"/>
      <c r="F126" s="654"/>
      <c r="G126" s="466"/>
      <c r="H126" s="654"/>
      <c r="I126" s="474"/>
      <c r="J126" s="616"/>
      <c r="K126" s="1667">
        <f>SUM(C126:J126)</f>
        <v>0</v>
      </c>
      <c r="L126" s="466"/>
    </row>
    <row r="127" spans="1:14" ht="12.75" customHeight="1" thickTop="1" thickBot="1" x14ac:dyDescent="0.25">
      <c r="A127" s="1665" t="s">
        <v>718</v>
      </c>
      <c r="B127" s="1666" t="s">
        <v>35</v>
      </c>
      <c r="C127" s="1667">
        <f>SUM(C122:C126)</f>
        <v>161906</v>
      </c>
      <c r="D127" s="1667">
        <f t="shared" ref="D127:L127" si="14">SUM(D122:D126)</f>
        <v>29220</v>
      </c>
      <c r="E127" s="1667">
        <f t="shared" si="14"/>
        <v>129482</v>
      </c>
      <c r="F127" s="1667">
        <f t="shared" si="14"/>
        <v>176804</v>
      </c>
      <c r="G127" s="1667">
        <f t="shared" si="14"/>
        <v>4432</v>
      </c>
      <c r="H127" s="1667">
        <f t="shared" si="14"/>
        <v>0</v>
      </c>
      <c r="I127" s="1667">
        <f t="shared" si="14"/>
        <v>0</v>
      </c>
      <c r="J127" s="1667">
        <f t="shared" si="14"/>
        <v>0</v>
      </c>
      <c r="K127" s="1667">
        <f t="shared" si="14"/>
        <v>501844</v>
      </c>
      <c r="L127" s="1667">
        <f t="shared" si="14"/>
        <v>434141</v>
      </c>
    </row>
    <row r="128" spans="1:14" ht="12.75" customHeight="1" thickTop="1" x14ac:dyDescent="0.2">
      <c r="A128" s="1508" t="s">
        <v>979</v>
      </c>
      <c r="B128" s="655" t="s">
        <v>573</v>
      </c>
      <c r="C128" s="656"/>
      <c r="D128" s="656"/>
      <c r="E128" s="656"/>
      <c r="F128" s="656"/>
      <c r="G128" s="656"/>
      <c r="H128" s="656"/>
      <c r="I128" s="535"/>
      <c r="J128" s="535"/>
      <c r="K128" s="1682">
        <f>SUM(C128:J128)</f>
        <v>0</v>
      </c>
      <c r="L128" s="656"/>
    </row>
    <row r="129" spans="1:14" ht="12.75" customHeight="1" thickBot="1" x14ac:dyDescent="0.25">
      <c r="A129" s="1683" t="s">
        <v>810</v>
      </c>
      <c r="B129" s="1684" t="s">
        <v>568</v>
      </c>
      <c r="C129" s="1674">
        <f>SUM(C120,C127,C128)</f>
        <v>161906</v>
      </c>
      <c r="D129" s="1674">
        <f t="shared" ref="D129:L129" si="15">SUM(D120,D127,D128)</f>
        <v>29220</v>
      </c>
      <c r="E129" s="1674">
        <f t="shared" si="15"/>
        <v>129482</v>
      </c>
      <c r="F129" s="1674">
        <f t="shared" si="15"/>
        <v>176804</v>
      </c>
      <c r="G129" s="1674">
        <f t="shared" si="15"/>
        <v>4432</v>
      </c>
      <c r="H129" s="1674">
        <f t="shared" si="15"/>
        <v>0</v>
      </c>
      <c r="I129" s="1674">
        <f t="shared" si="15"/>
        <v>0</v>
      </c>
      <c r="J129" s="1674">
        <f t="shared" si="15"/>
        <v>0</v>
      </c>
      <c r="K129" s="1674">
        <f t="shared" si="15"/>
        <v>501844</v>
      </c>
      <c r="L129" s="1674">
        <f t="shared" si="15"/>
        <v>434141</v>
      </c>
    </row>
    <row r="130" spans="1:14" ht="15.75" customHeight="1" thickTop="1" thickBot="1" x14ac:dyDescent="0.25">
      <c r="A130" s="1607" t="s">
        <v>1035</v>
      </c>
      <c r="B130" s="1608" t="s">
        <v>574</v>
      </c>
      <c r="C130" s="576"/>
      <c r="D130" s="576"/>
      <c r="E130" s="576"/>
      <c r="F130" s="576"/>
      <c r="G130" s="576"/>
      <c r="H130" s="576"/>
      <c r="I130" s="531"/>
      <c r="J130" s="531"/>
      <c r="K130" s="1667">
        <f>SUM(C130:J130)</f>
        <v>0</v>
      </c>
      <c r="L130" s="576"/>
    </row>
    <row r="131" spans="1:14" ht="15.75" customHeight="1" thickTop="1" x14ac:dyDescent="0.2">
      <c r="A131" s="1613" t="s">
        <v>615</v>
      </c>
      <c r="B131" s="1606"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87" t="s">
        <v>495</v>
      </c>
      <c r="B133" s="1838" t="s">
        <v>1844</v>
      </c>
      <c r="C133" s="468"/>
      <c r="D133" s="468"/>
      <c r="E133" s="641"/>
      <c r="F133" s="468"/>
      <c r="G133" s="468"/>
      <c r="H133" s="641"/>
      <c r="I133" s="468"/>
      <c r="J133" s="468"/>
      <c r="K133" s="1818">
        <f>SUM(E133,H133)</f>
        <v>0</v>
      </c>
      <c r="L133" s="641"/>
      <c r="M133" s="206"/>
      <c r="N133" s="206"/>
    </row>
    <row r="134" spans="1:14" x14ac:dyDescent="0.2">
      <c r="A134" s="1501" t="s">
        <v>303</v>
      </c>
      <c r="B134" s="614">
        <v>4120</v>
      </c>
      <c r="C134" s="616"/>
      <c r="D134" s="616"/>
      <c r="E134" s="478"/>
      <c r="F134" s="616"/>
      <c r="G134" s="616"/>
      <c r="H134" s="481"/>
      <c r="I134" s="477"/>
      <c r="J134" s="616"/>
      <c r="K134" s="1669">
        <f>SUM(E134,H134)</f>
        <v>0</v>
      </c>
      <c r="L134" s="481"/>
    </row>
    <row r="135" spans="1:14" x14ac:dyDescent="0.2">
      <c r="A135" s="1501" t="s">
        <v>696</v>
      </c>
      <c r="B135" s="614">
        <v>4140</v>
      </c>
      <c r="C135" s="616"/>
      <c r="D135" s="616"/>
      <c r="E135" s="467"/>
      <c r="F135" s="616"/>
      <c r="G135" s="616"/>
      <c r="H135" s="466"/>
      <c r="I135" s="477"/>
      <c r="J135" s="616"/>
      <c r="K135" s="1669">
        <f>SUM(E135,H135)</f>
        <v>0</v>
      </c>
      <c r="L135" s="466"/>
    </row>
    <row r="136" spans="1:14" x14ac:dyDescent="0.2">
      <c r="A136" s="1505" t="s">
        <v>697</v>
      </c>
      <c r="B136" s="628">
        <v>4190</v>
      </c>
      <c r="C136" s="616"/>
      <c r="D136" s="616"/>
      <c r="E136" s="467"/>
      <c r="F136" s="616"/>
      <c r="G136" s="616"/>
      <c r="H136" s="466"/>
      <c r="I136" s="477"/>
      <c r="J136" s="616"/>
      <c r="K136" s="1669">
        <f>SUM(E136,H136)</f>
        <v>0</v>
      </c>
      <c r="L136" s="466"/>
    </row>
    <row r="137" spans="1:14" ht="12.75" customHeight="1" thickBot="1" x14ac:dyDescent="0.25">
      <c r="A137" s="1665" t="s">
        <v>479</v>
      </c>
      <c r="B137" s="1675">
        <v>4100</v>
      </c>
      <c r="C137" s="616"/>
      <c r="D137" s="616"/>
      <c r="E137" s="1667">
        <f>SUM(E133:E136)</f>
        <v>0</v>
      </c>
      <c r="F137" s="616"/>
      <c r="G137" s="616"/>
      <c r="H137" s="1667">
        <f>SUM(H133:H136)</f>
        <v>0</v>
      </c>
      <c r="I137" s="477"/>
      <c r="J137" s="616"/>
      <c r="K137" s="1667">
        <f>SUM(K133:K136)</f>
        <v>0</v>
      </c>
      <c r="L137" s="1667">
        <f>SUM(L133:L136)</f>
        <v>0</v>
      </c>
    </row>
    <row r="138" spans="1:14" ht="12.75" customHeight="1" thickTop="1" thickBot="1" x14ac:dyDescent="0.25">
      <c r="A138" s="1507" t="s">
        <v>96</v>
      </c>
      <c r="B138" s="643" t="s">
        <v>930</v>
      </c>
      <c r="C138" s="616"/>
      <c r="D138" s="616"/>
      <c r="E138" s="479"/>
      <c r="F138" s="616"/>
      <c r="G138" s="616"/>
      <c r="H138" s="576"/>
      <c r="I138" s="477"/>
      <c r="J138" s="616"/>
      <c r="K138" s="1669">
        <f>SUM(E138,H138)</f>
        <v>0</v>
      </c>
      <c r="L138" s="576"/>
    </row>
    <row r="139" spans="1:14" ht="12.75" customHeight="1" thickTop="1" thickBot="1" x14ac:dyDescent="0.25">
      <c r="A139" s="1665" t="s">
        <v>1486</v>
      </c>
      <c r="B139" s="1675">
        <v>4000</v>
      </c>
      <c r="C139" s="616"/>
      <c r="D139" s="616"/>
      <c r="E139" s="1667">
        <f>SUM(E137,E138)</f>
        <v>0</v>
      </c>
      <c r="F139" s="616"/>
      <c r="G139" s="616"/>
      <c r="H139" s="1676">
        <f>SUM(H137:H138)</f>
        <v>0</v>
      </c>
      <c r="I139" s="477"/>
      <c r="J139" s="616"/>
      <c r="K139" s="1669">
        <f>SUM(K137,K138)</f>
        <v>0</v>
      </c>
      <c r="L139" s="1676">
        <f>SUM(L137,L138)</f>
        <v>0</v>
      </c>
    </row>
    <row r="140" spans="1:14" ht="15.75" customHeight="1" thickTop="1" x14ac:dyDescent="0.2">
      <c r="A140" s="1609" t="s">
        <v>1036</v>
      </c>
      <c r="B140" s="1610"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1" t="s">
        <v>87</v>
      </c>
      <c r="B142" s="614">
        <v>5110</v>
      </c>
      <c r="C142" s="616"/>
      <c r="D142" s="616"/>
      <c r="E142" s="616"/>
      <c r="F142" s="616"/>
      <c r="G142" s="616"/>
      <c r="H142" s="481"/>
      <c r="I142" s="468"/>
      <c r="J142" s="616"/>
      <c r="K142" s="1669">
        <f>SUM(H142)</f>
        <v>0</v>
      </c>
      <c r="L142" s="481"/>
    </row>
    <row r="143" spans="1:14" x14ac:dyDescent="0.2">
      <c r="A143" s="1501" t="s">
        <v>88</v>
      </c>
      <c r="B143" s="614">
        <v>5120</v>
      </c>
      <c r="C143" s="616"/>
      <c r="D143" s="616"/>
      <c r="E143" s="616"/>
      <c r="F143" s="616"/>
      <c r="G143" s="616"/>
      <c r="H143" s="466"/>
      <c r="I143" s="468"/>
      <c r="J143" s="616"/>
      <c r="K143" s="1669">
        <f>SUM(H143)</f>
        <v>0</v>
      </c>
      <c r="L143" s="466"/>
    </row>
    <row r="144" spans="1:14" ht="12.75" customHeight="1" x14ac:dyDescent="0.2">
      <c r="A144" s="1501" t="s">
        <v>1169</v>
      </c>
      <c r="B144" s="628" t="s">
        <v>616</v>
      </c>
      <c r="C144" s="616"/>
      <c r="D144" s="616"/>
      <c r="E144" s="616"/>
      <c r="F144" s="616"/>
      <c r="G144" s="616"/>
      <c r="H144" s="466"/>
      <c r="I144" s="468"/>
      <c r="J144" s="616"/>
      <c r="K144" s="1669">
        <f>SUM(H144)</f>
        <v>0</v>
      </c>
      <c r="L144" s="466"/>
    </row>
    <row r="145" spans="1:14" x14ac:dyDescent="0.2">
      <c r="A145" s="1501" t="s">
        <v>89</v>
      </c>
      <c r="B145" s="614" t="s">
        <v>588</v>
      </c>
      <c r="C145" s="616"/>
      <c r="D145" s="616"/>
      <c r="E145" s="616"/>
      <c r="F145" s="616"/>
      <c r="G145" s="616"/>
      <c r="H145" s="466"/>
      <c r="I145" s="468"/>
      <c r="J145" s="616"/>
      <c r="K145" s="1669">
        <f>SUM(H145)</f>
        <v>0</v>
      </c>
      <c r="L145" s="466"/>
    </row>
    <row r="146" spans="1:14" ht="12.75" customHeight="1" x14ac:dyDescent="0.2">
      <c r="A146" s="1501" t="s">
        <v>618</v>
      </c>
      <c r="B146" s="614" t="s">
        <v>617</v>
      </c>
      <c r="C146" s="616"/>
      <c r="D146" s="616"/>
      <c r="E146" s="616"/>
      <c r="F146" s="616"/>
      <c r="G146" s="616"/>
      <c r="H146" s="466"/>
      <c r="I146" s="468"/>
      <c r="J146" s="616"/>
      <c r="K146" s="1669">
        <f>SUM(H146)</f>
        <v>0</v>
      </c>
      <c r="L146" s="466"/>
    </row>
    <row r="147" spans="1:14" ht="12.75" customHeight="1" thickBot="1" x14ac:dyDescent="0.25">
      <c r="A147" s="1512" t="s">
        <v>625</v>
      </c>
      <c r="B147" s="659" t="s">
        <v>717</v>
      </c>
      <c r="C147" s="616"/>
      <c r="D147" s="616"/>
      <c r="E147" s="616"/>
      <c r="F147" s="616"/>
      <c r="G147" s="616"/>
      <c r="H147" s="1685">
        <f>SUM(H142:H146)</f>
        <v>0</v>
      </c>
      <c r="I147" s="468"/>
      <c r="J147" s="616"/>
      <c r="K147" s="1667">
        <f>SUM(K142:K146)</f>
        <v>0</v>
      </c>
      <c r="L147" s="1685">
        <f>SUM(L142:L146)</f>
        <v>0</v>
      </c>
    </row>
    <row r="148" spans="1:14" ht="15.75" customHeight="1" thickTop="1" x14ac:dyDescent="0.2">
      <c r="A148" s="660" t="s">
        <v>1102</v>
      </c>
      <c r="B148" s="661" t="s">
        <v>38</v>
      </c>
      <c r="C148" s="616"/>
      <c r="D148" s="616"/>
      <c r="E148" s="616"/>
      <c r="F148" s="616"/>
      <c r="G148" s="616"/>
      <c r="H148" s="479"/>
      <c r="I148" s="468"/>
      <c r="J148" s="616"/>
      <c r="K148" s="1669">
        <f>SUM(H148)</f>
        <v>0</v>
      </c>
      <c r="L148" s="492"/>
    </row>
    <row r="149" spans="1:14" ht="12.75" customHeight="1" thickBot="1" x14ac:dyDescent="0.25">
      <c r="A149" s="1504" t="s">
        <v>637</v>
      </c>
      <c r="B149" s="617" t="s">
        <v>491</v>
      </c>
      <c r="C149" s="616"/>
      <c r="D149" s="616"/>
      <c r="E149" s="616"/>
      <c r="F149" s="616"/>
      <c r="G149" s="616"/>
      <c r="H149" s="1667">
        <f>SUM(H147,H148)</f>
        <v>0</v>
      </c>
      <c r="I149" s="468"/>
      <c r="J149" s="616"/>
      <c r="K149" s="1667">
        <f>SUM(K147:K148)</f>
        <v>0</v>
      </c>
      <c r="L149" s="1667">
        <f>SUM(L142:L146,L148)</f>
        <v>0</v>
      </c>
    </row>
    <row r="150" spans="1:14" ht="15.75" customHeight="1" thickTop="1" thickBot="1" x14ac:dyDescent="0.25">
      <c r="A150" s="1603" t="s">
        <v>1037</v>
      </c>
      <c r="B150" s="1610" t="s">
        <v>860</v>
      </c>
      <c r="C150" s="616"/>
      <c r="D150" s="616"/>
      <c r="E150" s="616"/>
      <c r="F150" s="616"/>
      <c r="G150" s="616"/>
      <c r="H150" s="662"/>
      <c r="I150" s="521"/>
      <c r="J150" s="616"/>
      <c r="K150" s="623"/>
      <c r="L150" s="573"/>
    </row>
    <row r="151" spans="1:14" ht="12.75" customHeight="1" thickTop="1" thickBot="1" x14ac:dyDescent="0.25">
      <c r="A151" s="2180" t="s">
        <v>619</v>
      </c>
      <c r="B151" s="2162"/>
      <c r="C151" s="1667">
        <f>SUM(C129,C130,C139,C149,C150)</f>
        <v>161906</v>
      </c>
      <c r="D151" s="1667">
        <f t="shared" ref="D151:K151" si="16">SUM(D129,D130,D139,D149,D150)</f>
        <v>29220</v>
      </c>
      <c r="E151" s="1667">
        <f t="shared" si="16"/>
        <v>129482</v>
      </c>
      <c r="F151" s="1667">
        <f t="shared" si="16"/>
        <v>176804</v>
      </c>
      <c r="G151" s="1667">
        <f t="shared" si="16"/>
        <v>4432</v>
      </c>
      <c r="H151" s="1667">
        <f t="shared" si="16"/>
        <v>0</v>
      </c>
      <c r="I151" s="1667">
        <f t="shared" si="16"/>
        <v>0</v>
      </c>
      <c r="J151" s="1667">
        <f t="shared" si="16"/>
        <v>0</v>
      </c>
      <c r="K151" s="1667">
        <f t="shared" si="16"/>
        <v>501844</v>
      </c>
      <c r="L151" s="1667">
        <f>SUM(L129,L130,L139,L149,L150)</f>
        <v>434141</v>
      </c>
    </row>
    <row r="152" spans="1:14" ht="12.75" customHeight="1" thickTop="1" x14ac:dyDescent="0.2">
      <c r="A152" s="2183" t="s">
        <v>1177</v>
      </c>
      <c r="B152" s="2184"/>
      <c r="C152" s="618"/>
      <c r="D152" s="618"/>
      <c r="E152" s="618"/>
      <c r="F152" s="618"/>
      <c r="G152" s="618"/>
      <c r="H152" s="618"/>
      <c r="I152" s="618"/>
      <c r="J152" s="616"/>
      <c r="K152" s="1681">
        <f>'Revenues 9-14'!D268-'Expenditures 15-22'!K151</f>
        <v>-33532</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8" t="s">
        <v>620</v>
      </c>
      <c r="B154" s="2170"/>
      <c r="C154" s="1623"/>
      <c r="D154" s="1624"/>
      <c r="E154" s="1624"/>
      <c r="F154" s="1624"/>
      <c r="G154" s="1624"/>
      <c r="H154" s="1624"/>
      <c r="I154" s="1624"/>
      <c r="J154" s="1624"/>
      <c r="K154" s="1624"/>
      <c r="L154" s="1625"/>
      <c r="M154" s="667"/>
      <c r="N154" s="667"/>
    </row>
    <row r="155" spans="1:14" s="620" customFormat="1" ht="15.75" customHeight="1" thickBot="1" x14ac:dyDescent="0.25">
      <c r="A155" s="1614" t="s">
        <v>81</v>
      </c>
      <c r="B155" s="1615" t="s">
        <v>859</v>
      </c>
      <c r="C155" s="616"/>
      <c r="D155" s="616"/>
      <c r="E155" s="616"/>
      <c r="F155" s="616"/>
      <c r="G155" s="616"/>
      <c r="H155" s="1839"/>
      <c r="I155" s="616"/>
      <c r="J155" s="616"/>
      <c r="K155" s="1822"/>
      <c r="L155" s="1839"/>
      <c r="M155" s="619"/>
      <c r="N155" s="619"/>
    </row>
    <row r="156" spans="1:14" s="620" customFormat="1" ht="15.75" customHeight="1" thickTop="1" x14ac:dyDescent="0.2">
      <c r="A156" s="1819" t="s">
        <v>1845</v>
      </c>
      <c r="B156" s="1820"/>
      <c r="C156" s="616"/>
      <c r="D156" s="616"/>
      <c r="E156" s="616"/>
      <c r="F156" s="616"/>
      <c r="G156" s="616"/>
      <c r="H156" s="1840"/>
      <c r="I156" s="616"/>
      <c r="J156" s="616"/>
      <c r="K156" s="1821"/>
      <c r="L156" s="1840"/>
      <c r="M156" s="619"/>
      <c r="N156" s="619"/>
    </row>
    <row r="157" spans="1:14" s="620" customFormat="1" ht="12" x14ac:dyDescent="0.2">
      <c r="A157" s="1823" t="s">
        <v>495</v>
      </c>
      <c r="B157" s="1824" t="s">
        <v>1844</v>
      </c>
      <c r="C157" s="616"/>
      <c r="D157" s="616"/>
      <c r="E157" s="616"/>
      <c r="F157" s="616"/>
      <c r="G157" s="616"/>
      <c r="H157" s="641"/>
      <c r="I157" s="616"/>
      <c r="J157" s="616"/>
      <c r="K157" s="1668">
        <f>H157</f>
        <v>0</v>
      </c>
      <c r="L157" s="467"/>
      <c r="M157" s="619"/>
      <c r="N157" s="619"/>
    </row>
    <row r="158" spans="1:14" s="620" customFormat="1" ht="12" x14ac:dyDescent="0.2">
      <c r="A158" s="1823" t="s">
        <v>303</v>
      </c>
      <c r="B158" s="1824" t="s">
        <v>1846</v>
      </c>
      <c r="C158" s="616"/>
      <c r="D158" s="616"/>
      <c r="E158" s="616"/>
      <c r="F158" s="616"/>
      <c r="G158" s="616"/>
      <c r="H158" s="467"/>
      <c r="I158" s="616"/>
      <c r="J158" s="616"/>
      <c r="K158" s="1668">
        <f>H158</f>
        <v>0</v>
      </c>
      <c r="L158" s="467"/>
      <c r="M158" s="619"/>
      <c r="N158" s="619"/>
    </row>
    <row r="159" spans="1:14" s="620" customFormat="1" ht="12" x14ac:dyDescent="0.2">
      <c r="A159" s="1823" t="s">
        <v>1847</v>
      </c>
      <c r="B159" s="1824" t="s">
        <v>557</v>
      </c>
      <c r="C159" s="616"/>
      <c r="D159" s="616"/>
      <c r="E159" s="616"/>
      <c r="F159" s="616"/>
      <c r="G159" s="616"/>
      <c r="H159" s="467"/>
      <c r="I159" s="616"/>
      <c r="J159" s="616"/>
      <c r="K159" s="1668">
        <f>H159</f>
        <v>0</v>
      </c>
      <c r="L159" s="467"/>
      <c r="M159" s="619"/>
      <c r="N159" s="619"/>
    </row>
    <row r="160" spans="1:14" s="620" customFormat="1" ht="15.75" customHeight="1" thickBot="1" x14ac:dyDescent="0.25">
      <c r="A160" s="1825" t="s">
        <v>1848</v>
      </c>
      <c r="B160" s="1826" t="s">
        <v>859</v>
      </c>
      <c r="C160" s="616"/>
      <c r="D160" s="616"/>
      <c r="E160" s="616"/>
      <c r="F160" s="616"/>
      <c r="G160" s="616"/>
      <c r="H160" s="1685">
        <f>SUM(H157:H159)</f>
        <v>0</v>
      </c>
      <c r="I160" s="616"/>
      <c r="J160" s="616"/>
      <c r="K160" s="1667">
        <f>SUM(K157:K159)</f>
        <v>0</v>
      </c>
      <c r="L160" s="1685">
        <f>SUM(L157:L159)</f>
        <v>0</v>
      </c>
      <c r="M160" s="619"/>
      <c r="N160" s="619"/>
    </row>
    <row r="161" spans="1:14" s="259" customFormat="1" ht="15.75" customHeight="1" thickTop="1" x14ac:dyDescent="0.2">
      <c r="A161" s="1609" t="s">
        <v>82</v>
      </c>
      <c r="B161" s="1610"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1" t="s">
        <v>87</v>
      </c>
      <c r="B163" s="614">
        <v>5110</v>
      </c>
      <c r="C163" s="616"/>
      <c r="D163" s="616"/>
      <c r="E163" s="616"/>
      <c r="F163" s="616"/>
      <c r="G163" s="616"/>
      <c r="H163" s="466"/>
      <c r="I163" s="616"/>
      <c r="J163" s="616"/>
      <c r="K163" s="1668">
        <f>SUM(C163:J163)</f>
        <v>0</v>
      </c>
      <c r="L163" s="466"/>
    </row>
    <row r="164" spans="1:14" x14ac:dyDescent="0.2">
      <c r="A164" s="1501" t="s">
        <v>88</v>
      </c>
      <c r="B164" s="614">
        <v>5120</v>
      </c>
      <c r="C164" s="616"/>
      <c r="D164" s="616"/>
      <c r="E164" s="616"/>
      <c r="F164" s="616"/>
      <c r="G164" s="616"/>
      <c r="H164" s="466"/>
      <c r="I164" s="616"/>
      <c r="J164" s="616"/>
      <c r="K164" s="1668">
        <f>SUM(C164:J164)</f>
        <v>0</v>
      </c>
      <c r="L164" s="466"/>
    </row>
    <row r="165" spans="1:14" ht="12.75" customHeight="1" x14ac:dyDescent="0.2">
      <c r="A165" s="1501" t="s">
        <v>1169</v>
      </c>
      <c r="B165" s="614" t="s">
        <v>616</v>
      </c>
      <c r="C165" s="616"/>
      <c r="D165" s="616"/>
      <c r="E165" s="616"/>
      <c r="F165" s="616"/>
      <c r="G165" s="616"/>
      <c r="H165" s="466"/>
      <c r="I165" s="616"/>
      <c r="J165" s="616"/>
      <c r="K165" s="1668">
        <f>SUM(C165:J165)</f>
        <v>0</v>
      </c>
      <c r="L165" s="466"/>
    </row>
    <row r="166" spans="1:14" x14ac:dyDescent="0.2">
      <c r="A166" s="1501" t="s">
        <v>89</v>
      </c>
      <c r="B166" s="628" t="s">
        <v>588</v>
      </c>
      <c r="C166" s="616"/>
      <c r="D166" s="616"/>
      <c r="E166" s="616"/>
      <c r="F166" s="616"/>
      <c r="G166" s="616"/>
      <c r="H166" s="466"/>
      <c r="I166" s="616"/>
      <c r="J166" s="616"/>
      <c r="K166" s="1668">
        <f>SUM(C166:J166)</f>
        <v>0</v>
      </c>
      <c r="L166" s="466"/>
    </row>
    <row r="167" spans="1:14" ht="12.75" customHeight="1" x14ac:dyDescent="0.2">
      <c r="A167" s="1501" t="s">
        <v>618</v>
      </c>
      <c r="B167" s="614" t="s">
        <v>617</v>
      </c>
      <c r="C167" s="616"/>
      <c r="D167" s="616"/>
      <c r="E167" s="616"/>
      <c r="F167" s="616"/>
      <c r="G167" s="616"/>
      <c r="H167" s="466"/>
      <c r="I167" s="616"/>
      <c r="J167" s="616"/>
      <c r="K167" s="1668">
        <f>SUM(C167:J167)</f>
        <v>0</v>
      </c>
      <c r="L167" s="466"/>
    </row>
    <row r="168" spans="1:14" ht="13.5" thickBot="1" x14ac:dyDescent="0.25">
      <c r="A168" s="1665" t="s">
        <v>275</v>
      </c>
      <c r="B168" s="1672" t="s">
        <v>717</v>
      </c>
      <c r="C168" s="616"/>
      <c r="D168" s="616"/>
      <c r="E168" s="616"/>
      <c r="F168" s="616"/>
      <c r="G168" s="616"/>
      <c r="H168" s="1667">
        <f>SUM(H163:H167)</f>
        <v>0</v>
      </c>
      <c r="I168" s="616"/>
      <c r="J168" s="616"/>
      <c r="K168" s="1667">
        <f>SUM(K163:K167)</f>
        <v>0</v>
      </c>
      <c r="L168" s="1667">
        <f>SUM(L163:L167)</f>
        <v>0</v>
      </c>
    </row>
    <row r="169" spans="1:14" ht="15.75" customHeight="1" thickTop="1" x14ac:dyDescent="0.2">
      <c r="A169" s="669" t="s">
        <v>83</v>
      </c>
      <c r="B169" s="670" t="s">
        <v>38</v>
      </c>
      <c r="C169" s="616"/>
      <c r="D169" s="616"/>
      <c r="E169" s="616"/>
      <c r="F169" s="616"/>
      <c r="G169" s="616"/>
      <c r="H169" s="656">
        <v>480487</v>
      </c>
      <c r="I169" s="616"/>
      <c r="J169" s="616"/>
      <c r="K169" s="1668">
        <f>SUM(C169:H169)</f>
        <v>480487</v>
      </c>
      <c r="L169" s="656">
        <v>490000</v>
      </c>
    </row>
    <row r="170" spans="1:14" ht="33.75" customHeight="1" x14ac:dyDescent="0.2">
      <c r="A170" s="669" t="s">
        <v>1669</v>
      </c>
      <c r="B170" s="671" t="s">
        <v>31</v>
      </c>
      <c r="C170" s="616"/>
      <c r="D170" s="616"/>
      <c r="E170" s="616"/>
      <c r="F170" s="616"/>
      <c r="G170" s="616"/>
      <c r="H170" s="569">
        <v>540000</v>
      </c>
      <c r="I170" s="616"/>
      <c r="J170" s="616"/>
      <c r="K170" s="1668">
        <f>SUM(C170:J170)</f>
        <v>540000</v>
      </c>
      <c r="L170" s="569">
        <v>531182</v>
      </c>
    </row>
    <row r="171" spans="1:14" ht="15.75" customHeight="1" x14ac:dyDescent="0.2">
      <c r="A171" s="621" t="s">
        <v>765</v>
      </c>
      <c r="B171" s="672" t="s">
        <v>84</v>
      </c>
      <c r="C171" s="616"/>
      <c r="D171" s="616"/>
      <c r="E171" s="466"/>
      <c r="F171" s="616"/>
      <c r="G171" s="616"/>
      <c r="H171" s="569">
        <v>1848</v>
      </c>
      <c r="I171" s="477"/>
      <c r="J171" s="616"/>
      <c r="K171" s="1668">
        <f>SUM(C171:J171)</f>
        <v>1848</v>
      </c>
      <c r="L171" s="569">
        <v>1848</v>
      </c>
    </row>
    <row r="172" spans="1:14" ht="12.75" customHeight="1" thickBot="1" x14ac:dyDescent="0.25">
      <c r="A172" s="1665" t="s">
        <v>637</v>
      </c>
      <c r="B172" s="1666" t="s">
        <v>491</v>
      </c>
      <c r="C172" s="616"/>
      <c r="D172" s="616"/>
      <c r="E172" s="1674">
        <f>SUM(E168,E169,E170,E171)</f>
        <v>0</v>
      </c>
      <c r="F172" s="616"/>
      <c r="G172" s="616"/>
      <c r="H172" s="1674">
        <f>SUM(H168,H169,H170,H171)</f>
        <v>1022335</v>
      </c>
      <c r="I172" s="638"/>
      <c r="J172" s="616"/>
      <c r="K172" s="1674">
        <f>SUM(K168,K169,K170,K171)</f>
        <v>1022335</v>
      </c>
      <c r="L172" s="1674">
        <f>SUM(L168,L169,L170,L171)</f>
        <v>1023030</v>
      </c>
    </row>
    <row r="173" spans="1:14" ht="15.75" customHeight="1" thickTop="1" thickBot="1" x14ac:dyDescent="0.25">
      <c r="A173" s="1616" t="s">
        <v>85</v>
      </c>
      <c r="B173" s="1608" t="s">
        <v>860</v>
      </c>
      <c r="C173" s="616"/>
      <c r="D173" s="616"/>
      <c r="E173" s="623"/>
      <c r="F173" s="616"/>
      <c r="G173" s="616"/>
      <c r="H173" s="626"/>
      <c r="I173" s="638"/>
      <c r="J173" s="616"/>
      <c r="K173" s="623"/>
      <c r="L173" s="576"/>
    </row>
    <row r="174" spans="1:14" ht="12.75" customHeight="1" thickTop="1" thickBot="1" x14ac:dyDescent="0.25">
      <c r="A174" s="1686" t="s">
        <v>90</v>
      </c>
      <c r="B174" s="1687"/>
      <c r="C174" s="616"/>
      <c r="D174" s="616"/>
      <c r="E174" s="1674">
        <f>SUM(E172,E173)</f>
        <v>0</v>
      </c>
      <c r="F174" s="616"/>
      <c r="G174" s="616"/>
      <c r="H174" s="1674">
        <f>SUM(H160,H172,H173)</f>
        <v>1022335</v>
      </c>
      <c r="I174" s="638"/>
      <c r="J174" s="616"/>
      <c r="K174" s="1674">
        <f>SUM(K160,K172,K173)</f>
        <v>1022335</v>
      </c>
      <c r="L174" s="1674">
        <f>SUM(L160,L172,L173)</f>
        <v>1023030</v>
      </c>
    </row>
    <row r="175" spans="1:14" ht="13.5" thickTop="1" x14ac:dyDescent="0.2">
      <c r="A175" s="2190" t="s">
        <v>995</v>
      </c>
      <c r="B175" s="2191"/>
      <c r="C175" s="616"/>
      <c r="D175" s="616"/>
      <c r="E175" s="616"/>
      <c r="F175" s="616"/>
      <c r="G175" s="616"/>
      <c r="H175" s="618"/>
      <c r="I175" s="616"/>
      <c r="J175" s="616"/>
      <c r="K175" s="1681">
        <f>'Revenues 9-14'!E268-'Expenditures 15-22'!K174</f>
        <v>7744</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1" t="s">
        <v>936</v>
      </c>
      <c r="B177" s="1552"/>
      <c r="C177" s="1548"/>
      <c r="D177" s="1549"/>
      <c r="E177" s="1549"/>
      <c r="F177" s="1549"/>
      <c r="G177" s="1549"/>
      <c r="H177" s="1549"/>
      <c r="I177" s="1549"/>
      <c r="J177" s="1549"/>
      <c r="K177" s="1549"/>
      <c r="L177" s="1550"/>
      <c r="M177" s="609"/>
      <c r="N177" s="609"/>
    </row>
    <row r="178" spans="1:14" s="674" customFormat="1" ht="15.75" customHeight="1" x14ac:dyDescent="0.2">
      <c r="A178" s="1617" t="s">
        <v>937</v>
      </c>
      <c r="B178" s="1618"/>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1" t="s">
        <v>2059</v>
      </c>
      <c r="B180" s="614" t="s">
        <v>715</v>
      </c>
      <c r="C180" s="466"/>
      <c r="D180" s="466"/>
      <c r="E180" s="466"/>
      <c r="F180" s="466"/>
      <c r="G180" s="466"/>
      <c r="H180" s="466"/>
      <c r="I180" s="467"/>
      <c r="J180" s="467"/>
      <c r="K180" s="1668">
        <f>SUM(C180:J180)</f>
        <v>0</v>
      </c>
      <c r="L180" s="466"/>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1" t="s">
        <v>952</v>
      </c>
      <c r="B182" s="614">
        <v>2550</v>
      </c>
      <c r="C182" s="466">
        <v>138985</v>
      </c>
      <c r="D182" s="466">
        <v>4185</v>
      </c>
      <c r="E182" s="466">
        <v>14352</v>
      </c>
      <c r="F182" s="466">
        <v>53615</v>
      </c>
      <c r="G182" s="466">
        <v>230768</v>
      </c>
      <c r="H182" s="466"/>
      <c r="I182" s="467"/>
      <c r="J182" s="467"/>
      <c r="K182" s="1668">
        <f>SUM(C182:J182)</f>
        <v>441905</v>
      </c>
      <c r="L182" s="466">
        <v>319439</v>
      </c>
    </row>
    <row r="183" spans="1:14" ht="12.75" customHeight="1" thickBot="1" x14ac:dyDescent="0.25">
      <c r="A183" s="1506" t="s">
        <v>979</v>
      </c>
      <c r="B183" s="677">
        <v>2900</v>
      </c>
      <c r="C183" s="573"/>
      <c r="D183" s="573"/>
      <c r="E183" s="573"/>
      <c r="F183" s="573"/>
      <c r="G183" s="573"/>
      <c r="H183" s="573"/>
      <c r="I183" s="532"/>
      <c r="J183" s="532"/>
      <c r="K183" s="1674">
        <f>SUM(C183:J183)</f>
        <v>0</v>
      </c>
      <c r="L183" s="573"/>
    </row>
    <row r="184" spans="1:14" ht="12.75" customHeight="1" thickTop="1" thickBot="1" x14ac:dyDescent="0.25">
      <c r="A184" s="1688" t="s">
        <v>810</v>
      </c>
      <c r="B184" s="1666" t="s">
        <v>568</v>
      </c>
      <c r="C184" s="1674">
        <f>SUM(C180,C182,C183)</f>
        <v>138985</v>
      </c>
      <c r="D184" s="1674">
        <f t="shared" ref="D184:J184" si="17">SUM(D180,D182,D183)</f>
        <v>4185</v>
      </c>
      <c r="E184" s="1674">
        <f t="shared" si="17"/>
        <v>14352</v>
      </c>
      <c r="F184" s="1674">
        <f t="shared" si="17"/>
        <v>53615</v>
      </c>
      <c r="G184" s="1674">
        <f t="shared" si="17"/>
        <v>230768</v>
      </c>
      <c r="H184" s="1674">
        <f t="shared" si="17"/>
        <v>0</v>
      </c>
      <c r="I184" s="1674">
        <f t="shared" si="17"/>
        <v>0</v>
      </c>
      <c r="J184" s="1674">
        <f t="shared" si="17"/>
        <v>0</v>
      </c>
      <c r="K184" s="1674">
        <f>SUM(K180,K182,K183)</f>
        <v>441905</v>
      </c>
      <c r="L184" s="1674">
        <f>SUM(L180, L182:L183)</f>
        <v>319439</v>
      </c>
    </row>
    <row r="185" spans="1:14" ht="15.75" customHeight="1" thickTop="1" thickBot="1" x14ac:dyDescent="0.25">
      <c r="A185" s="1619" t="s">
        <v>938</v>
      </c>
      <c r="B185" s="1608">
        <v>3000</v>
      </c>
      <c r="C185" s="576"/>
      <c r="D185" s="576"/>
      <c r="E185" s="576"/>
      <c r="F185" s="576"/>
      <c r="G185" s="576"/>
      <c r="H185" s="576"/>
      <c r="I185" s="531"/>
      <c r="J185" s="531"/>
      <c r="K185" s="1667">
        <f>SUM(C185:J185)</f>
        <v>0</v>
      </c>
      <c r="L185" s="576"/>
    </row>
    <row r="186" spans="1:14" s="674" customFormat="1" ht="15.75" customHeight="1" thickTop="1" x14ac:dyDescent="0.2">
      <c r="A186" s="1603" t="s">
        <v>91</v>
      </c>
      <c r="B186" s="1606"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1" t="s">
        <v>495</v>
      </c>
      <c r="B188" s="614">
        <v>4110</v>
      </c>
      <c r="C188" s="616"/>
      <c r="D188" s="616"/>
      <c r="E188" s="466"/>
      <c r="F188" s="616"/>
      <c r="G188" s="616"/>
      <c r="H188" s="466"/>
      <c r="I188" s="477"/>
      <c r="J188" s="616"/>
      <c r="K188" s="1668">
        <f t="shared" ref="K188:K193" si="18">SUM(E188,H188)</f>
        <v>0</v>
      </c>
      <c r="L188" s="466"/>
    </row>
    <row r="189" spans="1:14" x14ac:dyDescent="0.2">
      <c r="A189" s="1501" t="s">
        <v>303</v>
      </c>
      <c r="B189" s="614">
        <v>4120</v>
      </c>
      <c r="C189" s="616"/>
      <c r="D189" s="616"/>
      <c r="E189" s="466"/>
      <c r="F189" s="616"/>
      <c r="G189" s="616"/>
      <c r="H189" s="466"/>
      <c r="I189" s="477"/>
      <c r="J189" s="616"/>
      <c r="K189" s="1668">
        <f t="shared" si="18"/>
        <v>0</v>
      </c>
      <c r="L189" s="466"/>
    </row>
    <row r="190" spans="1:14" x14ac:dyDescent="0.2">
      <c r="A190" s="1501" t="s">
        <v>304</v>
      </c>
      <c r="B190" s="628">
        <v>4130</v>
      </c>
      <c r="C190" s="616"/>
      <c r="D190" s="616"/>
      <c r="E190" s="466"/>
      <c r="F190" s="616"/>
      <c r="G190" s="616"/>
      <c r="H190" s="466"/>
      <c r="I190" s="477"/>
      <c r="J190" s="616"/>
      <c r="K190" s="1668">
        <f t="shared" si="18"/>
        <v>0</v>
      </c>
      <c r="L190" s="466"/>
    </row>
    <row r="191" spans="1:14" x14ac:dyDescent="0.2">
      <c r="A191" s="1501" t="s">
        <v>696</v>
      </c>
      <c r="B191" s="614">
        <v>4140</v>
      </c>
      <c r="C191" s="616"/>
      <c r="D191" s="616"/>
      <c r="E191" s="466"/>
      <c r="F191" s="616"/>
      <c r="G191" s="616"/>
      <c r="H191" s="466"/>
      <c r="I191" s="477"/>
      <c r="J191" s="616"/>
      <c r="K191" s="1668">
        <f t="shared" si="18"/>
        <v>0</v>
      </c>
      <c r="L191" s="466"/>
    </row>
    <row r="192" spans="1:14" x14ac:dyDescent="0.2">
      <c r="A192" s="1501" t="s">
        <v>86</v>
      </c>
      <c r="B192" s="614">
        <v>4170</v>
      </c>
      <c r="C192" s="616"/>
      <c r="D192" s="616"/>
      <c r="E192" s="466"/>
      <c r="F192" s="616"/>
      <c r="G192" s="616"/>
      <c r="H192" s="466"/>
      <c r="I192" s="477"/>
      <c r="J192" s="616"/>
      <c r="K192" s="1668">
        <f t="shared" si="18"/>
        <v>0</v>
      </c>
      <c r="L192" s="466"/>
    </row>
    <row r="193" spans="1:14" x14ac:dyDescent="0.2">
      <c r="A193" s="1505" t="s">
        <v>697</v>
      </c>
      <c r="B193" s="628">
        <v>4190</v>
      </c>
      <c r="C193" s="616"/>
      <c r="D193" s="616"/>
      <c r="E193" s="466"/>
      <c r="F193" s="616"/>
      <c r="G193" s="616"/>
      <c r="H193" s="466"/>
      <c r="I193" s="477"/>
      <c r="J193" s="616"/>
      <c r="K193" s="1668">
        <f t="shared" si="18"/>
        <v>0</v>
      </c>
      <c r="L193" s="466"/>
    </row>
    <row r="194" spans="1:14" ht="12.75" customHeight="1" thickBot="1" x14ac:dyDescent="0.25">
      <c r="A194" s="1665" t="s">
        <v>1139</v>
      </c>
      <c r="B194" s="1666" t="s">
        <v>558</v>
      </c>
      <c r="C194" s="616"/>
      <c r="D194" s="616"/>
      <c r="E194" s="1667">
        <f>SUM(E188:E193)</f>
        <v>0</v>
      </c>
      <c r="F194" s="616"/>
      <c r="G194" s="616"/>
      <c r="H194" s="1667">
        <f>SUM(H188:H193)</f>
        <v>0</v>
      </c>
      <c r="I194" s="477"/>
      <c r="J194" s="616"/>
      <c r="K194" s="1667">
        <f>SUM(K188:K193)</f>
        <v>0</v>
      </c>
      <c r="L194" s="1667">
        <f>SUM(L188:L193)</f>
        <v>0</v>
      </c>
    </row>
    <row r="195" spans="1:14" ht="15.75" customHeight="1" thickTop="1" x14ac:dyDescent="0.2">
      <c r="A195" s="669" t="s">
        <v>92</v>
      </c>
      <c r="B195" s="678" t="s">
        <v>930</v>
      </c>
      <c r="C195" s="616"/>
      <c r="D195" s="616"/>
      <c r="E195" s="656"/>
      <c r="F195" s="616"/>
      <c r="G195" s="616"/>
      <c r="H195" s="656"/>
      <c r="I195" s="477"/>
      <c r="J195" s="616"/>
      <c r="K195" s="1682">
        <f>SUM(E195,H195)</f>
        <v>0</v>
      </c>
      <c r="L195" s="656"/>
    </row>
    <row r="196" spans="1:14" ht="12.75" customHeight="1" thickBot="1" x14ac:dyDescent="0.25">
      <c r="A196" s="1665" t="s">
        <v>1486</v>
      </c>
      <c r="B196" s="1666" t="s">
        <v>859</v>
      </c>
      <c r="C196" s="616"/>
      <c r="D196" s="616"/>
      <c r="E196" s="1674">
        <f>SUM(E194,E195)</f>
        <v>0</v>
      </c>
      <c r="F196" s="616"/>
      <c r="G196" s="616"/>
      <c r="H196" s="1674">
        <f>SUM(H194,H195)</f>
        <v>0</v>
      </c>
      <c r="I196" s="477"/>
      <c r="J196" s="616"/>
      <c r="K196" s="1674">
        <f>SUM(K194,K195)</f>
        <v>0</v>
      </c>
      <c r="L196" s="1674">
        <f>SUM(L194,L195)</f>
        <v>0</v>
      </c>
    </row>
    <row r="197" spans="1:14" s="674" customFormat="1" ht="15.75" customHeight="1" thickTop="1" x14ac:dyDescent="0.2">
      <c r="A197" s="1609" t="s">
        <v>939</v>
      </c>
      <c r="B197" s="1606"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1" t="s">
        <v>87</v>
      </c>
      <c r="B199" s="614">
        <v>5110</v>
      </c>
      <c r="C199" s="616"/>
      <c r="D199" s="616"/>
      <c r="E199" s="616"/>
      <c r="F199" s="616"/>
      <c r="G199" s="616"/>
      <c r="H199" s="466"/>
      <c r="I199" s="616"/>
      <c r="J199" s="616"/>
      <c r="K199" s="1668">
        <f>SUM(H199)</f>
        <v>0</v>
      </c>
      <c r="L199" s="466"/>
    </row>
    <row r="200" spans="1:14" x14ac:dyDescent="0.2">
      <c r="A200" s="1501" t="s">
        <v>88</v>
      </c>
      <c r="B200" s="614">
        <v>5120</v>
      </c>
      <c r="C200" s="616"/>
      <c r="D200" s="616"/>
      <c r="E200" s="616"/>
      <c r="F200" s="616"/>
      <c r="G200" s="616"/>
      <c r="H200" s="466"/>
      <c r="I200" s="616"/>
      <c r="J200" s="616"/>
      <c r="K200" s="1668">
        <f>SUM(H200)</f>
        <v>0</v>
      </c>
      <c r="L200" s="466"/>
    </row>
    <row r="201" spans="1:14" ht="12.75" customHeight="1" x14ac:dyDescent="0.2">
      <c r="A201" s="1501" t="s">
        <v>1169</v>
      </c>
      <c r="B201" s="628" t="s">
        <v>616</v>
      </c>
      <c r="C201" s="616"/>
      <c r="D201" s="616"/>
      <c r="E201" s="616"/>
      <c r="F201" s="616"/>
      <c r="G201" s="616"/>
      <c r="H201" s="466"/>
      <c r="I201" s="616"/>
      <c r="J201" s="616"/>
      <c r="K201" s="1668">
        <f>SUM(H201)</f>
        <v>0</v>
      </c>
      <c r="L201" s="466"/>
    </row>
    <row r="202" spans="1:14" x14ac:dyDescent="0.2">
      <c r="A202" s="1501" t="s">
        <v>89</v>
      </c>
      <c r="B202" s="614" t="s">
        <v>588</v>
      </c>
      <c r="C202" s="616"/>
      <c r="D202" s="616"/>
      <c r="E202" s="616"/>
      <c r="F202" s="616"/>
      <c r="G202" s="616"/>
      <c r="H202" s="466"/>
      <c r="I202" s="616"/>
      <c r="J202" s="616"/>
      <c r="K202" s="1668">
        <f>SUM(H202)</f>
        <v>0</v>
      </c>
      <c r="L202" s="466"/>
    </row>
    <row r="203" spans="1:14" x14ac:dyDescent="0.2">
      <c r="A203" s="1513" t="s">
        <v>618</v>
      </c>
      <c r="B203" s="614" t="s">
        <v>617</v>
      </c>
      <c r="C203" s="616"/>
      <c r="D203" s="616"/>
      <c r="E203" s="616"/>
      <c r="F203" s="616"/>
      <c r="G203" s="616"/>
      <c r="H203" s="471"/>
      <c r="I203" s="616"/>
      <c r="J203" s="616"/>
      <c r="K203" s="1668">
        <f>SUM(H203)</f>
        <v>0</v>
      </c>
      <c r="L203" s="471"/>
    </row>
    <row r="204" spans="1:14" ht="13.5" thickBot="1" x14ac:dyDescent="0.25">
      <c r="A204" s="1665" t="s">
        <v>275</v>
      </c>
      <c r="B204" s="1666" t="s">
        <v>717</v>
      </c>
      <c r="C204" s="616"/>
      <c r="D204" s="616"/>
      <c r="E204" s="616"/>
      <c r="F204" s="616"/>
      <c r="G204" s="616"/>
      <c r="H204" s="1667">
        <f>SUM(H199:H203)</f>
        <v>0</v>
      </c>
      <c r="I204" s="616"/>
      <c r="J204" s="616"/>
      <c r="K204" s="1667">
        <f>SUM(K199:K203)</f>
        <v>0</v>
      </c>
      <c r="L204" s="1667">
        <f>SUM(L199:L203)</f>
        <v>0</v>
      </c>
    </row>
    <row r="205" spans="1:14" ht="15.75" customHeight="1" thickTop="1" x14ac:dyDescent="0.2">
      <c r="A205" s="679" t="s">
        <v>83</v>
      </c>
      <c r="B205" s="680" t="s">
        <v>38</v>
      </c>
      <c r="C205" s="616"/>
      <c r="D205" s="616"/>
      <c r="E205" s="616"/>
      <c r="F205" s="616"/>
      <c r="G205" s="616"/>
      <c r="H205" s="535">
        <v>5210</v>
      </c>
      <c r="I205" s="616"/>
      <c r="J205" s="616"/>
      <c r="K205" s="1682">
        <f>SUM(H205)</f>
        <v>5210</v>
      </c>
      <c r="L205" s="535"/>
    </row>
    <row r="206" spans="1:14" ht="30" customHeight="1" x14ac:dyDescent="0.2">
      <c r="A206" s="681" t="s">
        <v>1670</v>
      </c>
      <c r="B206" s="672" t="s">
        <v>31</v>
      </c>
      <c r="C206" s="616"/>
      <c r="D206" s="616"/>
      <c r="E206" s="616"/>
      <c r="F206" s="616"/>
      <c r="G206" s="616"/>
      <c r="H206" s="466">
        <v>110826</v>
      </c>
      <c r="I206" s="616"/>
      <c r="J206" s="616"/>
      <c r="K206" s="1668">
        <f>SUM(H206)</f>
        <v>110826</v>
      </c>
      <c r="L206" s="466"/>
    </row>
    <row r="207" spans="1:14" ht="15.75" customHeight="1" x14ac:dyDescent="0.2">
      <c r="A207" s="621" t="s">
        <v>765</v>
      </c>
      <c r="B207" s="672" t="s">
        <v>84</v>
      </c>
      <c r="C207" s="616"/>
      <c r="D207" s="616"/>
      <c r="E207" s="616"/>
      <c r="F207" s="616"/>
      <c r="G207" s="616"/>
      <c r="H207" s="467"/>
      <c r="I207" s="616"/>
      <c r="J207" s="616"/>
      <c r="K207" s="1668">
        <f>H207</f>
        <v>0</v>
      </c>
      <c r="L207" s="466"/>
    </row>
    <row r="208" spans="1:14" ht="12.75" customHeight="1" thickBot="1" x14ac:dyDescent="0.25">
      <c r="A208" s="1683" t="s">
        <v>637</v>
      </c>
      <c r="B208" s="1684" t="s">
        <v>491</v>
      </c>
      <c r="C208" s="616"/>
      <c r="D208" s="616"/>
      <c r="E208" s="616"/>
      <c r="F208" s="616"/>
      <c r="G208" s="616"/>
      <c r="H208" s="1674">
        <f>SUM(H204,H205,H206,H207)</f>
        <v>116036</v>
      </c>
      <c r="I208" s="616"/>
      <c r="J208" s="616"/>
      <c r="K208" s="1674">
        <f>SUM(K204,K205,K206,K207)</f>
        <v>116036</v>
      </c>
      <c r="L208" s="1674">
        <f>SUM(L204,L205,L206,L207)</f>
        <v>0</v>
      </c>
    </row>
    <row r="209" spans="1:14" ht="15.75" customHeight="1" thickTop="1" thickBot="1" x14ac:dyDescent="0.25">
      <c r="A209" s="1603" t="s">
        <v>871</v>
      </c>
      <c r="B209" s="1610" t="s">
        <v>860</v>
      </c>
      <c r="C209" s="623"/>
      <c r="D209" s="623"/>
      <c r="E209" s="623"/>
      <c r="F209" s="623"/>
      <c r="G209" s="623"/>
      <c r="H209" s="623"/>
      <c r="I209" s="616"/>
      <c r="J209" s="616"/>
      <c r="K209" s="623"/>
      <c r="L209" s="576"/>
    </row>
    <row r="210" spans="1:14" ht="12.75" customHeight="1" thickTop="1" thickBot="1" x14ac:dyDescent="0.25">
      <c r="A210" s="1689" t="s">
        <v>276</v>
      </c>
      <c r="B210" s="1690"/>
      <c r="C210" s="1667">
        <f>SUM(C184,C185)</f>
        <v>138985</v>
      </c>
      <c r="D210" s="1667">
        <f>SUM(D184,D185)</f>
        <v>4185</v>
      </c>
      <c r="E210" s="1667">
        <f>SUM(E184,E185,E196)</f>
        <v>14352</v>
      </c>
      <c r="F210" s="1667">
        <f>SUM(F184,F185)</f>
        <v>53615</v>
      </c>
      <c r="G210" s="1667">
        <f>SUM(G184,G185)</f>
        <v>230768</v>
      </c>
      <c r="H210" s="1667">
        <f>SUM(H184,H185,H196,H208,H209)</f>
        <v>116036</v>
      </c>
      <c r="I210" s="1667">
        <f>SUM(I184,I185)</f>
        <v>0</v>
      </c>
      <c r="J210" s="1667">
        <f>SUM(J184,J185)</f>
        <v>0</v>
      </c>
      <c r="K210" s="1668">
        <f>SUM(K184,K185,K196,K208,K209)</f>
        <v>557941</v>
      </c>
      <c r="L210" s="1667">
        <f>SUM(L184,L185,L196,L208,L209)</f>
        <v>319439</v>
      </c>
    </row>
    <row r="211" spans="1:14" ht="13.5" thickTop="1" x14ac:dyDescent="0.2">
      <c r="A211" s="2190" t="s">
        <v>995</v>
      </c>
      <c r="B211" s="2191"/>
      <c r="C211" s="618"/>
      <c r="D211" s="618"/>
      <c r="E211" s="618"/>
      <c r="F211" s="618"/>
      <c r="G211" s="618"/>
      <c r="H211" s="618"/>
      <c r="I211" s="616"/>
      <c r="J211" s="616"/>
      <c r="K211" s="1681">
        <f>'Revenues 9-14'!F268-'Expenditures 15-22'!K210</f>
        <v>-258758</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5" t="s">
        <v>964</v>
      </c>
      <c r="B213" s="2186"/>
      <c r="C213" s="1548"/>
      <c r="D213" s="1549"/>
      <c r="E213" s="1549"/>
      <c r="F213" s="1549"/>
      <c r="G213" s="1549"/>
      <c r="H213" s="1549"/>
      <c r="I213" s="1549"/>
      <c r="J213" s="1549"/>
      <c r="K213" s="1549"/>
      <c r="L213" s="1550"/>
      <c r="M213" s="609"/>
      <c r="N213" s="609"/>
    </row>
    <row r="214" spans="1:14" s="674" customFormat="1" ht="15.75" customHeight="1" x14ac:dyDescent="0.2">
      <c r="A214" s="1620" t="s">
        <v>872</v>
      </c>
      <c r="B214" s="1612" t="s">
        <v>569</v>
      </c>
      <c r="C214" s="616"/>
      <c r="D214" s="623"/>
      <c r="E214" s="616"/>
      <c r="F214" s="616"/>
      <c r="G214" s="616"/>
      <c r="H214" s="616"/>
      <c r="I214" s="616"/>
      <c r="J214" s="616"/>
      <c r="K214" s="623"/>
      <c r="L214" s="623"/>
      <c r="M214" s="665"/>
      <c r="N214" s="665"/>
    </row>
    <row r="215" spans="1:14" x14ac:dyDescent="0.2">
      <c r="A215" s="1501" t="s">
        <v>960</v>
      </c>
      <c r="B215" s="614">
        <v>1100</v>
      </c>
      <c r="C215" s="616"/>
      <c r="D215" s="466">
        <v>35471</v>
      </c>
      <c r="E215" s="616"/>
      <c r="F215" s="616"/>
      <c r="G215" s="616"/>
      <c r="H215" s="616"/>
      <c r="I215" s="616"/>
      <c r="J215" s="616"/>
      <c r="K215" s="1668">
        <f>D215</f>
        <v>35471</v>
      </c>
      <c r="L215" s="466">
        <v>37900</v>
      </c>
    </row>
    <row r="216" spans="1:14" x14ac:dyDescent="0.2">
      <c r="A216" s="1501" t="s">
        <v>163</v>
      </c>
      <c r="B216" s="614" t="s">
        <v>966</v>
      </c>
      <c r="C216" s="616"/>
      <c r="D216" s="467">
        <v>1308</v>
      </c>
      <c r="E216" s="616"/>
      <c r="F216" s="616"/>
      <c r="G216" s="616"/>
      <c r="H216" s="616"/>
      <c r="I216" s="616"/>
      <c r="J216" s="616"/>
      <c r="K216" s="1668">
        <f t="shared" ref="K216:K228" si="19">D216</f>
        <v>1308</v>
      </c>
      <c r="L216" s="466">
        <v>400</v>
      </c>
    </row>
    <row r="217" spans="1:14" x14ac:dyDescent="0.2">
      <c r="A217" s="1501" t="s">
        <v>164</v>
      </c>
      <c r="B217" s="614">
        <v>1200</v>
      </c>
      <c r="C217" s="616"/>
      <c r="D217" s="466">
        <v>30657</v>
      </c>
      <c r="E217" s="616"/>
      <c r="F217" s="616"/>
      <c r="G217" s="616"/>
      <c r="H217" s="616"/>
      <c r="I217" s="616"/>
      <c r="J217" s="616"/>
      <c r="K217" s="1668">
        <f t="shared" si="19"/>
        <v>30657</v>
      </c>
      <c r="L217" s="466">
        <v>24600</v>
      </c>
    </row>
    <row r="218" spans="1:14" x14ac:dyDescent="0.2">
      <c r="A218" s="1501" t="s">
        <v>277</v>
      </c>
      <c r="B218" s="614" t="s">
        <v>967</v>
      </c>
      <c r="C218" s="616"/>
      <c r="D218" s="467">
        <v>1346</v>
      </c>
      <c r="E218" s="616"/>
      <c r="F218" s="616"/>
      <c r="G218" s="616"/>
      <c r="H218" s="616"/>
      <c r="I218" s="616"/>
      <c r="J218" s="616"/>
      <c r="K218" s="1668">
        <f t="shared" si="19"/>
        <v>1346</v>
      </c>
      <c r="L218" s="466">
        <v>3500</v>
      </c>
    </row>
    <row r="219" spans="1:14" x14ac:dyDescent="0.2">
      <c r="A219" s="1501" t="s">
        <v>278</v>
      </c>
      <c r="B219" s="614">
        <v>1250</v>
      </c>
      <c r="C219" s="616"/>
      <c r="D219" s="466">
        <v>2249</v>
      </c>
      <c r="E219" s="616"/>
      <c r="F219" s="616"/>
      <c r="G219" s="616"/>
      <c r="H219" s="616"/>
      <c r="I219" s="616"/>
      <c r="J219" s="616"/>
      <c r="K219" s="1668">
        <f t="shared" si="19"/>
        <v>2249</v>
      </c>
      <c r="L219" s="466">
        <v>1500</v>
      </c>
    </row>
    <row r="220" spans="1:14" x14ac:dyDescent="0.2">
      <c r="A220" s="1501" t="s">
        <v>279</v>
      </c>
      <c r="B220" s="614" t="s">
        <v>161</v>
      </c>
      <c r="C220" s="616"/>
      <c r="D220" s="467"/>
      <c r="E220" s="616"/>
      <c r="F220" s="616"/>
      <c r="G220" s="616"/>
      <c r="H220" s="616"/>
      <c r="I220" s="616"/>
      <c r="J220" s="616"/>
      <c r="K220" s="1668">
        <f t="shared" si="19"/>
        <v>0</v>
      </c>
      <c r="L220" s="466"/>
    </row>
    <row r="221" spans="1:14" x14ac:dyDescent="0.2">
      <c r="A221" s="1501" t="s">
        <v>961</v>
      </c>
      <c r="B221" s="614">
        <v>1300</v>
      </c>
      <c r="C221" s="616"/>
      <c r="D221" s="466"/>
      <c r="E221" s="616"/>
      <c r="F221" s="616"/>
      <c r="G221" s="616"/>
      <c r="H221" s="616"/>
      <c r="I221" s="616"/>
      <c r="J221" s="616"/>
      <c r="K221" s="1668">
        <f t="shared" si="19"/>
        <v>0</v>
      </c>
      <c r="L221" s="466"/>
    </row>
    <row r="222" spans="1:14" x14ac:dyDescent="0.2">
      <c r="A222" s="1501" t="s">
        <v>722</v>
      </c>
      <c r="B222" s="614">
        <v>1400</v>
      </c>
      <c r="C222" s="616"/>
      <c r="D222" s="466">
        <v>1075</v>
      </c>
      <c r="E222" s="616"/>
      <c r="F222" s="616"/>
      <c r="G222" s="616"/>
      <c r="H222" s="616"/>
      <c r="I222" s="616"/>
      <c r="J222" s="616"/>
      <c r="K222" s="1668">
        <f t="shared" si="19"/>
        <v>1075</v>
      </c>
      <c r="L222" s="466">
        <v>1250</v>
      </c>
    </row>
    <row r="223" spans="1:14" x14ac:dyDescent="0.2">
      <c r="A223" s="1501" t="s">
        <v>962</v>
      </c>
      <c r="B223" s="614">
        <v>1500</v>
      </c>
      <c r="C223" s="616"/>
      <c r="D223" s="466">
        <v>6918</v>
      </c>
      <c r="E223" s="616"/>
      <c r="F223" s="616"/>
      <c r="G223" s="616"/>
      <c r="H223" s="616"/>
      <c r="I223" s="616"/>
      <c r="J223" s="616"/>
      <c r="K223" s="1668">
        <f t="shared" si="19"/>
        <v>6918</v>
      </c>
      <c r="L223" s="466">
        <v>7000</v>
      </c>
    </row>
    <row r="224" spans="1:14" x14ac:dyDescent="0.2">
      <c r="A224" s="1501" t="s">
        <v>963</v>
      </c>
      <c r="B224" s="614">
        <v>1600</v>
      </c>
      <c r="C224" s="616"/>
      <c r="D224" s="466"/>
      <c r="E224" s="616"/>
      <c r="F224" s="616"/>
      <c r="G224" s="616"/>
      <c r="H224" s="616"/>
      <c r="I224" s="616"/>
      <c r="J224" s="616"/>
      <c r="K224" s="1668">
        <f t="shared" si="19"/>
        <v>0</v>
      </c>
      <c r="L224" s="466"/>
    </row>
    <row r="225" spans="1:12" x14ac:dyDescent="0.2">
      <c r="A225" s="1501" t="s">
        <v>986</v>
      </c>
      <c r="B225" s="614">
        <v>1650</v>
      </c>
      <c r="C225" s="616"/>
      <c r="D225" s="466"/>
      <c r="E225" s="616"/>
      <c r="F225" s="616"/>
      <c r="G225" s="616"/>
      <c r="H225" s="616"/>
      <c r="I225" s="616"/>
      <c r="J225" s="616"/>
      <c r="K225" s="1668">
        <f t="shared" si="19"/>
        <v>0</v>
      </c>
      <c r="L225" s="466"/>
    </row>
    <row r="226" spans="1:12" x14ac:dyDescent="0.2">
      <c r="A226" s="1501" t="s">
        <v>723</v>
      </c>
      <c r="B226" s="614" t="s">
        <v>162</v>
      </c>
      <c r="C226" s="616"/>
      <c r="D226" s="467">
        <v>89</v>
      </c>
      <c r="E226" s="616"/>
      <c r="F226" s="616"/>
      <c r="G226" s="616"/>
      <c r="H226" s="616"/>
      <c r="I226" s="616"/>
      <c r="J226" s="616"/>
      <c r="K226" s="1668">
        <f t="shared" si="19"/>
        <v>89</v>
      </c>
      <c r="L226" s="466">
        <v>100</v>
      </c>
    </row>
    <row r="227" spans="1:12" x14ac:dyDescent="0.2">
      <c r="A227" s="1501" t="s">
        <v>1086</v>
      </c>
      <c r="B227" s="614">
        <v>1800</v>
      </c>
      <c r="C227" s="616"/>
      <c r="D227" s="466"/>
      <c r="E227" s="616"/>
      <c r="F227" s="616"/>
      <c r="G227" s="616"/>
      <c r="H227" s="616"/>
      <c r="I227" s="616"/>
      <c r="J227" s="616"/>
      <c r="K227" s="1668">
        <f t="shared" si="19"/>
        <v>0</v>
      </c>
      <c r="L227" s="466"/>
    </row>
    <row r="228" spans="1:12" x14ac:dyDescent="0.2">
      <c r="A228" s="1501" t="s">
        <v>1087</v>
      </c>
      <c r="B228" s="614">
        <v>1900</v>
      </c>
      <c r="C228" s="616"/>
      <c r="D228" s="466"/>
      <c r="E228" s="616"/>
      <c r="F228" s="616"/>
      <c r="G228" s="616"/>
      <c r="H228" s="616"/>
      <c r="I228" s="616"/>
      <c r="J228" s="616"/>
      <c r="K228" s="1668">
        <f t="shared" si="19"/>
        <v>0</v>
      </c>
      <c r="L228" s="466"/>
    </row>
    <row r="229" spans="1:12" ht="12.75" customHeight="1" thickBot="1" x14ac:dyDescent="0.25">
      <c r="A229" s="1665" t="s">
        <v>714</v>
      </c>
      <c r="B229" s="1672" t="s">
        <v>569</v>
      </c>
      <c r="C229" s="616"/>
      <c r="D229" s="1667">
        <f>SUM(D215:D228)</f>
        <v>79113</v>
      </c>
      <c r="E229" s="616"/>
      <c r="F229" s="616"/>
      <c r="G229" s="616"/>
      <c r="H229" s="616"/>
      <c r="I229" s="616"/>
      <c r="J229" s="616"/>
      <c r="K229" s="1667">
        <f>SUM(K215:K228)</f>
        <v>79113</v>
      </c>
      <c r="L229" s="1667">
        <f>SUM(L215:L228)</f>
        <v>76250</v>
      </c>
    </row>
    <row r="230" spans="1:12" ht="15.75" customHeight="1" thickTop="1" x14ac:dyDescent="0.2">
      <c r="A230" s="1609" t="s">
        <v>873</v>
      </c>
      <c r="B230" s="1610"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1" t="s">
        <v>1088</v>
      </c>
      <c r="B232" s="614">
        <v>2110</v>
      </c>
      <c r="C232" s="616"/>
      <c r="D232" s="466"/>
      <c r="E232" s="616"/>
      <c r="F232" s="616"/>
      <c r="G232" s="616"/>
      <c r="H232" s="616"/>
      <c r="I232" s="616"/>
      <c r="J232" s="616"/>
      <c r="K232" s="1668">
        <f t="shared" ref="K232:K237" si="20">D232</f>
        <v>0</v>
      </c>
      <c r="L232" s="466"/>
    </row>
    <row r="233" spans="1:12" x14ac:dyDescent="0.2">
      <c r="A233" s="1501" t="s">
        <v>1089</v>
      </c>
      <c r="B233" s="614">
        <v>2120</v>
      </c>
      <c r="C233" s="616"/>
      <c r="D233" s="466">
        <v>898</v>
      </c>
      <c r="E233" s="616"/>
      <c r="F233" s="616"/>
      <c r="G233" s="616"/>
      <c r="H233" s="616"/>
      <c r="I233" s="616"/>
      <c r="J233" s="616"/>
      <c r="K233" s="1668">
        <f t="shared" si="20"/>
        <v>898</v>
      </c>
      <c r="L233" s="466">
        <v>1000</v>
      </c>
    </row>
    <row r="234" spans="1:12" x14ac:dyDescent="0.2">
      <c r="A234" s="1501" t="s">
        <v>198</v>
      </c>
      <c r="B234" s="614">
        <v>2130</v>
      </c>
      <c r="C234" s="616"/>
      <c r="D234" s="466">
        <v>4172</v>
      </c>
      <c r="E234" s="616"/>
      <c r="F234" s="616"/>
      <c r="G234" s="616"/>
      <c r="H234" s="616"/>
      <c r="I234" s="616"/>
      <c r="J234" s="616"/>
      <c r="K234" s="1668">
        <f t="shared" si="20"/>
        <v>4172</v>
      </c>
      <c r="L234" s="466">
        <v>5500</v>
      </c>
    </row>
    <row r="235" spans="1:12" x14ac:dyDescent="0.2">
      <c r="A235" s="1501" t="s">
        <v>199</v>
      </c>
      <c r="B235" s="614">
        <v>2140</v>
      </c>
      <c r="C235" s="616"/>
      <c r="D235" s="466"/>
      <c r="E235" s="616"/>
      <c r="F235" s="616"/>
      <c r="G235" s="616"/>
      <c r="H235" s="616"/>
      <c r="I235" s="616"/>
      <c r="J235" s="616"/>
      <c r="K235" s="1668">
        <f t="shared" si="20"/>
        <v>0</v>
      </c>
      <c r="L235" s="466"/>
    </row>
    <row r="236" spans="1:12" x14ac:dyDescent="0.2">
      <c r="A236" s="1501" t="s">
        <v>200</v>
      </c>
      <c r="B236" s="614">
        <v>2150</v>
      </c>
      <c r="C236" s="616"/>
      <c r="D236" s="466">
        <v>632</v>
      </c>
      <c r="E236" s="616"/>
      <c r="F236" s="616"/>
      <c r="G236" s="616"/>
      <c r="H236" s="616"/>
      <c r="I236" s="616"/>
      <c r="J236" s="616"/>
      <c r="K236" s="1668">
        <f t="shared" si="20"/>
        <v>632</v>
      </c>
      <c r="L236" s="466">
        <v>500</v>
      </c>
    </row>
    <row r="237" spans="1:12" x14ac:dyDescent="0.2">
      <c r="A237" s="1501" t="s">
        <v>165</v>
      </c>
      <c r="B237" s="614">
        <v>2190</v>
      </c>
      <c r="C237" s="616"/>
      <c r="D237" s="466"/>
      <c r="E237" s="616"/>
      <c r="F237" s="616"/>
      <c r="G237" s="616"/>
      <c r="H237" s="616"/>
      <c r="I237" s="616"/>
      <c r="J237" s="616"/>
      <c r="K237" s="1668">
        <f t="shared" si="20"/>
        <v>0</v>
      </c>
      <c r="L237" s="466"/>
    </row>
    <row r="238" spans="1:12" ht="12.75" customHeight="1" thickBot="1" x14ac:dyDescent="0.25">
      <c r="A238" s="1665" t="s">
        <v>559</v>
      </c>
      <c r="B238" s="1672" t="s">
        <v>715</v>
      </c>
      <c r="C238" s="616"/>
      <c r="D238" s="1667">
        <f>SUM(D232:D237)</f>
        <v>5702</v>
      </c>
      <c r="E238" s="616"/>
      <c r="F238" s="616"/>
      <c r="G238" s="616"/>
      <c r="H238" s="616"/>
      <c r="I238" s="616"/>
      <c r="J238" s="616"/>
      <c r="K238" s="1667">
        <f>SUM(K232:K237)</f>
        <v>5702</v>
      </c>
      <c r="L238" s="1667">
        <f>SUM(L232:L237)</f>
        <v>7000</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1" t="s">
        <v>813</v>
      </c>
      <c r="B240" s="614">
        <v>2210</v>
      </c>
      <c r="C240" s="616"/>
      <c r="D240" s="481">
        <v>865</v>
      </c>
      <c r="E240" s="616"/>
      <c r="F240" s="616"/>
      <c r="G240" s="616"/>
      <c r="H240" s="616"/>
      <c r="I240" s="616"/>
      <c r="J240" s="616"/>
      <c r="K240" s="1669">
        <f>D240</f>
        <v>865</v>
      </c>
      <c r="L240" s="481">
        <v>1500</v>
      </c>
    </row>
    <row r="241" spans="1:12" x14ac:dyDescent="0.2">
      <c r="A241" s="1501" t="s">
        <v>814</v>
      </c>
      <c r="B241" s="614">
        <v>2220</v>
      </c>
      <c r="C241" s="616"/>
      <c r="D241" s="466">
        <v>3731</v>
      </c>
      <c r="E241" s="616"/>
      <c r="F241" s="616"/>
      <c r="G241" s="616"/>
      <c r="H241" s="616"/>
      <c r="I241" s="616"/>
      <c r="J241" s="616"/>
      <c r="K241" s="1669">
        <f>D241</f>
        <v>3731</v>
      </c>
      <c r="L241" s="466">
        <v>4250</v>
      </c>
    </row>
    <row r="242" spans="1:12" x14ac:dyDescent="0.2">
      <c r="A242" s="1501" t="s">
        <v>815</v>
      </c>
      <c r="B242" s="614">
        <v>2230</v>
      </c>
      <c r="C242" s="616"/>
      <c r="D242" s="466"/>
      <c r="E242" s="616"/>
      <c r="F242" s="616"/>
      <c r="G242" s="616"/>
      <c r="H242" s="616"/>
      <c r="I242" s="616"/>
      <c r="J242" s="616"/>
      <c r="K242" s="1669">
        <f>D242</f>
        <v>0</v>
      </c>
      <c r="L242" s="466"/>
    </row>
    <row r="243" spans="1:12" ht="12.75" customHeight="1" thickBot="1" x14ac:dyDescent="0.25">
      <c r="A243" s="1691" t="s">
        <v>560</v>
      </c>
      <c r="B243" s="1692">
        <v>2200</v>
      </c>
      <c r="C243" s="616"/>
      <c r="D243" s="1667">
        <f>SUM(D240:D242)</f>
        <v>4596</v>
      </c>
      <c r="E243" s="616"/>
      <c r="F243" s="616"/>
      <c r="G243" s="616"/>
      <c r="H243" s="616"/>
      <c r="I243" s="616"/>
      <c r="J243" s="616"/>
      <c r="K243" s="1667">
        <f>SUM(K240:K242)</f>
        <v>4596</v>
      </c>
      <c r="L243" s="1667">
        <f>SUM(L240:L242)</f>
        <v>5750</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1" t="s">
        <v>816</v>
      </c>
      <c r="B245" s="614">
        <v>2310</v>
      </c>
      <c r="C245" s="616"/>
      <c r="D245" s="481">
        <v>614</v>
      </c>
      <c r="E245" s="616"/>
      <c r="F245" s="616"/>
      <c r="G245" s="616"/>
      <c r="H245" s="616"/>
      <c r="I245" s="616"/>
      <c r="J245" s="616"/>
      <c r="K245" s="1669">
        <f>D245</f>
        <v>614</v>
      </c>
      <c r="L245" s="481">
        <v>1000</v>
      </c>
    </row>
    <row r="246" spans="1:12" x14ac:dyDescent="0.2">
      <c r="A246" s="1501" t="s">
        <v>817</v>
      </c>
      <c r="B246" s="614">
        <v>2320</v>
      </c>
      <c r="C246" s="616"/>
      <c r="D246" s="466">
        <v>7786</v>
      </c>
      <c r="E246" s="616"/>
      <c r="F246" s="616"/>
      <c r="G246" s="616"/>
      <c r="H246" s="616"/>
      <c r="I246" s="616"/>
      <c r="J246" s="616"/>
      <c r="K246" s="1669">
        <f t="shared" ref="K246:K256" si="21">D246</f>
        <v>7786</v>
      </c>
      <c r="L246" s="466">
        <v>9500</v>
      </c>
    </row>
    <row r="247" spans="1:12" x14ac:dyDescent="0.2">
      <c r="A247" s="1501" t="s">
        <v>818</v>
      </c>
      <c r="B247" s="614">
        <v>2330</v>
      </c>
      <c r="C247" s="616"/>
      <c r="D247" s="466">
        <v>179</v>
      </c>
      <c r="E247" s="616"/>
      <c r="F247" s="616"/>
      <c r="G247" s="616"/>
      <c r="H247" s="616"/>
      <c r="I247" s="616"/>
      <c r="J247" s="616"/>
      <c r="K247" s="1669">
        <f t="shared" si="21"/>
        <v>179</v>
      </c>
      <c r="L247" s="466">
        <v>250</v>
      </c>
    </row>
    <row r="248" spans="1:12" x14ac:dyDescent="0.2">
      <c r="A248" s="1502" t="s">
        <v>298</v>
      </c>
      <c r="B248" s="602" t="s">
        <v>280</v>
      </c>
      <c r="C248" s="616"/>
      <c r="D248" s="474"/>
      <c r="E248" s="616"/>
      <c r="F248" s="616"/>
      <c r="G248" s="616"/>
      <c r="H248" s="616"/>
      <c r="I248" s="616"/>
      <c r="J248" s="616"/>
      <c r="K248" s="1669">
        <f t="shared" si="21"/>
        <v>0</v>
      </c>
      <c r="L248" s="466"/>
    </row>
    <row r="249" spans="1:12" x14ac:dyDescent="0.2">
      <c r="A249" s="1503" t="s">
        <v>1804</v>
      </c>
      <c r="B249" s="683" t="s">
        <v>281</v>
      </c>
      <c r="C249" s="616"/>
      <c r="D249" s="474"/>
      <c r="E249" s="616"/>
      <c r="F249" s="616"/>
      <c r="G249" s="616"/>
      <c r="H249" s="616"/>
      <c r="I249" s="616"/>
      <c r="J249" s="616"/>
      <c r="K249" s="1669">
        <f t="shared" si="21"/>
        <v>0</v>
      </c>
      <c r="L249" s="466"/>
    </row>
    <row r="250" spans="1:12" x14ac:dyDescent="0.2">
      <c r="A250" s="1502" t="s">
        <v>1805</v>
      </c>
      <c r="B250" s="602" t="s">
        <v>282</v>
      </c>
      <c r="C250" s="616"/>
      <c r="D250" s="474"/>
      <c r="E250" s="616"/>
      <c r="F250" s="616"/>
      <c r="G250" s="616"/>
      <c r="H250" s="616"/>
      <c r="I250" s="616"/>
      <c r="J250" s="616"/>
      <c r="K250" s="1669">
        <f t="shared" si="21"/>
        <v>0</v>
      </c>
      <c r="L250" s="466"/>
    </row>
    <row r="251" spans="1:12" x14ac:dyDescent="0.2">
      <c r="A251" s="1502" t="s">
        <v>238</v>
      </c>
      <c r="B251" s="602" t="s">
        <v>283</v>
      </c>
      <c r="C251" s="616"/>
      <c r="D251" s="474"/>
      <c r="E251" s="616"/>
      <c r="F251" s="616"/>
      <c r="G251" s="616"/>
      <c r="H251" s="616"/>
      <c r="I251" s="616"/>
      <c r="J251" s="616"/>
      <c r="K251" s="1669">
        <f t="shared" si="21"/>
        <v>0</v>
      </c>
      <c r="L251" s="466"/>
    </row>
    <row r="252" spans="1:12" x14ac:dyDescent="0.2">
      <c r="A252" s="1502" t="s">
        <v>701</v>
      </c>
      <c r="B252" s="602" t="s">
        <v>284</v>
      </c>
      <c r="C252" s="616"/>
      <c r="D252" s="474"/>
      <c r="E252" s="616"/>
      <c r="F252" s="616"/>
      <c r="G252" s="616"/>
      <c r="H252" s="616"/>
      <c r="I252" s="616"/>
      <c r="J252" s="616"/>
      <c r="K252" s="1669">
        <f t="shared" si="21"/>
        <v>0</v>
      </c>
      <c r="L252" s="466"/>
    </row>
    <row r="253" spans="1:12" x14ac:dyDescent="0.2">
      <c r="A253" s="1502" t="s">
        <v>239</v>
      </c>
      <c r="B253" s="602" t="s">
        <v>285</v>
      </c>
      <c r="C253" s="616"/>
      <c r="D253" s="474"/>
      <c r="E253" s="616"/>
      <c r="F253" s="616"/>
      <c r="G253" s="616"/>
      <c r="H253" s="616"/>
      <c r="I253" s="616"/>
      <c r="J253" s="616"/>
      <c r="K253" s="1669">
        <f t="shared" si="21"/>
        <v>0</v>
      </c>
      <c r="L253" s="466"/>
    </row>
    <row r="254" spans="1:12" ht="22.5" x14ac:dyDescent="0.2">
      <c r="A254" s="1502" t="s">
        <v>1028</v>
      </c>
      <c r="B254" s="683" t="s">
        <v>286</v>
      </c>
      <c r="C254" s="616"/>
      <c r="D254" s="474">
        <v>15816</v>
      </c>
      <c r="E254" s="616"/>
      <c r="F254" s="616"/>
      <c r="G254" s="616"/>
      <c r="H254" s="616"/>
      <c r="I254" s="616"/>
      <c r="J254" s="616"/>
      <c r="K254" s="1669">
        <f t="shared" si="21"/>
        <v>15816</v>
      </c>
      <c r="L254" s="466">
        <v>20000</v>
      </c>
    </row>
    <row r="255" spans="1:12" x14ac:dyDescent="0.2">
      <c r="A255" s="1502" t="s">
        <v>1029</v>
      </c>
      <c r="B255" s="602" t="s">
        <v>287</v>
      </c>
      <c r="C255" s="616"/>
      <c r="D255" s="474"/>
      <c r="E255" s="616"/>
      <c r="F255" s="616"/>
      <c r="G255" s="616"/>
      <c r="H255" s="616"/>
      <c r="I255" s="616"/>
      <c r="J255" s="616"/>
      <c r="K255" s="1669">
        <f t="shared" si="21"/>
        <v>0</v>
      </c>
      <c r="L255" s="466"/>
    </row>
    <row r="256" spans="1:12" x14ac:dyDescent="0.2">
      <c r="A256" s="1502" t="s">
        <v>970</v>
      </c>
      <c r="B256" s="614" t="s">
        <v>288</v>
      </c>
      <c r="C256" s="616"/>
      <c r="D256" s="474"/>
      <c r="E256" s="616"/>
      <c r="F256" s="616"/>
      <c r="G256" s="616"/>
      <c r="H256" s="616"/>
      <c r="I256" s="616"/>
      <c r="J256" s="616"/>
      <c r="K256" s="1669">
        <f t="shared" si="21"/>
        <v>0</v>
      </c>
      <c r="L256" s="466"/>
    </row>
    <row r="257" spans="1:14" ht="12.75" customHeight="1" thickBot="1" x14ac:dyDescent="0.25">
      <c r="A257" s="1665" t="s">
        <v>716</v>
      </c>
      <c r="B257" s="1693">
        <v>2300</v>
      </c>
      <c r="C257" s="616"/>
      <c r="D257" s="1667">
        <f>SUM(D245:D256)</f>
        <v>24395</v>
      </c>
      <c r="E257" s="616"/>
      <c r="F257" s="616"/>
      <c r="G257" s="616"/>
      <c r="H257" s="616"/>
      <c r="I257" s="616"/>
      <c r="J257" s="616"/>
      <c r="K257" s="1667">
        <f>SUM(K245:K256)</f>
        <v>24395</v>
      </c>
      <c r="L257" s="1667">
        <f>SUM(L245:L256)</f>
        <v>30750</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1" t="s">
        <v>1066</v>
      </c>
      <c r="B259" s="685">
        <v>2410</v>
      </c>
      <c r="C259" s="616"/>
      <c r="D259" s="481">
        <v>15218</v>
      </c>
      <c r="E259" s="616"/>
      <c r="F259" s="616"/>
      <c r="G259" s="616"/>
      <c r="H259" s="616"/>
      <c r="I259" s="616"/>
      <c r="J259" s="616"/>
      <c r="K259" s="1669">
        <f>D259</f>
        <v>15218</v>
      </c>
      <c r="L259" s="481">
        <v>16700</v>
      </c>
    </row>
    <row r="260" spans="1:14" s="597" customFormat="1" x14ac:dyDescent="0.2">
      <c r="A260" s="1519" t="s">
        <v>1803</v>
      </c>
      <c r="B260" s="628">
        <v>2490</v>
      </c>
      <c r="C260" s="616"/>
      <c r="D260" s="466"/>
      <c r="E260" s="616"/>
      <c r="F260" s="616"/>
      <c r="G260" s="616"/>
      <c r="H260" s="616"/>
      <c r="I260" s="616"/>
      <c r="J260" s="616"/>
      <c r="K260" s="1669">
        <f>D260</f>
        <v>0</v>
      </c>
      <c r="L260" s="466"/>
      <c r="M260" s="210"/>
      <c r="N260" s="210"/>
    </row>
    <row r="261" spans="1:14" ht="12.75" customHeight="1" thickBot="1" x14ac:dyDescent="0.25">
      <c r="A261" s="1689" t="s">
        <v>263</v>
      </c>
      <c r="B261" s="1694" t="s">
        <v>34</v>
      </c>
      <c r="C261" s="616"/>
      <c r="D261" s="1667">
        <f>SUM(D259:D260)</f>
        <v>15218</v>
      </c>
      <c r="E261" s="616"/>
      <c r="F261" s="616"/>
      <c r="G261" s="616"/>
      <c r="H261" s="616"/>
      <c r="I261" s="616"/>
      <c r="J261" s="616"/>
      <c r="K261" s="1667">
        <f>SUM(K259:K260)</f>
        <v>15218</v>
      </c>
      <c r="L261" s="1667">
        <f>SUM(L259:L260)</f>
        <v>16700</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1" t="s">
        <v>1067</v>
      </c>
      <c r="B263" s="685">
        <v>2510</v>
      </c>
      <c r="C263" s="616"/>
      <c r="D263" s="466"/>
      <c r="E263" s="616"/>
      <c r="F263" s="616"/>
      <c r="G263" s="616"/>
      <c r="H263" s="616"/>
      <c r="I263" s="616"/>
      <c r="J263" s="616"/>
      <c r="K263" s="1669">
        <f>D263</f>
        <v>0</v>
      </c>
      <c r="L263" s="481"/>
    </row>
    <row r="264" spans="1:14" x14ac:dyDescent="0.2">
      <c r="A264" s="1501" t="s">
        <v>462</v>
      </c>
      <c r="B264" s="685">
        <v>2520</v>
      </c>
      <c r="C264" s="616"/>
      <c r="D264" s="466">
        <v>5803</v>
      </c>
      <c r="E264" s="616"/>
      <c r="F264" s="616"/>
      <c r="G264" s="616"/>
      <c r="H264" s="616"/>
      <c r="I264" s="616"/>
      <c r="J264" s="616"/>
      <c r="K264" s="1669">
        <f t="shared" ref="K264:K269" si="22">D264</f>
        <v>5803</v>
      </c>
      <c r="L264" s="466">
        <v>6500</v>
      </c>
    </row>
    <row r="265" spans="1:14" x14ac:dyDescent="0.2">
      <c r="A265" s="1501" t="s">
        <v>4</v>
      </c>
      <c r="B265" s="614">
        <v>2530</v>
      </c>
      <c r="C265" s="616"/>
      <c r="D265" s="466"/>
      <c r="E265" s="616"/>
      <c r="F265" s="616"/>
      <c r="G265" s="616"/>
      <c r="H265" s="616"/>
      <c r="I265" s="616"/>
      <c r="J265" s="616"/>
      <c r="K265" s="1669">
        <f t="shared" si="22"/>
        <v>0</v>
      </c>
      <c r="L265" s="466"/>
    </row>
    <row r="266" spans="1:14" x14ac:dyDescent="0.2">
      <c r="A266" s="1501" t="s">
        <v>197</v>
      </c>
      <c r="B266" s="614">
        <v>2540</v>
      </c>
      <c r="C266" s="616"/>
      <c r="D266" s="466">
        <v>25678</v>
      </c>
      <c r="E266" s="616"/>
      <c r="F266" s="616"/>
      <c r="G266" s="616"/>
      <c r="H266" s="616"/>
      <c r="I266" s="616"/>
      <c r="J266" s="616"/>
      <c r="K266" s="1669">
        <f t="shared" si="22"/>
        <v>25678</v>
      </c>
      <c r="L266" s="466">
        <v>18400</v>
      </c>
    </row>
    <row r="267" spans="1:14" x14ac:dyDescent="0.2">
      <c r="A267" s="1501" t="s">
        <v>952</v>
      </c>
      <c r="B267" s="614">
        <v>2550</v>
      </c>
      <c r="C267" s="616"/>
      <c r="D267" s="466">
        <v>21052</v>
      </c>
      <c r="E267" s="616"/>
      <c r="F267" s="616"/>
      <c r="G267" s="616"/>
      <c r="H267" s="616"/>
      <c r="I267" s="616"/>
      <c r="J267" s="616"/>
      <c r="K267" s="1669">
        <f t="shared" si="22"/>
        <v>21052</v>
      </c>
      <c r="L267" s="466">
        <v>22020</v>
      </c>
    </row>
    <row r="268" spans="1:14" x14ac:dyDescent="0.2">
      <c r="A268" s="1501" t="s">
        <v>100</v>
      </c>
      <c r="B268" s="614">
        <v>2560</v>
      </c>
      <c r="C268" s="616"/>
      <c r="D268" s="466">
        <v>11267</v>
      </c>
      <c r="E268" s="616"/>
      <c r="F268" s="616"/>
      <c r="G268" s="616"/>
      <c r="H268" s="616"/>
      <c r="I268" s="616"/>
      <c r="J268" s="616"/>
      <c r="K268" s="1669">
        <f t="shared" si="22"/>
        <v>11267</v>
      </c>
      <c r="L268" s="466">
        <v>13750</v>
      </c>
    </row>
    <row r="269" spans="1:14" x14ac:dyDescent="0.2">
      <c r="A269" s="1501" t="s">
        <v>101</v>
      </c>
      <c r="B269" s="614">
        <v>2570</v>
      </c>
      <c r="C269" s="616"/>
      <c r="D269" s="466"/>
      <c r="E269" s="616"/>
      <c r="F269" s="616"/>
      <c r="G269" s="616"/>
      <c r="H269" s="616"/>
      <c r="I269" s="616"/>
      <c r="J269" s="616"/>
      <c r="K269" s="1669">
        <f t="shared" si="22"/>
        <v>0</v>
      </c>
      <c r="L269" s="466"/>
    </row>
    <row r="270" spans="1:14" ht="12.75" customHeight="1" thickBot="1" x14ac:dyDescent="0.25">
      <c r="A270" s="1665" t="s">
        <v>718</v>
      </c>
      <c r="B270" s="1672" t="s">
        <v>35</v>
      </c>
      <c r="C270" s="616"/>
      <c r="D270" s="1667">
        <f>SUM(D263:D269)</f>
        <v>63800</v>
      </c>
      <c r="E270" s="616"/>
      <c r="F270" s="616"/>
      <c r="G270" s="616"/>
      <c r="H270" s="616"/>
      <c r="I270" s="616"/>
      <c r="J270" s="616"/>
      <c r="K270" s="1667">
        <f>SUM(K263:K269)</f>
        <v>63800</v>
      </c>
      <c r="L270" s="1667">
        <f>SUM(L263:L269)</f>
        <v>60670</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1" t="s">
        <v>1059</v>
      </c>
      <c r="B272" s="614">
        <v>2610</v>
      </c>
      <c r="C272" s="616"/>
      <c r="D272" s="481"/>
      <c r="E272" s="616"/>
      <c r="F272" s="616"/>
      <c r="G272" s="616"/>
      <c r="H272" s="616"/>
      <c r="I272" s="616"/>
      <c r="J272" s="616"/>
      <c r="K272" s="1669">
        <f>D272</f>
        <v>0</v>
      </c>
      <c r="L272" s="481"/>
    </row>
    <row r="273" spans="1:12" x14ac:dyDescent="0.2">
      <c r="A273" s="1501" t="s">
        <v>606</v>
      </c>
      <c r="B273" s="628">
        <v>2620</v>
      </c>
      <c r="C273" s="616"/>
      <c r="D273" s="466"/>
      <c r="E273" s="616"/>
      <c r="F273" s="616"/>
      <c r="G273" s="616"/>
      <c r="H273" s="616"/>
      <c r="I273" s="616"/>
      <c r="J273" s="616"/>
      <c r="K273" s="1669">
        <f>D273</f>
        <v>0</v>
      </c>
      <c r="L273" s="466"/>
    </row>
    <row r="274" spans="1:12" ht="12" customHeight="1" x14ac:dyDescent="0.2">
      <c r="A274" s="1501" t="s">
        <v>1060</v>
      </c>
      <c r="B274" s="614">
        <v>2630</v>
      </c>
      <c r="C274" s="616"/>
      <c r="D274" s="466"/>
      <c r="E274" s="616"/>
      <c r="F274" s="616"/>
      <c r="G274" s="616"/>
      <c r="H274" s="616"/>
      <c r="I274" s="616"/>
      <c r="J274" s="616"/>
      <c r="K274" s="1669">
        <f>D274</f>
        <v>0</v>
      </c>
      <c r="L274" s="466"/>
    </row>
    <row r="275" spans="1:12" x14ac:dyDescent="0.2">
      <c r="A275" s="1501" t="s">
        <v>402</v>
      </c>
      <c r="B275" s="614">
        <v>2640</v>
      </c>
      <c r="C275" s="616"/>
      <c r="D275" s="466"/>
      <c r="E275" s="616"/>
      <c r="F275" s="616"/>
      <c r="G275" s="616"/>
      <c r="H275" s="616"/>
      <c r="I275" s="616"/>
      <c r="J275" s="616"/>
      <c r="K275" s="1669">
        <f>D275</f>
        <v>0</v>
      </c>
      <c r="L275" s="466"/>
    </row>
    <row r="276" spans="1:12" x14ac:dyDescent="0.2">
      <c r="A276" s="1501" t="s">
        <v>403</v>
      </c>
      <c r="B276" s="614">
        <v>2660</v>
      </c>
      <c r="C276" s="616"/>
      <c r="D276" s="466"/>
      <c r="E276" s="616"/>
      <c r="F276" s="616"/>
      <c r="G276" s="616"/>
      <c r="H276" s="616"/>
      <c r="I276" s="616"/>
      <c r="J276" s="616"/>
      <c r="K276" s="1669">
        <f>D276</f>
        <v>0</v>
      </c>
      <c r="L276" s="466"/>
    </row>
    <row r="277" spans="1:12" ht="12.75" customHeight="1" thickBot="1" x14ac:dyDescent="0.25">
      <c r="A277" s="1688" t="s">
        <v>37</v>
      </c>
      <c r="B277" s="1666" t="s">
        <v>36</v>
      </c>
      <c r="C277" s="616"/>
      <c r="D277" s="1667">
        <f>SUM(D272:D276)</f>
        <v>0</v>
      </c>
      <c r="E277" s="616"/>
      <c r="F277" s="616"/>
      <c r="G277" s="616"/>
      <c r="H277" s="616"/>
      <c r="I277" s="616"/>
      <c r="J277" s="616"/>
      <c r="K277" s="1667">
        <f>SUM(K272:K276)</f>
        <v>0</v>
      </c>
      <c r="L277" s="1667">
        <f>SUM(L272:L276)</f>
        <v>0</v>
      </c>
    </row>
    <row r="278" spans="1:12" ht="13.5" customHeight="1" thickTop="1" x14ac:dyDescent="0.2">
      <c r="A278" s="1507" t="s">
        <v>979</v>
      </c>
      <c r="B278" s="655" t="s">
        <v>573</v>
      </c>
      <c r="C278" s="616"/>
      <c r="D278" s="656"/>
      <c r="E278" s="616"/>
      <c r="F278" s="616"/>
      <c r="G278" s="616"/>
      <c r="H278" s="616"/>
      <c r="I278" s="616"/>
      <c r="J278" s="616"/>
      <c r="K278" s="1682">
        <f>D278</f>
        <v>0</v>
      </c>
      <c r="L278" s="656"/>
    </row>
    <row r="279" spans="1:12" ht="12.75" customHeight="1" thickBot="1" x14ac:dyDescent="0.25">
      <c r="A279" s="1695" t="s">
        <v>810</v>
      </c>
      <c r="B279" s="1678">
        <v>2000</v>
      </c>
      <c r="C279" s="616"/>
      <c r="D279" s="1674">
        <f>SUM(D238,D243,D257,D261,D270,D277,D278)</f>
        <v>113711</v>
      </c>
      <c r="E279" s="616"/>
      <c r="F279" s="616"/>
      <c r="G279" s="616"/>
      <c r="H279" s="616"/>
      <c r="I279" s="616"/>
      <c r="J279" s="616"/>
      <c r="K279" s="1674">
        <f>SUM(K238,K243,K257,K261,K270,K277,K278)</f>
        <v>113711</v>
      </c>
      <c r="L279" s="1674">
        <f>SUM(L238,L243,L257,L261,L270,L277,L278)</f>
        <v>120870</v>
      </c>
    </row>
    <row r="280" spans="1:12" ht="15.75" customHeight="1" thickTop="1" thickBot="1" x14ac:dyDescent="0.25">
      <c r="A280" s="1621" t="s">
        <v>874</v>
      </c>
      <c r="B280" s="1610">
        <v>3000</v>
      </c>
      <c r="C280" s="616"/>
      <c r="D280" s="576"/>
      <c r="E280" s="616"/>
      <c r="F280" s="616"/>
      <c r="G280" s="616"/>
      <c r="H280" s="616"/>
      <c r="I280" s="616"/>
      <c r="J280" s="616"/>
      <c r="K280" s="1676">
        <f>D280</f>
        <v>0</v>
      </c>
      <c r="L280" s="576">
        <v>100</v>
      </c>
    </row>
    <row r="281" spans="1:12" ht="15.75" customHeight="1" thickTop="1" x14ac:dyDescent="0.2">
      <c r="A281" s="1611" t="s">
        <v>142</v>
      </c>
      <c r="B281" s="1612" t="s">
        <v>859</v>
      </c>
      <c r="C281" s="616"/>
      <c r="D281" s="566"/>
      <c r="E281" s="616"/>
      <c r="F281" s="616"/>
      <c r="G281" s="616"/>
      <c r="H281" s="616"/>
      <c r="I281" s="616"/>
      <c r="J281" s="616"/>
      <c r="K281" s="616"/>
      <c r="L281" s="616"/>
    </row>
    <row r="282" spans="1:12" ht="15.75" customHeight="1" x14ac:dyDescent="0.2">
      <c r="A282" s="1827" t="s">
        <v>495</v>
      </c>
      <c r="B282" s="690" t="s">
        <v>1844</v>
      </c>
      <c r="C282" s="616"/>
      <c r="D282" s="467"/>
      <c r="E282" s="616"/>
      <c r="F282" s="616"/>
      <c r="G282" s="616"/>
      <c r="H282" s="616"/>
      <c r="I282" s="616"/>
      <c r="J282" s="616"/>
      <c r="K282" s="1668">
        <f>D282</f>
        <v>0</v>
      </c>
      <c r="L282" s="467"/>
    </row>
    <row r="283" spans="1:12" x14ac:dyDescent="0.2">
      <c r="A283" s="1501" t="s">
        <v>303</v>
      </c>
      <c r="B283" s="614">
        <v>4120</v>
      </c>
      <c r="C283" s="616"/>
      <c r="D283" s="466">
        <v>3296</v>
      </c>
      <c r="E283" s="616"/>
      <c r="F283" s="616"/>
      <c r="G283" s="616"/>
      <c r="H283" s="616"/>
      <c r="I283" s="616"/>
      <c r="J283" s="616"/>
      <c r="K283" s="1668">
        <f>D283</f>
        <v>3296</v>
      </c>
      <c r="L283" s="466">
        <v>2000</v>
      </c>
    </row>
    <row r="284" spans="1:12" x14ac:dyDescent="0.2">
      <c r="A284" s="1501" t="s">
        <v>696</v>
      </c>
      <c r="B284" s="614">
        <v>4140</v>
      </c>
      <c r="C284" s="616"/>
      <c r="D284" s="467"/>
      <c r="E284" s="616"/>
      <c r="F284" s="616"/>
      <c r="G284" s="616"/>
      <c r="H284" s="616"/>
      <c r="I284" s="616"/>
      <c r="J284" s="616"/>
      <c r="K284" s="1668">
        <f>D284</f>
        <v>0</v>
      </c>
      <c r="L284" s="466"/>
    </row>
    <row r="285" spans="1:12" ht="12.75" customHeight="1" thickBot="1" x14ac:dyDescent="0.25">
      <c r="A285" s="1665" t="s">
        <v>1486</v>
      </c>
      <c r="B285" s="1666" t="s">
        <v>859</v>
      </c>
      <c r="C285" s="616"/>
      <c r="D285" s="1667">
        <f>SUM(D282:D284)</f>
        <v>3296</v>
      </c>
      <c r="E285" s="616"/>
      <c r="F285" s="616"/>
      <c r="G285" s="616"/>
      <c r="H285" s="616"/>
      <c r="I285" s="616"/>
      <c r="J285" s="616"/>
      <c r="K285" s="1667">
        <f>SUM(K282:K284)</f>
        <v>3296</v>
      </c>
      <c r="L285" s="1667">
        <f>SUM(L282:L284)</f>
        <v>2000</v>
      </c>
    </row>
    <row r="286" spans="1:12" ht="15.75" customHeight="1" thickTop="1" x14ac:dyDescent="0.2">
      <c r="A286" s="1609" t="s">
        <v>875</v>
      </c>
      <c r="B286" s="1606"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1" t="s">
        <v>87</v>
      </c>
      <c r="B288" s="614">
        <v>5110</v>
      </c>
      <c r="C288" s="616"/>
      <c r="D288" s="616"/>
      <c r="E288" s="616"/>
      <c r="F288" s="616"/>
      <c r="G288" s="616"/>
      <c r="H288" s="466"/>
      <c r="I288" s="616"/>
      <c r="J288" s="616"/>
      <c r="K288" s="1668">
        <f>H288</f>
        <v>0</v>
      </c>
      <c r="L288" s="466"/>
    </row>
    <row r="289" spans="1:14" x14ac:dyDescent="0.2">
      <c r="A289" s="1501" t="s">
        <v>88</v>
      </c>
      <c r="B289" s="614">
        <v>5120</v>
      </c>
      <c r="C289" s="616"/>
      <c r="D289" s="616"/>
      <c r="E289" s="616"/>
      <c r="F289" s="616"/>
      <c r="G289" s="616"/>
      <c r="H289" s="466"/>
      <c r="I289" s="616"/>
      <c r="J289" s="616"/>
      <c r="K289" s="1668">
        <f>H289</f>
        <v>0</v>
      </c>
      <c r="L289" s="466"/>
    </row>
    <row r="290" spans="1:14" ht="12.75" customHeight="1" x14ac:dyDescent="0.2">
      <c r="A290" s="1501" t="s">
        <v>1169</v>
      </c>
      <c r="B290" s="628" t="s">
        <v>616</v>
      </c>
      <c r="C290" s="616"/>
      <c r="D290" s="616"/>
      <c r="E290" s="616"/>
      <c r="F290" s="616"/>
      <c r="G290" s="616"/>
      <c r="H290" s="466"/>
      <c r="I290" s="616"/>
      <c r="J290" s="616"/>
      <c r="K290" s="1668">
        <f>H290</f>
        <v>0</v>
      </c>
      <c r="L290" s="466"/>
    </row>
    <row r="291" spans="1:14" x14ac:dyDescent="0.2">
      <c r="A291" s="1501" t="s">
        <v>89</v>
      </c>
      <c r="B291" s="614" t="s">
        <v>588</v>
      </c>
      <c r="C291" s="616"/>
      <c r="D291" s="616"/>
      <c r="E291" s="616"/>
      <c r="F291" s="616"/>
      <c r="G291" s="616"/>
      <c r="H291" s="466"/>
      <c r="I291" s="616"/>
      <c r="J291" s="616"/>
      <c r="K291" s="1668">
        <f>H291</f>
        <v>0</v>
      </c>
      <c r="L291" s="466"/>
    </row>
    <row r="292" spans="1:14" x14ac:dyDescent="0.2">
      <c r="A292" s="1501" t="s">
        <v>761</v>
      </c>
      <c r="B292" s="614" t="s">
        <v>617</v>
      </c>
      <c r="C292" s="616"/>
      <c r="D292" s="616"/>
      <c r="E292" s="616"/>
      <c r="F292" s="616"/>
      <c r="G292" s="616"/>
      <c r="H292" s="466"/>
      <c r="I292" s="616"/>
      <c r="J292" s="616"/>
      <c r="K292" s="1668">
        <f>H292</f>
        <v>0</v>
      </c>
      <c r="L292" s="466"/>
    </row>
    <row r="293" spans="1:14" ht="12.75" customHeight="1" thickBot="1" x14ac:dyDescent="0.25">
      <c r="A293" s="1665" t="s">
        <v>483</v>
      </c>
      <c r="B293" s="1666" t="s">
        <v>491</v>
      </c>
      <c r="C293" s="616"/>
      <c r="D293" s="616"/>
      <c r="E293" s="616"/>
      <c r="F293" s="616"/>
      <c r="G293" s="616"/>
      <c r="H293" s="1667">
        <f>SUM(H288:H292)</f>
        <v>0</v>
      </c>
      <c r="I293" s="616"/>
      <c r="J293" s="616"/>
      <c r="K293" s="1667">
        <f>SUM(K288:K292)</f>
        <v>0</v>
      </c>
      <c r="L293" s="1667">
        <f>SUM(L288:L292)</f>
        <v>0</v>
      </c>
    </row>
    <row r="294" spans="1:14" ht="15.75" customHeight="1" thickTop="1" thickBot="1" x14ac:dyDescent="0.25">
      <c r="A294" s="1622" t="s">
        <v>876</v>
      </c>
      <c r="B294" s="1610" t="s">
        <v>860</v>
      </c>
      <c r="C294" s="616"/>
      <c r="D294" s="623"/>
      <c r="E294" s="616"/>
      <c r="F294" s="616"/>
      <c r="G294" s="616"/>
      <c r="H294" s="686"/>
      <c r="I294" s="616"/>
      <c r="J294" s="616"/>
      <c r="K294" s="686"/>
      <c r="L294" s="578"/>
    </row>
    <row r="295" spans="1:14" ht="12.75" customHeight="1" thickTop="1" thickBot="1" x14ac:dyDescent="0.25">
      <c r="A295" s="2181" t="s">
        <v>504</v>
      </c>
      <c r="B295" s="2182"/>
      <c r="C295" s="616"/>
      <c r="D295" s="1667">
        <f>SUM(D229,D279,D280,D285)</f>
        <v>196120</v>
      </c>
      <c r="E295" s="616"/>
      <c r="F295" s="616"/>
      <c r="G295" s="616"/>
      <c r="H295" s="1667">
        <f>H293</f>
        <v>0</v>
      </c>
      <c r="I295" s="616"/>
      <c r="J295" s="616"/>
      <c r="K295" s="1667">
        <f>SUM(K229,K279,K280,K285,K293,K294)</f>
        <v>196120</v>
      </c>
      <c r="L295" s="1667">
        <f>SUM(L229,L279,L280,L285,L293,L294)</f>
        <v>199220</v>
      </c>
    </row>
    <row r="296" spans="1:14" ht="13.5" thickTop="1" x14ac:dyDescent="0.2">
      <c r="A296" s="2190" t="s">
        <v>995</v>
      </c>
      <c r="B296" s="2191"/>
      <c r="C296" s="616"/>
      <c r="D296" s="618"/>
      <c r="E296" s="616"/>
      <c r="F296" s="616"/>
      <c r="G296" s="616"/>
      <c r="H296" s="687"/>
      <c r="I296" s="616"/>
      <c r="J296" s="616"/>
      <c r="K296" s="1681">
        <f>'Revenues 9-14'!G268-'Expenditures 15-22'!K295</f>
        <v>156859</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3" t="s">
        <v>143</v>
      </c>
      <c r="B298" s="2167"/>
      <c r="C298" s="1548"/>
      <c r="D298" s="1549"/>
      <c r="E298" s="1549"/>
      <c r="F298" s="1549"/>
      <c r="G298" s="1549"/>
      <c r="H298" s="1549"/>
      <c r="I298" s="1549"/>
      <c r="J298" s="1549"/>
      <c r="K298" s="1549"/>
      <c r="L298" s="1550"/>
    </row>
    <row r="299" spans="1:14" ht="15.75" customHeight="1" x14ac:dyDescent="0.2">
      <c r="A299" s="1609" t="s">
        <v>144</v>
      </c>
      <c r="B299" s="1612"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4" t="s">
        <v>607</v>
      </c>
      <c r="B301" s="689">
        <v>2530</v>
      </c>
      <c r="C301" s="466"/>
      <c r="D301" s="466"/>
      <c r="E301" s="466"/>
      <c r="F301" s="466"/>
      <c r="G301" s="466"/>
      <c r="H301" s="466"/>
      <c r="I301" s="467"/>
      <c r="J301" s="467"/>
      <c r="K301" s="1668">
        <f>SUM(C301:J301)</f>
        <v>0</v>
      </c>
      <c r="L301" s="467">
        <v>1000</v>
      </c>
    </row>
    <row r="302" spans="1:14" ht="13.5" customHeight="1" x14ac:dyDescent="0.2">
      <c r="A302" s="1514" t="s">
        <v>979</v>
      </c>
      <c r="B302" s="614" t="s">
        <v>573</v>
      </c>
      <c r="C302" s="466"/>
      <c r="D302" s="466"/>
      <c r="E302" s="466"/>
      <c r="F302" s="466"/>
      <c r="G302" s="466"/>
      <c r="H302" s="466"/>
      <c r="I302" s="467"/>
      <c r="J302" s="467"/>
      <c r="K302" s="1668">
        <f>SUM(C302:J302)</f>
        <v>0</v>
      </c>
      <c r="L302" s="466"/>
    </row>
    <row r="303" spans="1:14" ht="12.75" customHeight="1" thickBot="1" x14ac:dyDescent="0.25">
      <c r="A303" s="1665" t="s">
        <v>810</v>
      </c>
      <c r="B303" s="1666" t="s">
        <v>568</v>
      </c>
      <c r="C303" s="1674">
        <f>SUM(C301:C302)</f>
        <v>0</v>
      </c>
      <c r="D303" s="1674">
        <f t="shared" ref="D303:L303" si="23">SUM(D301:D302)</f>
        <v>0</v>
      </c>
      <c r="E303" s="1674">
        <f t="shared" si="23"/>
        <v>0</v>
      </c>
      <c r="F303" s="1674">
        <f t="shared" si="23"/>
        <v>0</v>
      </c>
      <c r="G303" s="1674">
        <f t="shared" si="23"/>
        <v>0</v>
      </c>
      <c r="H303" s="1674">
        <f t="shared" si="23"/>
        <v>0</v>
      </c>
      <c r="I303" s="1674">
        <f t="shared" si="23"/>
        <v>0</v>
      </c>
      <c r="J303" s="1674">
        <f t="shared" si="23"/>
        <v>0</v>
      </c>
      <c r="K303" s="1674">
        <f t="shared" si="23"/>
        <v>0</v>
      </c>
      <c r="L303" s="1674">
        <f t="shared" si="23"/>
        <v>1000</v>
      </c>
    </row>
    <row r="304" spans="1:14" ht="15.75" customHeight="1" thickTop="1" x14ac:dyDescent="0.2">
      <c r="A304" s="1609" t="s">
        <v>145</v>
      </c>
      <c r="B304" s="1610"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5" t="s">
        <v>1849</v>
      </c>
      <c r="B306" s="690" t="s">
        <v>1844</v>
      </c>
      <c r="C306" s="616"/>
      <c r="D306" s="616"/>
      <c r="E306" s="467"/>
      <c r="F306" s="616"/>
      <c r="G306" s="616"/>
      <c r="H306" s="467"/>
      <c r="I306" s="616"/>
      <c r="J306" s="616"/>
      <c r="K306" s="1668">
        <f>SUM(E306,H306)</f>
        <v>0</v>
      </c>
      <c r="L306" s="467"/>
    </row>
    <row r="307" spans="1:14" x14ac:dyDescent="0.2">
      <c r="A307" s="1501" t="s">
        <v>303</v>
      </c>
      <c r="B307" s="614">
        <v>4120</v>
      </c>
      <c r="C307" s="616"/>
      <c r="D307" s="616"/>
      <c r="E307" s="467"/>
      <c r="F307" s="616"/>
      <c r="G307" s="616"/>
      <c r="H307" s="467"/>
      <c r="I307" s="477"/>
      <c r="J307" s="616"/>
      <c r="K307" s="1668">
        <f>SUM(E307,H307)</f>
        <v>0</v>
      </c>
      <c r="L307" s="466"/>
    </row>
    <row r="308" spans="1:14" x14ac:dyDescent="0.2">
      <c r="A308" s="1501" t="s">
        <v>696</v>
      </c>
      <c r="B308" s="614">
        <v>4140</v>
      </c>
      <c r="C308" s="616"/>
      <c r="D308" s="616"/>
      <c r="E308" s="467"/>
      <c r="F308" s="616"/>
      <c r="G308" s="616"/>
      <c r="H308" s="467"/>
      <c r="I308" s="477"/>
      <c r="J308" s="616"/>
      <c r="K308" s="1668">
        <f>SUM(E308,H308)</f>
        <v>0</v>
      </c>
      <c r="L308" s="466"/>
    </row>
    <row r="309" spans="1:14" ht="12.75" customHeight="1" x14ac:dyDescent="0.2">
      <c r="A309" s="1505" t="s">
        <v>697</v>
      </c>
      <c r="B309" s="628">
        <v>4190</v>
      </c>
      <c r="C309" s="616"/>
      <c r="D309" s="616"/>
      <c r="E309" s="467"/>
      <c r="F309" s="616"/>
      <c r="G309" s="616"/>
      <c r="H309" s="467"/>
      <c r="I309" s="477"/>
      <c r="J309" s="616"/>
      <c r="K309" s="1668">
        <f>SUM(E309,H309)</f>
        <v>0</v>
      </c>
      <c r="L309" s="466"/>
    </row>
    <row r="310" spans="1:14" ht="12.75" customHeight="1" thickBot="1" x14ac:dyDescent="0.25">
      <c r="A310" s="1665" t="s">
        <v>1486</v>
      </c>
      <c r="B310" s="1672" t="s">
        <v>859</v>
      </c>
      <c r="C310" s="616"/>
      <c r="D310" s="616"/>
      <c r="E310" s="1667">
        <f>SUM(E306:E309)</f>
        <v>0</v>
      </c>
      <c r="F310" s="616"/>
      <c r="G310" s="616"/>
      <c r="H310" s="1667">
        <f>SUM(H306:H309)</f>
        <v>0</v>
      </c>
      <c r="I310" s="477"/>
      <c r="J310" s="616"/>
      <c r="K310" s="1667">
        <f>SUM(K306:K309)</f>
        <v>0</v>
      </c>
      <c r="L310" s="1674">
        <f>SUM(L306:L309)</f>
        <v>0</v>
      </c>
    </row>
    <row r="311" spans="1:14" ht="15.75" customHeight="1" thickTop="1" thickBot="1" x14ac:dyDescent="0.25">
      <c r="A311" s="1616" t="s">
        <v>894</v>
      </c>
      <c r="B311" s="1608" t="s">
        <v>860</v>
      </c>
      <c r="C311" s="623"/>
      <c r="D311" s="623"/>
      <c r="E311" s="623"/>
      <c r="F311" s="623"/>
      <c r="G311" s="623"/>
      <c r="H311" s="623"/>
      <c r="I311" s="623"/>
      <c r="J311" s="616"/>
      <c r="K311" s="623"/>
      <c r="L311" s="576"/>
    </row>
    <row r="312" spans="1:14" s="674" customFormat="1" ht="12.75" customHeight="1" thickTop="1" thickBot="1" x14ac:dyDescent="0.25">
      <c r="A312" s="2178" t="s">
        <v>276</v>
      </c>
      <c r="B312" s="2179"/>
      <c r="C312" s="1667">
        <f>SUM(C303)</f>
        <v>0</v>
      </c>
      <c r="D312" s="1667">
        <f>SUM(D303)</f>
        <v>0</v>
      </c>
      <c r="E312" s="1667">
        <f>SUM(E303,E310)</f>
        <v>0</v>
      </c>
      <c r="F312" s="1667">
        <f>SUM(F303)</f>
        <v>0</v>
      </c>
      <c r="G312" s="1667">
        <f>SUM(G303)</f>
        <v>0</v>
      </c>
      <c r="H312" s="1667">
        <f>SUM(H303,H310)</f>
        <v>0</v>
      </c>
      <c r="I312" s="1667">
        <f>SUM(I303)</f>
        <v>0</v>
      </c>
      <c r="J312" s="1667">
        <f>SUM(J303)</f>
        <v>0</v>
      </c>
      <c r="K312" s="1667">
        <f>SUM(K303,K310,K311)</f>
        <v>0</v>
      </c>
      <c r="L312" s="1667">
        <f>SUM(L303,L310,L311)</f>
        <v>1000</v>
      </c>
      <c r="M312" s="665"/>
      <c r="N312" s="665"/>
    </row>
    <row r="313" spans="1:14" ht="13.5" thickTop="1" x14ac:dyDescent="0.2">
      <c r="A313" s="2174" t="s">
        <v>995</v>
      </c>
      <c r="B313" s="2175"/>
      <c r="C313" s="626"/>
      <c r="D313" s="626"/>
      <c r="E313" s="626"/>
      <c r="F313" s="626"/>
      <c r="G313" s="626"/>
      <c r="H313" s="626"/>
      <c r="I313" s="626"/>
      <c r="J313" s="626"/>
      <c r="K313" s="1682">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7" t="s">
        <v>149</v>
      </c>
      <c r="B315" s="2188"/>
      <c r="C315" s="1553"/>
      <c r="D315" s="1554"/>
      <c r="E315" s="1554"/>
      <c r="F315" s="1554"/>
      <c r="G315" s="1554"/>
      <c r="H315" s="1554"/>
      <c r="I315" s="1554"/>
      <c r="J315" s="1554"/>
      <c r="K315" s="1554"/>
      <c r="L315" s="1555"/>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9" t="s">
        <v>897</v>
      </c>
      <c r="B317" s="2188"/>
      <c r="C317" s="1553"/>
      <c r="D317" s="1554"/>
      <c r="E317" s="1554"/>
      <c r="F317" s="1554"/>
      <c r="G317" s="1554"/>
      <c r="H317" s="1554"/>
      <c r="I317" s="1554"/>
      <c r="J317" s="1554"/>
      <c r="K317" s="1554"/>
      <c r="L317" s="1555"/>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6" t="s">
        <v>298</v>
      </c>
      <c r="B319" s="697" t="s">
        <v>280</v>
      </c>
      <c r="C319" s="467"/>
      <c r="D319" s="467"/>
      <c r="E319" s="467"/>
      <c r="F319" s="467"/>
      <c r="G319" s="467"/>
      <c r="H319" s="467"/>
      <c r="I319" s="467"/>
      <c r="J319" s="467"/>
      <c r="K319" s="1668">
        <f>SUM(C319:J319)</f>
        <v>0</v>
      </c>
      <c r="L319" s="467"/>
      <c r="M319" s="665"/>
      <c r="N319" s="665"/>
    </row>
    <row r="320" spans="1:14" s="674" customFormat="1" x14ac:dyDescent="0.2">
      <c r="A320" s="1520" t="s">
        <v>1804</v>
      </c>
      <c r="B320" s="698" t="s">
        <v>281</v>
      </c>
      <c r="C320" s="467"/>
      <c r="D320" s="467"/>
      <c r="E320" s="467">
        <v>31203</v>
      </c>
      <c r="F320" s="467"/>
      <c r="G320" s="467"/>
      <c r="H320" s="467"/>
      <c r="I320" s="467"/>
      <c r="J320" s="467"/>
      <c r="K320" s="1668">
        <f t="shared" ref="K320:K327" si="24">SUM(C320:J320)</f>
        <v>31203</v>
      </c>
      <c r="L320" s="467">
        <v>40000</v>
      </c>
      <c r="M320" s="665"/>
      <c r="N320" s="665"/>
    </row>
    <row r="321" spans="1:14" s="674" customFormat="1" x14ac:dyDescent="0.2">
      <c r="A321" s="1516" t="s">
        <v>299</v>
      </c>
      <c r="B321" s="697" t="s">
        <v>282</v>
      </c>
      <c r="C321" s="467"/>
      <c r="D321" s="467"/>
      <c r="E321" s="467"/>
      <c r="F321" s="467"/>
      <c r="G321" s="467"/>
      <c r="H321" s="467"/>
      <c r="I321" s="467"/>
      <c r="J321" s="467"/>
      <c r="K321" s="1668">
        <f t="shared" si="24"/>
        <v>0</v>
      </c>
      <c r="L321" s="467"/>
      <c r="M321" s="665"/>
      <c r="N321" s="665"/>
    </row>
    <row r="322" spans="1:14" s="674" customFormat="1" x14ac:dyDescent="0.2">
      <c r="A322" s="1516" t="s">
        <v>238</v>
      </c>
      <c r="B322" s="697" t="s">
        <v>283</v>
      </c>
      <c r="C322" s="467"/>
      <c r="D322" s="467"/>
      <c r="E322" s="467">
        <v>578</v>
      </c>
      <c r="F322" s="467"/>
      <c r="G322" s="467"/>
      <c r="H322" s="467"/>
      <c r="I322" s="467"/>
      <c r="J322" s="467"/>
      <c r="K322" s="1668">
        <f t="shared" si="24"/>
        <v>578</v>
      </c>
      <c r="L322" s="467"/>
      <c r="M322" s="665"/>
      <c r="N322" s="665"/>
    </row>
    <row r="323" spans="1:14" s="674" customFormat="1" x14ac:dyDescent="0.2">
      <c r="A323" s="1516" t="s">
        <v>701</v>
      </c>
      <c r="B323" s="697" t="s">
        <v>284</v>
      </c>
      <c r="C323" s="467"/>
      <c r="D323" s="467"/>
      <c r="E323" s="467"/>
      <c r="F323" s="467"/>
      <c r="G323" s="467"/>
      <c r="H323" s="467"/>
      <c r="I323" s="467"/>
      <c r="J323" s="467"/>
      <c r="K323" s="1668">
        <f t="shared" si="24"/>
        <v>0</v>
      </c>
      <c r="L323" s="467"/>
      <c r="M323" s="665"/>
      <c r="N323" s="665"/>
    </row>
    <row r="324" spans="1:14" s="674" customFormat="1" x14ac:dyDescent="0.2">
      <c r="A324" s="1516" t="s">
        <v>239</v>
      </c>
      <c r="B324" s="697" t="s">
        <v>285</v>
      </c>
      <c r="C324" s="467"/>
      <c r="D324" s="467"/>
      <c r="E324" s="467"/>
      <c r="F324" s="467"/>
      <c r="G324" s="467"/>
      <c r="H324" s="467"/>
      <c r="I324" s="467"/>
      <c r="J324" s="467"/>
      <c r="K324" s="1668">
        <f t="shared" si="24"/>
        <v>0</v>
      </c>
      <c r="L324" s="467"/>
      <c r="M324" s="665"/>
      <c r="N324" s="665"/>
    </row>
    <row r="325" spans="1:14" s="674" customFormat="1" ht="22.5" x14ac:dyDescent="0.2">
      <c r="A325" s="1516" t="s">
        <v>1028</v>
      </c>
      <c r="B325" s="698" t="s">
        <v>286</v>
      </c>
      <c r="C325" s="467">
        <v>237084</v>
      </c>
      <c r="D325" s="467">
        <v>35443</v>
      </c>
      <c r="E325" s="467">
        <v>18720</v>
      </c>
      <c r="F325" s="467"/>
      <c r="G325" s="467"/>
      <c r="H325" s="467"/>
      <c r="I325" s="467"/>
      <c r="J325" s="467"/>
      <c r="K325" s="1668">
        <f t="shared" si="24"/>
        <v>291247</v>
      </c>
      <c r="L325" s="467">
        <v>310000</v>
      </c>
      <c r="M325" s="665"/>
      <c r="N325" s="665"/>
    </row>
    <row r="326" spans="1:14" s="674" customFormat="1" x14ac:dyDescent="0.2">
      <c r="A326" s="1516" t="s">
        <v>1029</v>
      </c>
      <c r="B326" s="697" t="s">
        <v>287</v>
      </c>
      <c r="C326" s="467"/>
      <c r="D326" s="467"/>
      <c r="E326" s="467"/>
      <c r="F326" s="467"/>
      <c r="G326" s="467"/>
      <c r="H326" s="467"/>
      <c r="I326" s="467"/>
      <c r="J326" s="467"/>
      <c r="K326" s="1668">
        <f t="shared" si="24"/>
        <v>0</v>
      </c>
      <c r="L326" s="467"/>
      <c r="M326" s="665"/>
      <c r="N326" s="665"/>
    </row>
    <row r="327" spans="1:14" s="674" customFormat="1" x14ac:dyDescent="0.2">
      <c r="A327" s="1516" t="s">
        <v>970</v>
      </c>
      <c r="B327" s="697" t="s">
        <v>288</v>
      </c>
      <c r="C327" s="467"/>
      <c r="D327" s="467"/>
      <c r="E327" s="467">
        <v>15963</v>
      </c>
      <c r="F327" s="467"/>
      <c r="G327" s="467"/>
      <c r="H327" s="467"/>
      <c r="I327" s="467"/>
      <c r="J327" s="467"/>
      <c r="K327" s="1668">
        <f t="shared" si="24"/>
        <v>15963</v>
      </c>
      <c r="L327" s="467">
        <v>9000</v>
      </c>
      <c r="M327" s="665"/>
      <c r="N327" s="665"/>
    </row>
    <row r="328" spans="1:14" s="674" customFormat="1" x14ac:dyDescent="0.2">
      <c r="A328" s="1517" t="s">
        <v>471</v>
      </c>
      <c r="B328" s="690" t="s">
        <v>1131</v>
      </c>
      <c r="C328" s="474"/>
      <c r="D328" s="474"/>
      <c r="E328" s="474">
        <v>68795</v>
      </c>
      <c r="F328" s="474"/>
      <c r="G328" s="474"/>
      <c r="H328" s="474"/>
      <c r="I328" s="474"/>
      <c r="J328" s="474"/>
      <c r="K328" s="1696">
        <f>SUM(C328:J328)</f>
        <v>68795</v>
      </c>
      <c r="L328" s="474">
        <v>65000</v>
      </c>
      <c r="M328" s="665"/>
      <c r="N328" s="665"/>
    </row>
    <row r="329" spans="1:14" s="674" customFormat="1" x14ac:dyDescent="0.2">
      <c r="A329" s="1517" t="s">
        <v>1132</v>
      </c>
      <c r="B329" s="690" t="s">
        <v>1133</v>
      </c>
      <c r="C329" s="474"/>
      <c r="D329" s="474"/>
      <c r="E329" s="474"/>
      <c r="F329" s="474"/>
      <c r="G329" s="474"/>
      <c r="H329" s="474"/>
      <c r="I329" s="474"/>
      <c r="J329" s="474"/>
      <c r="K329" s="1696">
        <f>SUM(C329:J329)</f>
        <v>0</v>
      </c>
      <c r="L329" s="474"/>
      <c r="M329" s="665"/>
      <c r="N329" s="665"/>
    </row>
    <row r="330" spans="1:14" s="674" customFormat="1" ht="12.75" customHeight="1" thickBot="1" x14ac:dyDescent="0.25">
      <c r="A330" s="1697" t="s">
        <v>716</v>
      </c>
      <c r="B330" s="1666" t="s">
        <v>568</v>
      </c>
      <c r="C330" s="1667">
        <f>SUM(C319:C329)</f>
        <v>237084</v>
      </c>
      <c r="D330" s="1667">
        <f t="shared" ref="D330:J330" si="25">SUM(D319:D329)</f>
        <v>35443</v>
      </c>
      <c r="E330" s="1667">
        <f t="shared" si="25"/>
        <v>135259</v>
      </c>
      <c r="F330" s="1667">
        <f t="shared" si="25"/>
        <v>0</v>
      </c>
      <c r="G330" s="1667">
        <f t="shared" si="25"/>
        <v>0</v>
      </c>
      <c r="H330" s="1667">
        <f t="shared" si="25"/>
        <v>0</v>
      </c>
      <c r="I330" s="1667">
        <f t="shared" si="25"/>
        <v>0</v>
      </c>
      <c r="J330" s="1667">
        <f t="shared" si="25"/>
        <v>0</v>
      </c>
      <c r="K330" s="1667">
        <f>SUM(K319:K329)</f>
        <v>407786</v>
      </c>
      <c r="L330" s="1667">
        <f>SUM(L319:L329)</f>
        <v>424000</v>
      </c>
      <c r="M330" s="665"/>
      <c r="N330" s="665"/>
    </row>
    <row r="331" spans="1:14" s="674" customFormat="1" ht="12.75" customHeight="1" thickTop="1" x14ac:dyDescent="0.2">
      <c r="A331" s="1828" t="s">
        <v>1850</v>
      </c>
      <c r="B331" s="647" t="s">
        <v>859</v>
      </c>
      <c r="C331" s="1830"/>
      <c r="D331" s="1830"/>
      <c r="E331" s="1830"/>
      <c r="F331" s="1830"/>
      <c r="G331" s="1830"/>
      <c r="H331" s="1830"/>
      <c r="I331" s="1830"/>
      <c r="J331" s="1830"/>
      <c r="K331" s="1830"/>
      <c r="L331" s="1830"/>
      <c r="M331" s="665"/>
      <c r="N331" s="665"/>
    </row>
    <row r="332" spans="1:14" s="674" customFormat="1" ht="12.75" customHeight="1" x14ac:dyDescent="0.2">
      <c r="A332" s="1829" t="s">
        <v>495</v>
      </c>
      <c r="B332" s="1824" t="s">
        <v>1844</v>
      </c>
      <c r="C332" s="1830"/>
      <c r="D332" s="1830"/>
      <c r="E332" s="1830"/>
      <c r="F332" s="1830"/>
      <c r="G332" s="1830"/>
      <c r="H332" s="467"/>
      <c r="I332" s="1830"/>
      <c r="J332" s="1830"/>
      <c r="K332" s="1668">
        <f>H332</f>
        <v>0</v>
      </c>
      <c r="L332" s="467"/>
      <c r="M332" s="665"/>
      <c r="N332" s="665"/>
    </row>
    <row r="333" spans="1:14" s="674" customFormat="1" ht="12.75" customHeight="1" x14ac:dyDescent="0.2">
      <c r="A333" s="1829" t="s">
        <v>303</v>
      </c>
      <c r="B333" s="1824" t="s">
        <v>1846</v>
      </c>
      <c r="C333" s="1830"/>
      <c r="D333" s="1830"/>
      <c r="E333" s="1830"/>
      <c r="F333" s="1830"/>
      <c r="G333" s="1830"/>
      <c r="H333" s="467"/>
      <c r="I333" s="1830"/>
      <c r="J333" s="1830"/>
      <c r="K333" s="1668">
        <f>H333</f>
        <v>0</v>
      </c>
      <c r="L333" s="467"/>
      <c r="M333" s="665"/>
      <c r="N333" s="665"/>
    </row>
    <row r="334" spans="1:14" s="674" customFormat="1" ht="12.75" customHeight="1" thickBot="1" x14ac:dyDescent="0.25">
      <c r="A334" s="1829" t="s">
        <v>1851</v>
      </c>
      <c r="B334" s="1824" t="s">
        <v>859</v>
      </c>
      <c r="C334" s="1830"/>
      <c r="D334" s="1830"/>
      <c r="E334" s="1830"/>
      <c r="F334" s="1830"/>
      <c r="G334" s="1830"/>
      <c r="H334" s="1667">
        <f>SUM(H332:H333)</f>
        <v>0</v>
      </c>
      <c r="I334" s="1830"/>
      <c r="J334" s="1830"/>
      <c r="K334" s="1667">
        <f>SUM(K332:K333)</f>
        <v>0</v>
      </c>
      <c r="L334" s="1667">
        <f>SUM(L332:L333)</f>
        <v>0</v>
      </c>
      <c r="M334" s="665"/>
      <c r="N334" s="665"/>
    </row>
    <row r="335" spans="1:14" ht="15.75" customHeight="1" thickTop="1" x14ac:dyDescent="0.2">
      <c r="A335" s="1613" t="s">
        <v>898</v>
      </c>
      <c r="B335" s="1604"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5" t="s">
        <v>87</v>
      </c>
      <c r="B337" s="690" t="s">
        <v>899</v>
      </c>
      <c r="C337" s="638"/>
      <c r="D337" s="638"/>
      <c r="E337" s="638"/>
      <c r="F337" s="638"/>
      <c r="G337" s="638"/>
      <c r="H337" s="478"/>
      <c r="I337" s="638"/>
      <c r="J337" s="638"/>
      <c r="K337" s="1668">
        <f>H337</f>
        <v>0</v>
      </c>
      <c r="L337" s="478"/>
    </row>
    <row r="338" spans="1:14" ht="12.75" customHeight="1" x14ac:dyDescent="0.2">
      <c r="A338" s="1515" t="s">
        <v>1169</v>
      </c>
      <c r="B338" s="690" t="s">
        <v>616</v>
      </c>
      <c r="C338" s="638"/>
      <c r="D338" s="638"/>
      <c r="E338" s="638"/>
      <c r="F338" s="638"/>
      <c r="G338" s="638"/>
      <c r="H338" s="478"/>
      <c r="I338" s="638"/>
      <c r="J338" s="638"/>
      <c r="K338" s="1668">
        <f>H338</f>
        <v>0</v>
      </c>
      <c r="L338" s="478"/>
    </row>
    <row r="339" spans="1:14" x14ac:dyDescent="0.2">
      <c r="A339" s="1501" t="s">
        <v>900</v>
      </c>
      <c r="B339" s="628">
        <v>5150</v>
      </c>
      <c r="C339" s="638"/>
      <c r="D339" s="638"/>
      <c r="E339" s="638"/>
      <c r="F339" s="638"/>
      <c r="G339" s="638"/>
      <c r="H339" s="467"/>
      <c r="I339" s="638"/>
      <c r="J339" s="638"/>
      <c r="K339" s="1668">
        <f>H339</f>
        <v>0</v>
      </c>
      <c r="L339" s="467"/>
    </row>
    <row r="340" spans="1:14" ht="13.5" thickBot="1" x14ac:dyDescent="0.25">
      <c r="A340" s="1691" t="s">
        <v>901</v>
      </c>
      <c r="B340" s="1666" t="s">
        <v>491</v>
      </c>
      <c r="C340" s="616"/>
      <c r="D340" s="616"/>
      <c r="E340" s="616"/>
      <c r="F340" s="616"/>
      <c r="G340" s="616"/>
      <c r="H340" s="1685">
        <f>SUM(H337:H339)</f>
        <v>0</v>
      </c>
      <c r="I340" s="616"/>
      <c r="J340" s="616"/>
      <c r="K340" s="1685">
        <f>SUM(K337:K339)</f>
        <v>0</v>
      </c>
      <c r="L340" s="1685">
        <f>SUM(L337:L339)</f>
        <v>0</v>
      </c>
    </row>
    <row r="341" spans="1:14" ht="15.75" customHeight="1" thickTop="1" thickBot="1" x14ac:dyDescent="0.25">
      <c r="A341" s="1616" t="s">
        <v>902</v>
      </c>
      <c r="B341" s="1608" t="s">
        <v>860</v>
      </c>
      <c r="C341" s="616"/>
      <c r="D341" s="616"/>
      <c r="E341" s="477"/>
      <c r="F341" s="468"/>
      <c r="G341" s="468"/>
      <c r="H341" s="477"/>
      <c r="I341" s="477"/>
      <c r="J341" s="468"/>
      <c r="K341" s="477"/>
      <c r="L341" s="576"/>
    </row>
    <row r="342" spans="1:14" ht="12.75" customHeight="1" thickTop="1" thickBot="1" x14ac:dyDescent="0.25">
      <c r="A342" s="1683" t="s">
        <v>504</v>
      </c>
      <c r="B342" s="1698"/>
      <c r="C342" s="1667">
        <f>SUM(C330)</f>
        <v>237084</v>
      </c>
      <c r="D342" s="1667">
        <f>SUM(D330)</f>
        <v>35443</v>
      </c>
      <c r="E342" s="1667">
        <f>SUM(E330)</f>
        <v>135259</v>
      </c>
      <c r="F342" s="1667">
        <f>SUM(F330)</f>
        <v>0</v>
      </c>
      <c r="G342" s="1667">
        <f>SUM(G330)</f>
        <v>0</v>
      </c>
      <c r="H342" s="1667">
        <f>SUM(H330,H334,H340)</f>
        <v>0</v>
      </c>
      <c r="I342" s="1667">
        <f>SUM(I330)</f>
        <v>0</v>
      </c>
      <c r="J342" s="1667">
        <f>SUM(J330)</f>
        <v>0</v>
      </c>
      <c r="K342" s="1667">
        <f>SUM(K330,K334,K340)</f>
        <v>407786</v>
      </c>
      <c r="L342" s="1674">
        <f>SUM(L330,L340,L341)</f>
        <v>424000</v>
      </c>
    </row>
    <row r="343" spans="1:14" ht="12.75" customHeight="1" thickTop="1" x14ac:dyDescent="0.2">
      <c r="A343" s="2176" t="s">
        <v>995</v>
      </c>
      <c r="B343" s="2177"/>
      <c r="C343" s="616"/>
      <c r="D343" s="616"/>
      <c r="E343" s="616"/>
      <c r="F343" s="616"/>
      <c r="G343" s="616"/>
      <c r="H343" s="616"/>
      <c r="I343" s="616"/>
      <c r="J343" s="616"/>
      <c r="K343" s="1681">
        <f>'Revenues 9-14'!J268-'Expenditures 15-22'!K342</f>
        <v>125943</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6" t="s">
        <v>965</v>
      </c>
      <c r="B345" s="2167"/>
      <c r="C345" s="1548"/>
      <c r="D345" s="1549"/>
      <c r="E345" s="1549"/>
      <c r="F345" s="1549"/>
      <c r="G345" s="1549"/>
      <c r="H345" s="1549"/>
      <c r="I345" s="1549"/>
      <c r="J345" s="1549"/>
      <c r="K345" s="1549"/>
      <c r="L345" s="1550"/>
      <c r="M345" s="667"/>
      <c r="N345" s="667"/>
    </row>
    <row r="346" spans="1:14" s="343" customFormat="1" ht="15.75" customHeight="1" x14ac:dyDescent="0.2">
      <c r="A346" s="1620" t="s">
        <v>843</v>
      </c>
      <c r="B346" s="1612"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1" t="s">
        <v>4</v>
      </c>
      <c r="B348" s="614">
        <v>2530</v>
      </c>
      <c r="C348" s="466"/>
      <c r="D348" s="466"/>
      <c r="E348" s="466"/>
      <c r="F348" s="466"/>
      <c r="G348" s="466"/>
      <c r="H348" s="466"/>
      <c r="I348" s="467"/>
      <c r="J348" s="467"/>
      <c r="K348" s="1668">
        <f>SUM(C348:J348)</f>
        <v>0</v>
      </c>
      <c r="L348" s="466"/>
    </row>
    <row r="349" spans="1:14" x14ac:dyDescent="0.2">
      <c r="A349" s="1501" t="s">
        <v>197</v>
      </c>
      <c r="B349" s="614">
        <v>2540</v>
      </c>
      <c r="C349" s="466"/>
      <c r="D349" s="466"/>
      <c r="E349" s="466">
        <v>32997</v>
      </c>
      <c r="F349" s="466">
        <v>1144</v>
      </c>
      <c r="G349" s="466">
        <v>6000</v>
      </c>
      <c r="H349" s="466"/>
      <c r="I349" s="467"/>
      <c r="J349" s="467"/>
      <c r="K349" s="1668">
        <f>SUM(C349:J349)</f>
        <v>40141</v>
      </c>
      <c r="L349" s="466">
        <v>39500</v>
      </c>
    </row>
    <row r="350" spans="1:14" ht="12.75" customHeight="1" thickBot="1" x14ac:dyDescent="0.25">
      <c r="A350" s="1665" t="s">
        <v>718</v>
      </c>
      <c r="B350" s="1666" t="s">
        <v>35</v>
      </c>
      <c r="C350" s="1667">
        <f>SUM(C348:C349)</f>
        <v>0</v>
      </c>
      <c r="D350" s="1667">
        <f t="shared" ref="D350:L350" si="26">SUM(D348:D349)</f>
        <v>0</v>
      </c>
      <c r="E350" s="1667">
        <f t="shared" si="26"/>
        <v>32997</v>
      </c>
      <c r="F350" s="1667">
        <f t="shared" si="26"/>
        <v>1144</v>
      </c>
      <c r="G350" s="1667">
        <f t="shared" si="26"/>
        <v>6000</v>
      </c>
      <c r="H350" s="1667">
        <f t="shared" si="26"/>
        <v>0</v>
      </c>
      <c r="I350" s="1667">
        <f t="shared" si="26"/>
        <v>0</v>
      </c>
      <c r="J350" s="1667">
        <f t="shared" si="26"/>
        <v>0</v>
      </c>
      <c r="K350" s="1667">
        <f t="shared" si="26"/>
        <v>40141</v>
      </c>
      <c r="L350" s="1667">
        <f t="shared" si="26"/>
        <v>39500</v>
      </c>
    </row>
    <row r="351" spans="1:14" ht="12.75" customHeight="1" thickTop="1" x14ac:dyDescent="0.2">
      <c r="A351" s="1507" t="s">
        <v>979</v>
      </c>
      <c r="B351" s="643" t="s">
        <v>573</v>
      </c>
      <c r="C351" s="481"/>
      <c r="D351" s="481"/>
      <c r="E351" s="481"/>
      <c r="F351" s="481"/>
      <c r="G351" s="481"/>
      <c r="H351" s="481"/>
      <c r="I351" s="478"/>
      <c r="J351" s="478"/>
      <c r="K351" s="615">
        <f>SUM(C351:J351)</f>
        <v>0</v>
      </c>
      <c r="L351" s="481"/>
    </row>
    <row r="352" spans="1:14" ht="12.75" customHeight="1" thickBot="1" x14ac:dyDescent="0.25">
      <c r="A352" s="1665" t="s">
        <v>623</v>
      </c>
      <c r="B352" s="1672" t="s">
        <v>568</v>
      </c>
      <c r="C352" s="1667">
        <f>SUM(C350:C351)</f>
        <v>0</v>
      </c>
      <c r="D352" s="1667">
        <f t="shared" ref="D352:L352" si="27">SUM(D350:D351)</f>
        <v>0</v>
      </c>
      <c r="E352" s="1667">
        <f t="shared" si="27"/>
        <v>32997</v>
      </c>
      <c r="F352" s="1667">
        <f t="shared" si="27"/>
        <v>1144</v>
      </c>
      <c r="G352" s="1667">
        <f t="shared" si="27"/>
        <v>6000</v>
      </c>
      <c r="H352" s="1667">
        <f t="shared" si="27"/>
        <v>0</v>
      </c>
      <c r="I352" s="1667">
        <f t="shared" si="27"/>
        <v>0</v>
      </c>
      <c r="J352" s="1667">
        <f t="shared" si="27"/>
        <v>0</v>
      </c>
      <c r="K352" s="1667">
        <f t="shared" si="27"/>
        <v>40141</v>
      </c>
      <c r="L352" s="1667">
        <f t="shared" si="27"/>
        <v>39500</v>
      </c>
    </row>
    <row r="353" spans="1:14" s="343" customFormat="1" ht="15.75" customHeight="1" thickTop="1" x14ac:dyDescent="0.2">
      <c r="A353" s="1609" t="s">
        <v>624</v>
      </c>
      <c r="B353" s="1606" t="s">
        <v>859</v>
      </c>
      <c r="C353" s="616"/>
      <c r="D353" s="616"/>
      <c r="E353" s="616"/>
      <c r="F353" s="616"/>
      <c r="G353" s="616"/>
      <c r="H353" s="616"/>
      <c r="I353" s="616"/>
      <c r="J353" s="616"/>
      <c r="K353" s="616"/>
      <c r="L353" s="616"/>
      <c r="M353" s="609"/>
      <c r="N353" s="609"/>
    </row>
    <row r="354" spans="1:14" x14ac:dyDescent="0.2">
      <c r="A354" s="1831" t="s">
        <v>1852</v>
      </c>
      <c r="B354" s="683" t="s">
        <v>1844</v>
      </c>
      <c r="C354" s="616"/>
      <c r="D354" s="616"/>
      <c r="E354" s="616"/>
      <c r="F354" s="616"/>
      <c r="G354" s="616"/>
      <c r="H354" s="474"/>
      <c r="I354" s="701"/>
      <c r="J354" s="616"/>
      <c r="K354" s="1696">
        <f>H354</f>
        <v>0</v>
      </c>
      <c r="L354" s="471"/>
    </row>
    <row r="355" spans="1:14" ht="12.75" customHeight="1" x14ac:dyDescent="0.2">
      <c r="A355" s="1510" t="s">
        <v>1853</v>
      </c>
      <c r="B355" s="690" t="s">
        <v>1846</v>
      </c>
      <c r="C355" s="616"/>
      <c r="D355" s="616"/>
      <c r="E355" s="616"/>
      <c r="F355" s="616"/>
      <c r="G355" s="616"/>
      <c r="H355" s="467"/>
      <c r="I355" s="701"/>
      <c r="J355" s="616"/>
      <c r="K355" s="1740">
        <f>H355</f>
        <v>0</v>
      </c>
      <c r="L355" s="467"/>
    </row>
    <row r="356" spans="1:14" ht="12.75" customHeight="1" x14ac:dyDescent="0.2">
      <c r="A356" s="1831" t="s">
        <v>697</v>
      </c>
      <c r="B356" s="683" t="s">
        <v>557</v>
      </c>
      <c r="C356" s="616"/>
      <c r="D356" s="616"/>
      <c r="E356" s="616"/>
      <c r="F356" s="616"/>
      <c r="G356" s="616"/>
      <c r="H356" s="479"/>
      <c r="I356" s="701"/>
      <c r="J356" s="616"/>
      <c r="K356" s="1737">
        <f>H356</f>
        <v>0</v>
      </c>
      <c r="L356" s="479"/>
    </row>
    <row r="357" spans="1:14" ht="12.75" customHeight="1" thickBot="1" x14ac:dyDescent="0.25">
      <c r="A357" s="1665" t="s">
        <v>1486</v>
      </c>
      <c r="B357" s="1666" t="s">
        <v>859</v>
      </c>
      <c r="C357" s="616"/>
      <c r="D357" s="616"/>
      <c r="E357" s="616"/>
      <c r="F357" s="616"/>
      <c r="G357" s="616"/>
      <c r="H357" s="1685">
        <f>SUM(H354:H356)</f>
        <v>0</v>
      </c>
      <c r="I357" s="701"/>
      <c r="J357" s="616"/>
      <c r="K357" s="1685">
        <f>SUM(K354:K356)</f>
        <v>0</v>
      </c>
      <c r="L357" s="1685">
        <f>SUM(L354:L356)</f>
        <v>0</v>
      </c>
    </row>
    <row r="358" spans="1:14" s="343" customFormat="1" ht="15.75" customHeight="1" thickTop="1" x14ac:dyDescent="0.2">
      <c r="A358" s="1609" t="s">
        <v>947</v>
      </c>
      <c r="B358" s="1606"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1" t="s">
        <v>87</v>
      </c>
      <c r="B360" s="614">
        <v>5110</v>
      </c>
      <c r="C360" s="616"/>
      <c r="D360" s="616"/>
      <c r="E360" s="616"/>
      <c r="F360" s="616"/>
      <c r="G360" s="616"/>
      <c r="H360" s="467"/>
      <c r="I360" s="616"/>
      <c r="J360" s="616"/>
      <c r="K360" s="1668">
        <f>SUM(C360:J360)</f>
        <v>0</v>
      </c>
      <c r="L360" s="466"/>
    </row>
    <row r="361" spans="1:14" ht="12.75" customHeight="1" x14ac:dyDescent="0.2">
      <c r="A361" s="1502" t="s">
        <v>618</v>
      </c>
      <c r="B361" s="602" t="s">
        <v>617</v>
      </c>
      <c r="C361" s="616"/>
      <c r="D361" s="616"/>
      <c r="E361" s="616"/>
      <c r="F361" s="616"/>
      <c r="G361" s="616"/>
      <c r="H361" s="467"/>
      <c r="I361" s="616"/>
      <c r="J361" s="616"/>
      <c r="K361" s="1668">
        <f>SUM(C361:J361)</f>
        <v>0</v>
      </c>
      <c r="L361" s="466"/>
    </row>
    <row r="362" spans="1:14" ht="12.75" customHeight="1" thickBot="1" x14ac:dyDescent="0.25">
      <c r="A362" s="1665" t="s">
        <v>625</v>
      </c>
      <c r="B362" s="1666" t="s">
        <v>717</v>
      </c>
      <c r="C362" s="616"/>
      <c r="D362" s="616"/>
      <c r="E362" s="616"/>
      <c r="F362" s="616"/>
      <c r="G362" s="616"/>
      <c r="H362" s="1700">
        <f>SUM(H360:H361)</f>
        <v>0</v>
      </c>
      <c r="I362" s="616"/>
      <c r="J362" s="616"/>
      <c r="K362" s="1700">
        <f>SUM(K360:K361)</f>
        <v>0</v>
      </c>
      <c r="L362" s="1700">
        <f>SUM(L360:L361)</f>
        <v>0</v>
      </c>
    </row>
    <row r="363" spans="1:14" s="674" customFormat="1" ht="15.75" customHeight="1" thickTop="1" x14ac:dyDescent="0.2">
      <c r="A363" s="660" t="s">
        <v>83</v>
      </c>
      <c r="B363" s="661" t="s">
        <v>38</v>
      </c>
      <c r="C363" s="638"/>
      <c r="D363" s="638"/>
      <c r="E363" s="638"/>
      <c r="F363" s="638"/>
      <c r="G363" s="638"/>
      <c r="H363" s="479"/>
      <c r="I363" s="638"/>
      <c r="J363" s="638"/>
      <c r="K363" s="1696">
        <f>SUM(C363:J363)</f>
        <v>0</v>
      </c>
      <c r="L363" s="479"/>
      <c r="M363" s="665"/>
      <c r="N363" s="665"/>
    </row>
    <row r="364" spans="1:14" s="708" customFormat="1" ht="29.25" customHeight="1" x14ac:dyDescent="0.2">
      <c r="A364" s="702" t="s">
        <v>1671</v>
      </c>
      <c r="B364" s="703">
        <v>5300</v>
      </c>
      <c r="C364" s="704"/>
      <c r="D364" s="705"/>
      <c r="E364" s="705"/>
      <c r="F364" s="704"/>
      <c r="G364" s="705"/>
      <c r="H364" s="706"/>
      <c r="I364" s="705"/>
      <c r="J364" s="705"/>
      <c r="K364" s="1668">
        <f>SUM(C364:J364)</f>
        <v>0</v>
      </c>
      <c r="L364" s="707"/>
    </row>
    <row r="365" spans="1:14" s="674" customFormat="1" ht="12.75" customHeight="1" thickBot="1" x14ac:dyDescent="0.25">
      <c r="A365" s="1518" t="s">
        <v>589</v>
      </c>
      <c r="B365" s="659" t="s">
        <v>491</v>
      </c>
      <c r="C365" s="638"/>
      <c r="D365" s="638"/>
      <c r="E365" s="638"/>
      <c r="F365" s="638"/>
      <c r="G365" s="638"/>
      <c r="H365" s="1700">
        <f>SUM(H362,H363,H364)</f>
        <v>0</v>
      </c>
      <c r="I365" s="638"/>
      <c r="J365" s="638"/>
      <c r="K365" s="1700">
        <f>SUM(K362,K363,K364)</f>
        <v>0</v>
      </c>
      <c r="L365" s="1700">
        <f>SUM(L362,L363,L364)</f>
        <v>0</v>
      </c>
      <c r="M365" s="665"/>
      <c r="N365" s="665"/>
    </row>
    <row r="366" spans="1:14" s="343" customFormat="1" ht="15.75" customHeight="1" thickTop="1" thickBot="1" x14ac:dyDescent="0.25">
      <c r="A366" s="1603" t="s">
        <v>948</v>
      </c>
      <c r="B366" s="1610" t="s">
        <v>860</v>
      </c>
      <c r="C366" s="623"/>
      <c r="D366" s="623"/>
      <c r="E366" s="623"/>
      <c r="F366" s="623"/>
      <c r="G366" s="623"/>
      <c r="H366" s="623"/>
      <c r="I366" s="623"/>
      <c r="J366" s="616"/>
      <c r="K366" s="623"/>
      <c r="L366" s="573"/>
      <c r="M366" s="609"/>
      <c r="N366" s="609"/>
    </row>
    <row r="367" spans="1:14" ht="12.75" customHeight="1" thickTop="1" thickBot="1" x14ac:dyDescent="0.25">
      <c r="A367" s="1689" t="s">
        <v>504</v>
      </c>
      <c r="B367" s="1701"/>
      <c r="C367" s="1667">
        <f t="shared" ref="C367:L367" si="28">SUM(C352,C357,C365,C366)</f>
        <v>0</v>
      </c>
      <c r="D367" s="1667">
        <f t="shared" si="28"/>
        <v>0</v>
      </c>
      <c r="E367" s="1667">
        <f t="shared" si="28"/>
        <v>32997</v>
      </c>
      <c r="F367" s="1667">
        <f t="shared" si="28"/>
        <v>1144</v>
      </c>
      <c r="G367" s="1667">
        <f t="shared" si="28"/>
        <v>6000</v>
      </c>
      <c r="H367" s="1667">
        <f t="shared" si="28"/>
        <v>0</v>
      </c>
      <c r="I367" s="1667">
        <f t="shared" si="28"/>
        <v>0</v>
      </c>
      <c r="J367" s="1667">
        <f t="shared" si="28"/>
        <v>0</v>
      </c>
      <c r="K367" s="1667">
        <f t="shared" si="28"/>
        <v>40141</v>
      </c>
      <c r="L367" s="1667">
        <f t="shared" si="28"/>
        <v>39500</v>
      </c>
    </row>
    <row r="368" spans="1:14" ht="13.5" thickTop="1" x14ac:dyDescent="0.2">
      <c r="A368" s="2190" t="s">
        <v>995</v>
      </c>
      <c r="B368" s="2191"/>
      <c r="C368" s="654"/>
      <c r="D368" s="654"/>
      <c r="E368" s="626"/>
      <c r="F368" s="626"/>
      <c r="G368" s="626"/>
      <c r="H368" s="626"/>
      <c r="I368" s="626"/>
      <c r="J368" s="623"/>
      <c r="K368" s="1668">
        <f>'Revenues 9-14'!K268-'Expenditures 15-22'!K367</f>
        <v>-234</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&amp;L&amp;8See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d21dc803-237d-4c68-8692-8d731fd29118"/>
    <ds:schemaRef ds:uri="http://purl.org/dc/dcmitype/"/>
    <ds:schemaRef ds:uri="6ce3111e-7420-4802-b50a-75d4e9a0b980"/>
    <ds:schemaRef ds:uri="4d435f69-8686-490b-bd6d-b153bf22ab50"/>
    <ds:schemaRef ds:uri="http://schemas.microsoft.com/office/2006/documentManagement/types"/>
    <ds:schemaRef ds:uri="http://schemas.microsoft.com/sharepoint/v3"/>
    <ds:schemaRef ds:uri="http://purl.org/dc/elements/1.1/"/>
    <ds:schemaRef ds:uri="http://schemas.microsoft.com/office/2006/metadata/properties"/>
    <ds:schemaRef ds:uri="http://purl.org/dc/terms/"/>
    <ds:schemaRef ds:uri="http://schemas.openxmlformats.org/package/2006/metadata/core-propertie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2019-11-21T13:31:00Z</cp:lastPrinted>
  <dcterms:created xsi:type="dcterms:W3CDTF">2003-10-29T19:06:34Z</dcterms:created>
  <dcterms:modified xsi:type="dcterms:W3CDTF">2019-12-30T15:49:23Z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y fmtid="{D5CDD505-2E9C-101B-9397-08002B2CF9AE}" pid="5" name="PPC_Template_Client_Name">
    <vt:lpwstr>LEBANON CUSD #9</vt:lpwstr>
  </property>
  <property fmtid="{D5CDD505-2E9C-101B-9397-08002B2CF9AE}" pid="6" name="PPC_Template_Engagement_Date">
    <vt:lpwstr>6/30/2019</vt:lpwstr>
  </property>
</Properties>
</file>