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60684CE-3ABB-451B-A66F-D5F9640B0F35}"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Sec-1'!$A$1:$J$64</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6" i="181" l="1"/>
  <c r="F146" i="181"/>
  <c r="G146" i="181" s="1"/>
  <c r="E145" i="181"/>
  <c r="F145" i="181"/>
  <c r="G145" i="181" s="1"/>
  <c r="E143" i="181"/>
  <c r="F143" i="181"/>
  <c r="G143" i="181" s="1"/>
  <c r="E142" i="181"/>
  <c r="F142" i="181"/>
  <c r="G142" i="181" s="1"/>
  <c r="E141" i="181"/>
  <c r="F141" i="181"/>
  <c r="G141" i="181" s="1"/>
  <c r="E140" i="181"/>
  <c r="F140" i="181"/>
  <c r="G140" i="181" s="1"/>
  <c r="J32" i="3" l="1"/>
  <c r="J6" i="3"/>
  <c r="C77" i="5"/>
  <c r="C5" i="29"/>
  <c r="F8" i="29"/>
  <c r="F5" i="29"/>
  <c r="E5" i="29"/>
  <c r="D5" i="29"/>
  <c r="I8" i="29"/>
  <c r="F7" i="29"/>
  <c r="E7" i="29"/>
  <c r="D7" i="29"/>
  <c r="C7" i="29"/>
  <c r="L4" i="3"/>
  <c r="D39" i="3" l="1"/>
  <c r="M19" i="3" l="1"/>
  <c r="M18" i="3"/>
  <c r="M17" i="3"/>
  <c r="I12" i="11"/>
  <c r="C12" i="11"/>
  <c r="E323" i="29" l="1"/>
  <c r="F6" i="3"/>
  <c r="F63" i="29" l="1"/>
  <c r="G44" i="174" l="1"/>
  <c r="C34" i="173"/>
  <c r="C33" i="173"/>
  <c r="K16" i="185" l="1"/>
  <c r="J16" i="185"/>
  <c r="I16" i="185"/>
  <c r="H16" i="185"/>
  <c r="G16" i="185"/>
  <c r="F16" i="185"/>
  <c r="E16" i="185"/>
  <c r="G27" i="184"/>
  <c r="K25" i="184"/>
  <c r="J25" i="184"/>
  <c r="I25" i="184"/>
  <c r="H25" i="184"/>
  <c r="G25" i="184"/>
  <c r="F25" i="184"/>
  <c r="E25" i="184"/>
  <c r="E27" i="184" s="1"/>
  <c r="K16" i="184"/>
  <c r="J16" i="184"/>
  <c r="I16" i="184"/>
  <c r="H16" i="184"/>
  <c r="G16" i="184"/>
  <c r="F16" i="184"/>
  <c r="E16" i="184"/>
  <c r="K13" i="184"/>
  <c r="J13" i="184"/>
  <c r="I13" i="184"/>
  <c r="G13" i="184"/>
  <c r="F13" i="184"/>
  <c r="E13" i="184"/>
  <c r="L27" i="185"/>
  <c r="L26" i="185"/>
  <c r="L25" i="185"/>
  <c r="L24" i="185"/>
  <c r="L23" i="185"/>
  <c r="L22" i="185"/>
  <c r="L21" i="185"/>
  <c r="L20" i="185"/>
  <c r="L19" i="185"/>
  <c r="L17" i="185"/>
  <c r="L15" i="185"/>
  <c r="L14" i="185"/>
  <c r="L13" i="185"/>
  <c r="L12" i="185"/>
  <c r="L11" i="185"/>
  <c r="B4" i="185"/>
  <c r="K23" i="183"/>
  <c r="J23" i="183"/>
  <c r="J27" i="184" s="1"/>
  <c r="I23" i="183"/>
  <c r="H23" i="183"/>
  <c r="G23" i="183"/>
  <c r="F23" i="183"/>
  <c r="E23" i="183"/>
  <c r="K20" i="183"/>
  <c r="J20" i="183"/>
  <c r="I20" i="183"/>
  <c r="H20" i="183"/>
  <c r="G20" i="183"/>
  <c r="F20" i="183"/>
  <c r="E20" i="183"/>
  <c r="J16" i="183"/>
  <c r="I16" i="183"/>
  <c r="I27" i="184" s="1"/>
  <c r="G16" i="183"/>
  <c r="F16" i="183"/>
  <c r="E16" i="183"/>
  <c r="K15" i="183"/>
  <c r="K16" i="183" s="1"/>
  <c r="J15" i="183"/>
  <c r="H15" i="183"/>
  <c r="H16" i="183" s="1"/>
  <c r="H27" i="184" s="1"/>
  <c r="L26" i="184"/>
  <c r="L24" i="184"/>
  <c r="L23" i="184"/>
  <c r="L22" i="184"/>
  <c r="L20" i="184"/>
  <c r="L19" i="184"/>
  <c r="L18" i="184"/>
  <c r="L17" i="184"/>
  <c r="L15" i="184"/>
  <c r="L14" i="184"/>
  <c r="L12" i="184"/>
  <c r="L11" i="184"/>
  <c r="B4" i="184"/>
  <c r="K27" i="179"/>
  <c r="J27" i="179"/>
  <c r="K26" i="179"/>
  <c r="J26" i="179"/>
  <c r="I26" i="179"/>
  <c r="H26" i="179"/>
  <c r="H27" i="179" s="1"/>
  <c r="G26" i="179"/>
  <c r="G27" i="179" s="1"/>
  <c r="F26" i="179"/>
  <c r="E26" i="179"/>
  <c r="E27" i="179" s="1"/>
  <c r="K23" i="179"/>
  <c r="J23" i="179"/>
  <c r="I23" i="179"/>
  <c r="I27" i="179" s="1"/>
  <c r="H23" i="179"/>
  <c r="G23" i="179"/>
  <c r="F23" i="179"/>
  <c r="F27" i="179" s="1"/>
  <c r="E23" i="179"/>
  <c r="H18" i="185" l="1"/>
  <c r="J18" i="185"/>
  <c r="K27" i="184"/>
  <c r="E18" i="185"/>
  <c r="K18" i="185"/>
  <c r="G18" i="185"/>
  <c r="L18" i="185" s="1"/>
  <c r="F27" i="184"/>
  <c r="F18" i="185" s="1"/>
  <c r="D35" i="171" s="1"/>
  <c r="I18" i="185"/>
  <c r="D46" i="174" s="1"/>
  <c r="L16" i="185"/>
  <c r="L27" i="184"/>
  <c r="L25" i="184"/>
  <c r="L16" i="184"/>
  <c r="L13" i="184"/>
  <c r="L27" i="183"/>
  <c r="L26" i="183"/>
  <c r="L25" i="183"/>
  <c r="L24" i="183"/>
  <c r="L23" i="183"/>
  <c r="L22" i="183"/>
  <c r="L21" i="183"/>
  <c r="L20" i="183"/>
  <c r="L19" i="183"/>
  <c r="L18" i="183"/>
  <c r="L17" i="183"/>
  <c r="L16" i="183"/>
  <c r="L15" i="183"/>
  <c r="L14" i="183"/>
  <c r="L13" i="183"/>
  <c r="L12" i="183"/>
  <c r="L11" i="183"/>
  <c r="B4" i="183"/>
  <c r="G6" i="3" l="1"/>
  <c r="F32" i="3"/>
  <c r="F27" i="3"/>
  <c r="E6" i="3"/>
  <c r="F147" i="181"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144" i="181"/>
  <c r="F144" i="181" s="1"/>
  <c r="G144" i="181" s="1"/>
  <c r="E139" i="181"/>
  <c r="F139" i="181" s="1"/>
  <c r="G139" i="181" s="1"/>
  <c r="E138" i="181"/>
  <c r="F138" i="181" s="1"/>
  <c r="G138" i="181" s="1"/>
  <c r="E137" i="181"/>
  <c r="F137" i="181" s="1"/>
  <c r="G137" i="181" s="1"/>
  <c r="E136" i="181"/>
  <c r="F136" i="181" s="1"/>
  <c r="G136" i="181" s="1"/>
  <c r="G135" i="181"/>
  <c r="E135" i="181"/>
  <c r="E134" i="181"/>
  <c r="F134" i="181" s="1"/>
  <c r="G134" i="181" s="1"/>
  <c r="E133" i="181"/>
  <c r="E132" i="181"/>
  <c r="F132" i="181" s="1"/>
  <c r="G132" i="181" s="1"/>
  <c r="E131" i="181"/>
  <c r="F131" i="181" s="1"/>
  <c r="G131" i="181" s="1"/>
  <c r="E130" i="181"/>
  <c r="F130" i="181" s="1"/>
  <c r="G130" i="181" s="1"/>
  <c r="E129" i="181"/>
  <c r="F129" i="181" s="1"/>
  <c r="G129" i="181" s="1"/>
  <c r="E128" i="181"/>
  <c r="G127" i="181"/>
  <c r="E127" i="181"/>
  <c r="E126" i="181"/>
  <c r="F126" i="181" s="1"/>
  <c r="G126" i="181" s="1"/>
  <c r="E125" i="181"/>
  <c r="F125" i="181" s="1"/>
  <c r="G125" i="181" s="1"/>
  <c r="E124" i="181"/>
  <c r="E123" i="181"/>
  <c r="F123" i="181" s="1"/>
  <c r="G123" i="181" s="1"/>
  <c r="E122" i="181"/>
  <c r="F122" i="181" s="1"/>
  <c r="G122" i="181" s="1"/>
  <c r="G121" i="181"/>
  <c r="E121" i="181"/>
  <c r="E120" i="181"/>
  <c r="F120" i="181" s="1"/>
  <c r="G120" i="181" s="1"/>
  <c r="E119" i="181"/>
  <c r="F119" i="181" s="1"/>
  <c r="G119" i="181" s="1"/>
  <c r="E118" i="181"/>
  <c r="F118" i="181" s="1"/>
  <c r="G118" i="181" s="1"/>
  <c r="E117" i="181"/>
  <c r="F117" i="181" s="1"/>
  <c r="G117" i="181" s="1"/>
  <c r="E116" i="181"/>
  <c r="F116" i="181" s="1"/>
  <c r="G116" i="181" s="1"/>
  <c r="E115" i="181"/>
  <c r="G114" i="181"/>
  <c r="E114" i="181"/>
  <c r="E113" i="181"/>
  <c r="F113" i="181" s="1"/>
  <c r="G113" i="181" s="1"/>
  <c r="E112" i="181"/>
  <c r="F112" i="181" s="1"/>
  <c r="G112" i="181" s="1"/>
  <c r="E111" i="181"/>
  <c r="G110" i="181"/>
  <c r="E110" i="181"/>
  <c r="G109" i="181"/>
  <c r="E109" i="181"/>
  <c r="G108" i="181"/>
  <c r="E108" i="181"/>
  <c r="E107" i="181"/>
  <c r="F107" i="181" s="1"/>
  <c r="G107" i="181" s="1"/>
  <c r="E106" i="181"/>
  <c r="F106" i="181" s="1"/>
  <c r="G106" i="181" s="1"/>
  <c r="E105" i="181"/>
  <c r="F105" i="181" s="1"/>
  <c r="G105" i="181" s="1"/>
  <c r="E100" i="181"/>
  <c r="F100" i="181" s="1"/>
  <c r="G100" i="181" s="1"/>
  <c r="E104" i="181"/>
  <c r="F104" i="181" s="1"/>
  <c r="G104" i="181" s="1"/>
  <c r="E103" i="181"/>
  <c r="E102" i="181"/>
  <c r="F102" i="181" s="1"/>
  <c r="G102" i="181" s="1"/>
  <c r="E101" i="181"/>
  <c r="G101" i="181" s="1"/>
  <c r="E99" i="181"/>
  <c r="F99" i="181" s="1"/>
  <c r="G99" i="181" s="1"/>
  <c r="E98" i="181"/>
  <c r="E97" i="181"/>
  <c r="F97" i="181" s="1"/>
  <c r="G97" i="181" s="1"/>
  <c r="E96" i="181"/>
  <c r="F96" i="181" s="1"/>
  <c r="E94" i="181"/>
  <c r="F94" i="181" s="1"/>
  <c r="G94" i="181" s="1"/>
  <c r="E93" i="181"/>
  <c r="F93" i="181" s="1"/>
  <c r="G93" i="181" s="1"/>
  <c r="E92" i="181"/>
  <c r="E91" i="181"/>
  <c r="F91" i="181" s="1"/>
  <c r="G91" i="181" s="1"/>
  <c r="E90" i="181"/>
  <c r="F90" i="181" s="1"/>
  <c r="G90" i="181" s="1"/>
  <c r="E89" i="181"/>
  <c r="E88" i="181"/>
  <c r="F88" i="181" s="1"/>
  <c r="G88" i="181" s="1"/>
  <c r="E87" i="181"/>
  <c r="E85" i="181"/>
  <c r="F85" i="181" s="1"/>
  <c r="G85"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E75" i="181"/>
  <c r="F75" i="181" s="1"/>
  <c r="G75" i="181" s="1"/>
  <c r="E74" i="181"/>
  <c r="F74" i="181" s="1"/>
  <c r="G74" i="181" s="1"/>
  <c r="G147" i="181"/>
  <c r="E147" i="181"/>
  <c r="E95" i="181"/>
  <c r="F95" i="181" s="1"/>
  <c r="G95" i="181" s="1"/>
  <c r="E86" i="181"/>
  <c r="F86" i="181" s="1"/>
  <c r="G86" i="181" s="1"/>
  <c r="E73" i="181"/>
  <c r="E72" i="181"/>
  <c r="F72" i="181" s="1"/>
  <c r="G72" i="181" s="1"/>
  <c r="E71" i="181"/>
  <c r="F71" i="181" s="1"/>
  <c r="G71" i="181" s="1"/>
  <c r="E70" i="181"/>
  <c r="F70" i="181" s="1"/>
  <c r="G70" i="181" s="1"/>
  <c r="E69" i="181"/>
  <c r="F69" i="181" s="1"/>
  <c r="G69" i="181" s="1"/>
  <c r="E68" i="181"/>
  <c r="F68" i="181" s="1"/>
  <c r="G68" i="181" s="1"/>
  <c r="E67" i="181"/>
  <c r="F67" i="181" s="1"/>
  <c r="G67" i="181" s="1"/>
  <c r="E66" i="181"/>
  <c r="E65" i="181"/>
  <c r="E64" i="181"/>
  <c r="F64" i="181" s="1"/>
  <c r="G64" i="181" s="1"/>
  <c r="E63" i="181"/>
  <c r="F63" i="181" s="1"/>
  <c r="G63" i="181" s="1"/>
  <c r="E62" i="181"/>
  <c r="F62" i="181" s="1"/>
  <c r="G62" i="181" s="1"/>
  <c r="E61" i="181"/>
  <c r="E60" i="181"/>
  <c r="F60" i="181" s="1"/>
  <c r="G60" i="181" s="1"/>
  <c r="E59" i="181"/>
  <c r="E58" i="181"/>
  <c r="F58" i="181" s="1"/>
  <c r="G58" i="181" s="1"/>
  <c r="E57" i="181"/>
  <c r="E56" i="181"/>
  <c r="F56" i="181" s="1"/>
  <c r="G56" i="181" s="1"/>
  <c r="E55" i="181"/>
  <c r="E54" i="181"/>
  <c r="F54" i="181" s="1"/>
  <c r="G54" i="181" s="1"/>
  <c r="E53" i="181"/>
  <c r="F53" i="181" s="1"/>
  <c r="G53" i="181" s="1"/>
  <c r="E52" i="181"/>
  <c r="F52" i="181" s="1"/>
  <c r="G52" i="181" s="1"/>
  <c r="E51" i="181"/>
  <c r="F51" i="181" s="1"/>
  <c r="G51" i="181" s="1"/>
  <c r="E50" i="181"/>
  <c r="F50" i="181" s="1"/>
  <c r="G50" i="181" s="1"/>
  <c r="E49" i="181"/>
  <c r="G49" i="181" s="1"/>
  <c r="E48" i="181"/>
  <c r="F48" i="181" s="1"/>
  <c r="G48" i="181" s="1"/>
  <c r="G47" i="181"/>
  <c r="E47" i="181"/>
  <c r="E46" i="181"/>
  <c r="E45" i="181"/>
  <c r="E44" i="181"/>
  <c r="F44" i="181" s="1"/>
  <c r="E43" i="181"/>
  <c r="F43" i="181" s="1"/>
  <c r="E42" i="18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133" i="181" l="1"/>
  <c r="G133" i="181" s="1"/>
  <c r="F128" i="181"/>
  <c r="G128" i="181" s="1"/>
  <c r="F124" i="181"/>
  <c r="G124" i="181" s="1"/>
  <c r="F115" i="181"/>
  <c r="G115" i="181" s="1"/>
  <c r="F111" i="181"/>
  <c r="G111" i="181" s="1"/>
  <c r="F103" i="181"/>
  <c r="G103" i="181" s="1"/>
  <c r="F98" i="181"/>
  <c r="G98" i="181" s="1"/>
  <c r="G96" i="181"/>
  <c r="F92" i="181"/>
  <c r="G92" i="181" s="1"/>
  <c r="F89" i="181"/>
  <c r="G89" i="181" s="1"/>
  <c r="F87" i="181"/>
  <c r="G87" i="181" s="1"/>
  <c r="F76" i="181"/>
  <c r="G76" i="181" s="1"/>
  <c r="F73" i="181"/>
  <c r="G73" i="181" s="1"/>
  <c r="F66" i="181"/>
  <c r="G66" i="181" s="1"/>
  <c r="F65" i="181"/>
  <c r="G65" i="181" s="1"/>
  <c r="F61" i="181"/>
  <c r="G61" i="181" s="1"/>
  <c r="F59" i="181"/>
  <c r="G59" i="181" s="1"/>
  <c r="F57" i="181"/>
  <c r="G57" i="181" s="1"/>
  <c r="F55" i="181"/>
  <c r="G55" i="181" s="1"/>
  <c r="F46" i="181"/>
  <c r="G46" i="181" s="1"/>
  <c r="F45" i="181"/>
  <c r="G45" i="181" s="1"/>
  <c r="F42" i="181"/>
  <c r="G42" i="181" s="1"/>
  <c r="F37" i="181"/>
  <c r="G37" i="181" s="1"/>
  <c r="F36" i="181"/>
  <c r="G36" i="181" s="1"/>
  <c r="F35" i="181"/>
  <c r="G35" i="181" s="1"/>
  <c r="F33" i="181"/>
  <c r="G33" i="181" s="1"/>
  <c r="F32" i="181"/>
  <c r="G32" i="181" s="1"/>
  <c r="F31" i="181"/>
  <c r="G31" i="181" s="1"/>
  <c r="F29" i="181"/>
  <c r="G29" i="181" s="1"/>
  <c r="F25" i="181"/>
  <c r="G25" i="181" s="1"/>
  <c r="F24" i="181"/>
  <c r="G24" i="181" s="1"/>
  <c r="F23" i="181"/>
  <c r="G23" i="181" s="1"/>
  <c r="F22" i="181"/>
  <c r="G22" i="181" s="1"/>
  <c r="F21" i="181"/>
  <c r="G21" i="181" s="1"/>
  <c r="G44" i="181"/>
  <c r="G43" i="181"/>
  <c r="G34" i="181"/>
  <c r="G30" i="181"/>
  <c r="G28" i="181"/>
  <c r="G26" i="181"/>
  <c r="G20" i="181"/>
  <c r="G19" i="181"/>
  <c r="D148" i="181"/>
  <c r="D80" i="36" l="1"/>
  <c r="B7797" i="106"/>
  <c r="E148" i="181"/>
  <c r="E18" i="181"/>
  <c r="F18" i="181" s="1"/>
  <c r="E17" i="181"/>
  <c r="F17" i="181" s="1"/>
  <c r="G17" i="181" l="1"/>
  <c r="G18" i="181"/>
  <c r="G148" i="181" s="1"/>
  <c r="G40" i="108" l="1"/>
  <c r="B7799" i="106"/>
  <c r="F148" i="181"/>
  <c r="B7798" i="106" s="1"/>
  <c r="E40" i="108"/>
  <c r="B4" i="179" l="1"/>
  <c r="D17" i="171" l="1"/>
  <c r="L26" i="179" l="1"/>
  <c r="L25" i="179"/>
  <c r="L24" i="179"/>
  <c r="L23" i="179"/>
  <c r="L27" i="179" s="1"/>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D48" i="174"/>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5"/>
  <c r="B2" i="183"/>
  <c r="B1" i="184"/>
  <c r="B1" i="185"/>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6" i="127"/>
  <c r="B67" i="127"/>
  <c r="E26" i="108"/>
  <c r="G26" i="108"/>
  <c r="D27" i="108"/>
  <c r="E27" i="108"/>
  <c r="F27" i="108"/>
  <c r="G27" i="108"/>
  <c r="F31" i="108"/>
  <c r="F36" i="108"/>
  <c r="G28" i="108"/>
  <c r="D31" i="108"/>
  <c r="D36" i="108"/>
  <c r="E31" i="108"/>
  <c r="G31" i="108"/>
  <c r="E33"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F50" i="34" l="1"/>
  <c r="F68" i="34"/>
  <c r="F46" i="34"/>
  <c r="I210" i="29"/>
  <c r="B7071" i="106" s="1"/>
  <c r="D7071" i="106" s="1"/>
  <c r="F42" i="34"/>
  <c r="H365" i="29"/>
  <c r="B7242" i="106" s="1"/>
  <c r="D7242" i="106" s="1"/>
  <c r="G35" i="108"/>
  <c r="D6103" i="106"/>
  <c r="E35" i="108"/>
  <c r="J77" i="4"/>
  <c r="B6262" i="106" s="1"/>
  <c r="D6262" i="106" s="1"/>
  <c r="F19" i="7"/>
  <c r="B1807" i="106" s="1"/>
  <c r="D1807" i="106" s="1"/>
  <c r="F28" i="108"/>
  <c r="K76" i="4"/>
  <c r="B3586" i="106" s="1"/>
  <c r="D3586" i="106" s="1"/>
  <c r="F34" i="34"/>
  <c r="L5" i="11"/>
  <c r="B2056" i="106" s="1"/>
  <c r="D2056" i="106" s="1"/>
  <c r="K184" i="29"/>
  <c r="F13" i="4" s="1"/>
  <c r="B2596" i="106" s="1"/>
  <c r="D2596" i="106" s="1"/>
  <c r="C129" i="29"/>
  <c r="B6995" i="106"/>
  <c r="D6995" i="106" s="1"/>
  <c r="G29" i="108"/>
  <c r="E38" i="108"/>
  <c r="G30" i="108"/>
  <c r="J41" i="3"/>
  <c r="B6216" i="106" s="1"/>
  <c r="D6216" i="106" s="1"/>
  <c r="C352" i="29"/>
  <c r="B3621" i="106" s="1"/>
  <c r="D3621" i="106" s="1"/>
  <c r="L342" i="29"/>
  <c r="C342" i="29"/>
  <c r="B7216" i="106" s="1"/>
  <c r="D7216" i="106" s="1"/>
  <c r="F77" i="4"/>
  <c r="B3255" i="106" s="1"/>
  <c r="D3255" i="106" s="1"/>
  <c r="B1274" i="106"/>
  <c r="D1274" i="106" s="1"/>
  <c r="H342" i="29"/>
  <c r="B7221" i="106" s="1"/>
  <c r="D7221" i="106" s="1"/>
  <c r="J210" i="29"/>
  <c r="B7072" i="106" s="1"/>
  <c r="D7072" i="106" s="1"/>
  <c r="J129" i="29"/>
  <c r="B7038" i="106" s="1"/>
  <c r="D7038" i="106" s="1"/>
  <c r="B3647" i="106"/>
  <c r="D3647" i="106" s="1"/>
  <c r="L13" i="11"/>
  <c r="B2060" i="106" s="1"/>
  <c r="D2060" i="106" s="1"/>
  <c r="G15" i="145"/>
  <c r="I129" i="29"/>
  <c r="B7037" i="106" s="1"/>
  <c r="D7037" i="106" s="1"/>
  <c r="F36" i="34"/>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6" i="106"/>
  <c r="D7250" i="106"/>
  <c r="B1381" i="106"/>
  <c r="D1381" i="106" s="1"/>
  <c r="L16" i="11"/>
  <c r="B2061" i="106" s="1"/>
  <c r="D2061" i="106" s="1"/>
  <c r="L114" i="29"/>
  <c r="D51" i="36"/>
  <c r="K342" i="29"/>
  <c r="F13" i="34" s="1"/>
  <c r="D41" i="108"/>
  <c r="E43" i="108" s="1"/>
  <c r="F41" i="108"/>
  <c r="G43" i="108" s="1"/>
  <c r="C114" i="29"/>
  <c r="B757" i="106" s="1"/>
  <c r="D757" i="106" s="1"/>
  <c r="B5527" i="106"/>
  <c r="D5527" i="106" s="1"/>
  <c r="D44" i="36"/>
  <c r="B5778" i="106"/>
  <c r="D5778" i="106" s="1"/>
  <c r="G6" i="4"/>
  <c r="B2604" i="106" s="1"/>
  <c r="D2604" i="106" s="1"/>
  <c r="K365" i="29"/>
  <c r="B7243" i="106" s="1"/>
  <c r="D7243" i="106" s="1"/>
  <c r="J16" i="4"/>
  <c r="B6226" i="106" s="1"/>
  <c r="D6226" i="106" s="1"/>
  <c r="B7215" i="106"/>
  <c r="D7215" i="106" s="1"/>
  <c r="B5770" i="106"/>
  <c r="D5770" i="106" s="1"/>
  <c r="D7254" i="106"/>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16" i="4"/>
  <c r="B7224" i="106"/>
  <c r="D7224" i="106" s="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J20" i="4"/>
  <c r="B6230" i="106" s="1"/>
  <c r="D6230" i="106" s="1"/>
  <c r="B6223" i="106"/>
  <c r="D6223" i="106"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<sst xmlns="http://schemas.openxmlformats.org/spreadsheetml/2006/main" count="5733" uniqueCount="2317">
  <si>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</si>
  <si>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</si>
  <si>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</si>
  <si>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</si>
  <si>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</si>
  <si>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</si>
  <si>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</si>
  <si>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</si>
  <si>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</si>
  <si>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</si>
  <si>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</si>
  <si>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</si>
  <si>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</si>
  <si>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</si>
  <si>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</si>
  <si>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</si>
  <si>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</si>
  <si>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</si>
  <si>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</si>
  <si>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</si>
  <si>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</si>
  <si>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</si>
  <si>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</si>
  <si>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</si>
  <si>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</si>
  <si>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</si>
  <si>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</si>
  <si>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</si>
  <si>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</si>
  <si>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</si>
  <si>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</si>
  <si>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</si>
  <si>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</si>
  <si>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</si>
  <si>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</si>
  <si>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</si>
  <si>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</si>
  <si>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</si>
  <si>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</si>
  <si>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</si>
  <si>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</si>
  <si>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</si>
  <si>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</si>
  <si>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</si>
  <si>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</si>
  <si>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</si>
  <si>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</si>
  <si>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</si>
  <si>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</si>
  <si>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</si>
  <si>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</si>
  <si>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</si>
  <si>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</si>
  <si>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</si>
  <si>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</si>
  <si>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</si>
  <si>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</si>
  <si>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</si>
  <si>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</si>
  <si>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</si>
  <si>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</si>
  <si>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</si>
  <si>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</si>
  <si>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</si>
  <si>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</si>
  <si>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</si>
  <si>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</si>
  <si>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</si>
  <si>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</si>
  <si>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</si>
  <si>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</si>
  <si>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</si>
  <si>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</si>
  <si>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</si>
  <si>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</si>
  <si>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</si>
  <si>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</si>
  <si>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</si>
  <si>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</si>
  <si>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</si>
  <si>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</si>
  <si>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</si>
  <si>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</si>
  <si>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</si>
  <si>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</si>
  <si>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</si>
  <si>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</si>
  <si>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</si>
  <si>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</si>
  <si>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</si>
  <si>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</si>
  <si>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</si>
  <si>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</si>
  <si>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</si>
  <si>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</si>
  <si>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</si>
  <si>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</si>
  <si>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</si>
  <si>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</si>
  <si>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</si>
  <si>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</si>
  <si>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</si>
  <si>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</si>
  <si>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</si>
  <si>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</si>
  <si>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</si>
  <si>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</si>
  <si>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</si>
  <si>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</si>
  <si>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</si>
  <si>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</si>
  <si>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</si>
  <si>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</si>
  <si>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</si>
  <si>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</si>
  <si>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</si>
  <si>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</si>
  <si>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</si>
  <si>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</si>
  <si>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</si>
  <si>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</si>
  <si>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</si>
  <si>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</si>
  <si>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</si>
  <si>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</si>
  <si>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</si>
  <si>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</si>
  <si>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</si>
  <si>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</si>
  <si>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</si>
  <si>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</si>
  <si>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</si>
  <si>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</si>
  <si>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</si>
  <si>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</si>
  <si>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</si>
  <si>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</si>
  <si>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</si>
  <si>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</si>
  <si>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</si>
  <si>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</si>
  <si>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</si>
  <si>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</si>
  <si>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</si>
  <si>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</si>
  <si>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</si>
  <si>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</si>
  <si>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</si>
  <si>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</si>
  <si>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</si>
  <si>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</si>
  <si>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</si>
  <si>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</si>
  <si>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</si>
  <si>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</si>
  <si>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</si>
  <si>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</si>
  <si>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</si>
  <si>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</si>
  <si>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</si>
  <si>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</si>
  <si>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</si>
  <si>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</si>
  <si>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</si>
  <si>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</si>
  <si>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</si>
  <si>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</si>
  <si>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</si>
  <si>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</si>
  <si>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</si>
  <si>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</si>
  <si>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</si>
  <si>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</si>
  <si>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</si>
  <si>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</si>
  <si>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</si>
  <si>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</si>
  <si>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</si>
  <si>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</si>
  <si>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</si>
  <si>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</si>
  <si>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</si>
  <si>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</si>
  <si>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</si>
  <si>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</si>
  <si>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</si>
  <si>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</si>
  <si>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</si>
  <si>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</si>
  <si>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</si>
  <si>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</si>
  <si>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</si>
  <si>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</si>
  <si>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</si>
  <si>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</si>
  <si>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</si>
  <si>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</si>
  <si>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</si>
  <si>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</si>
  <si>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</si>
  <si>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</si>
  <si>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</si>
  <si>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</si>
  <si>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</si>
  <si>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</si>
  <si>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</si>
  <si>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</si>
  <si>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</si>
  <si>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</si>
  <si>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</si>
  <si>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</si>
  <si>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</si>
  <si>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</si>
  <si>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</si>
  <si>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</si>
  <si>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</si>
  <si>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</si>
  <si>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</si>
  <si>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</si>
  <si>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</si>
  <si>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</si>
  <si>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</si>
  <si>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</si>
  <si>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</si>
  <si>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</si>
  <si>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</si>
  <si>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</si>
  <si>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</si>
  <si>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</si>
  <si>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</si>
  <si>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</si>
  <si>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</si>
  <si>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</si>
  <si>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</si>
  <si>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</si>
  <si>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</si>
  <si>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</si>
  <si>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</si>
  <si>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</si>
  <si>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</si>
  <si>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</si>
  <si>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</si>
  <si>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</si>
  <si>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</si>
  <si>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</si>
  <si>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</si>
  <si>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</si>
  <si>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</si>
  <si>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</si>
  <si>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</si>
  <si>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</si>
  <si>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</si>
  <si>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</si>
  <si>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</si>
  <si>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</si>
  <si>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</si>
  <si>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</si>
  <si>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</si>
  <si>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</si>
  <si>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</si>
  <si>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</si>
  <si>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</si>
  <si>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</si>
  <si>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</si>
  <si>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</si>
  <si>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</si>
  <si>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</si>
  <si>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</si>
  <si>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</si>
  <si>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</si>
  <si>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</si>
  <si>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</si>
  <si>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</si>
  <si>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</si>
  <si>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</si>
  <si>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</si>
  <si>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</si>
  <si>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</si>
  <si>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</si>
  <si>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</si>
  <si>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</si>
  <si>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</si>
  <si>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</si>
  <si>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</si>
  <si>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</si>
  <si>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</si>
  <si>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</si>
  <si>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</si>
  <si>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</si>
  <si>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</si>
  <si>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</si>
  <si>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</si>
  <si>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</si>
  <si>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</si>
  <si>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</si>
  <si>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</si>
  <si>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</si>
  <si>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</si>
  <si>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</si>
  <si>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</si>
  <si>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</si>
  <si>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</si>
  <si>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</si>
  <si>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</si>
  <si>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</si>
  <si>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</si>
  <si>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</si>
  <si>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</si>
  <si>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</si>
  <si>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</si>
  <si>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</si>
  <si>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</si>
  <si>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</si>
  <si>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</si>
  <si>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</si>
  <si>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</si>
  <si>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</si>
  <si>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</si>
  <si>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</si>
  <si>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</si>
  <si>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</si>
  <si>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</si>
  <si>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</si>
  <si>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</si>
  <si>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</si>
  <si>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</si>
  <si>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</si>
  <si>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</si>
  <si>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</si>
  <si>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</si>
  <si>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</si>
  <si>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</si>
  <si>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</si>
  <si>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</si>
  <si>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</si>
  <si>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</si>
  <si>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</si>
  <si>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</si>
  <si>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</si>
  <si>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</si>
  <si>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</si>
  <si>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</si>
  <si>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</si>
  <si>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</si>
  <si>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</si>
  <si>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</si>
  <si>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</si>
  <si>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</si>
  <si>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</si>
  <si>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</si>
  <si>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</si>
  <si>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</si>
  <si>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</si>
  <si>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</si>
  <si>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</si>
  <si>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</si>
  <si>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</si>
  <si>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</si>
  <si>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</si>
  <si>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</si>
  <si>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</si>
  <si>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</si>
  <si>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</si>
  <si>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</si>
  <si>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</si>
  <si>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</si>
  <si>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</si>
  <si>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</si>
  <si>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</si>
  <si>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</si>
  <si>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</si>
  <si>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</si>
  <si>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</si>
  <si>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</si>
  <si>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</si>
  <si>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</si>
  <si>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</si>
  <si>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</si>
  <si>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</si>
  <si>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</si>
  <si>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</si>
  <si>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</si>
  <si>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</si>
  <si>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</si>
  <si>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</si>
  <si>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</si>
  <si>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</si>
  <si>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</si>
  <si>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</si>
  <si>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</si>
  <si>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</si>
  <si>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</si>
  <si>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</si>
  <si>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</si>
  <si>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</si>
  <si>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</si>
  <si>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</si>
  <si>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</si>
  <si>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</si>
  <si>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</si>
  <si>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</si>
  <si>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</si>
  <si>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</si>
  <si>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</si>
  <si>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</si>
  <si>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</si>
  <si>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</si>
  <si>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</si>
  <si>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</si>
  <si>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</si>
  <si>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</si>
  <si>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</si>
  <si>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</si>
  <si>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</si>
  <si>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</si>
  <si>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</si>
  <si>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</si>
  <si>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</si>
  <si>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</si>
  <si>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</si>
  <si>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</si>
  <si>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</si>
  <si>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</si>
  <si>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</si>
  <si>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</si>
  <si>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</si>
  <si>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</si>
  <si>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</si>
  <si>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</si>
  <si>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</si>
  <si>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</si>
  <si>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</si>
  <si>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</si>
  <si>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</si>
  <si>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</si>
  <si>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</si>
  <si>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</si>
  <si>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</si>
  <si>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</si>
  <si>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</si>
  <si>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</si>
  <si>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</si>
  <si>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</si>
  <si>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</si>
  <si>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</si>
  <si>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</si>
  <si>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</si>
  <si>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</si>
  <si>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</si>
  <si>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</si>
  <si>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</si>
  <si>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</si>
  <si>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</si>
  <si>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</si>
  <si>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</si>
  <si>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</si>
  <si>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</si>
  <si>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</si>
  <si>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</si>
  <si>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</si>
  <si>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</si>
  <si>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</si>
  <si>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</si>
  <si>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</si>
  <si>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</si>
  <si>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</si>
  <si>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</si>
  <si>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</si>
  <si>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</si>
  <si>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</si>
  <si>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</si>
  <si>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</si>
  <si>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</si>
  <si>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</si>
  <si>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</si>
  <si>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</si>
  <si>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</si>
  <si>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</si>
  <si>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</si>
  <si>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</si>
  <si>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</si>
  <si>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</si>
  <si>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</si>
  <si>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</si>
  <si>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</si>
  <si>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</si>
  <si>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</si>
  <si>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</si>
  <si>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</si>
  <si>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</si>
  <si>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</si>
  <si>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</si>
  <si>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</si>
  <si>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</si>
  <si>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</si>
  <si>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</si>
  <si>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</si>
  <si>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</si>
  <si>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</si>
  <si>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</si>
  <si>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</si>
  <si>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</si>
  <si>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</si>
  <si>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</si>
  <si>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</si>
  <si>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</si>
  <si>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</si>
  <si>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</si>
  <si>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</si>
  <si>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</si>
  <si>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</si>
  <si>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</si>
  <si>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</si>
  <si>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</si>
  <si>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</si>
  <si>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</si>
  <si>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</si>
  <si>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</si>
  <si>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</si>
  <si>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</si>
  <si>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</si>
  <si>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</si>
  <si>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</si>
  <si>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</si>
  <si>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</si>
  <si>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</si>
  <si>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</si>
  <si>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</si>
  <si>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</si>
  <si>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</si>
  <si>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</si>
  <si>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</si>
  <si>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</si>
  <si>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</si>
  <si>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</si>
  <si>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</si>
  <si>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</si>
  <si>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</si>
  <si>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</si>
  <si>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</si>
  <si>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</si>
  <si>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</si>
  <si>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</si>
  <si>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</si>
  <si>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</si>
  <si>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</si>
  <si>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</si>
  <si>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</si>
  <si>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</si>
  <si>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</si>
  <si>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</si>
  <si>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</si>
  <si>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</si>
  <si>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</si>
  <si>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</si>
  <si>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</si>
  <si>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</si>
  <si>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</si>
  <si>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</si>
  <si>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</si>
  <si>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</si>
  <si>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</si>
  <si>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</si>
  <si>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</si>
  <si>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</si>
  <si>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</si>
  <si>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</si>
  <si>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</si>
  <si>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</si>
  <si>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</si>
  <si>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</si>
  <si>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</si>
  <si>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</si>
  <si>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</si>
  <si>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</si>
  <si>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</si>
  <si>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</si>
  <si>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</si>
  <si>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</si>
  <si>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</si>
  <si>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</si>
  <si>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</si>
  <si>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</si>
  <si>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</si>
  <si>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</si>
  <si>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</si>
  <si>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</si>
  <si>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</si>
  <si>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</si>
  <si>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</si>
  <si>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</si>
  <si>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</si>
  <si>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</si>
  <si>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</si>
  <si>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</si>
  <si>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</si>
  <si>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</si>
  <si>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</si>
  <si>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</si>
  <si>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</si>
  <si>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</si>
  <si>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</si>
  <si>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</si>
  <si>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</si>
  <si>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</si>
  <si>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</si>
  <si>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</si>
  <si>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</si>
  <si>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</si>
  <si>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</si>
  <si>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</si>
  <si>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</si>
  <si>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</si>
  <si>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</si>
  <si>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</si>
  <si>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</si>
  <si>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</si>
  <si>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</si>
  <si>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</si>
  <si>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</si>
  <si>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</si>
  <si>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</si>
  <si>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</si>
  <si>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</si>
  <si>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</si>
  <si>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</si>
  <si>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</si>
  <si>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</si>
  <si>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</si>
  <si>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</si>
  <si>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</si>
  <si>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</si>
  <si>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</si>
  <si>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</si>
  <si>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</si>
  <si>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</si>
  <si>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</si>
  <si>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</si>
  <si>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</si>
  <si>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</si>
  <si>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</si>
  <si>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</si>
  <si>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</si>
  <si>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</si>
  <si>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</si>
  <si>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</si>
  <si>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</si>
  <si>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</si>
  <si>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</si>
  <si>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</si>
  <si>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</si>
  <si>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</si>
  <si>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</si>
  <si>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</si>
  <si>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</si>
  <si>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</si>
  <si>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</si>
  <si>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</si>
  <si>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</si>
  <si>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</si>
  <si>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</si>
  <si>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</si>
  <si>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</si>
  <si>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</si>
  <si>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</si>
  <si>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</si>
  <si>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</si>
  <si>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</si>
  <si>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</si>
  <si>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</si>
  <si>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</si>
  <si>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</si>
  <si>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</si>
  <si>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</si>
  <si>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</si>
  <si>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</si>
  <si>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</si>
  <si>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</si>
  <si>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</si>
  <si>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</si>
  <si>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</si>
  <si>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</si>
  <si>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</si>
  <si>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</si>
  <si>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</si>
  <si>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</si>
  <si>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</si>
  <si>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</si>
  <si>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</si>
  <si>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</si>
  <si>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</si>
  <si>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</si>
  <si>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</si>
  <si>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</si>
  <si>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</si>
  <si>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</si>
  <si>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</si>
  <si>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</si>
  <si>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</si>
  <si>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</si>
  <si>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</si>
  <si>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</si>
  <si>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</si>
  <si>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</si>
  <si>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</si>
  <si>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</si>
  <si>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</si>
  <si>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</si>
  <si>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</si>
  <si>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</si>
  <si>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</si>
  <si>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</si>
  <si>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</si>
  <si>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</si>
  <si>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</si>
  <si>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</si>
  <si>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</si>
  <si>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</si>
  <si>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</si>
  <si>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</si>
  <si>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</si>
  <si>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</si>
  <si>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</si>
  <si>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</si>
  <si>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</si>
  <si>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</si>
  <si>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</si>
  <si>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</si>
  <si>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</si>
  <si>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</si>
  <si>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</si>
  <si>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</si>
  <si>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</si>
  <si>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</si>
  <si>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</si>
  <si>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</si>
  <si>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</si>
  <si>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</si>
  <si>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</si>
  <si>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</si>
  <si>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</si>
  <si>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</si>
  <si>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</si>
  <si>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</si>
  <si>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</si>
  <si>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</si>
  <si>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</si>
  <si>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</si>
  <si>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</si>
  <si>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</si>
  <si>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</si>
  <si>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</si>
  <si>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</si>
  <si>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</si>
  <si>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</si>
  <si>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</si>
  <si>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</si>
  <si>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</si>
  <si>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</si>
  <si>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</si>
  <si>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</si>
  <si>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</si>
  <si>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</si>
  <si>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</si>
  <si>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</si>
  <si>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</si>
  <si>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</si>
  <si>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</si>
  <si>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</si>
  <si>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</si>
  <si>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</si>
  <si>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</si>
  <si>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</si>
  <si>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</si>
  <si>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</si>
  <si>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</si>
  <si>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</si>
  <si>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</si>
  <si>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</si>
  <si>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</si>
  <si>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</si>
  <si>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</si>
  <si>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</si>
  <si>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</si>
  <si>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</si>
  <si>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</si>
  <si>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</si>
  <si>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</si>
  <si>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</si>
  <si>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</si>
  <si>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</si>
  <si>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</si>
  <si>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</si>
  <si>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</si>
  <si>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</si>
  <si>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</si>
  <si>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</si>
  <si>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</si>
  <si>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</si>
  <si>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</si>
  <si>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</si>
  <si>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</si>
  <si>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</si>
  <si>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</si>
  <si>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</si>
  <si>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</si>
  <si>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</si>
  <si>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</si>
  <si>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</si>
  <si>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</si>
  <si>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</si>
  <si>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</si>
  <si>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</si>
  <si>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</si>
  <si>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</si>
  <si>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</si>
  <si>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</si>
  <si>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</si>
  <si>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</si>
  <si>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</si>
  <si>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</si>
  <si>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</si>
  <si>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</si>
  <si>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</si>
  <si>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</si>
  <si>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</si>
  <si>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</si>
  <si>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</si>
  <si>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</si>
  <si>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</si>
  <si>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</si>
  <si>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</si>
  <si>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</si>
  <si>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</si>
  <si>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</si>
  <si>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</si>
  <si>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</si>
  <si>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</si>
  <si>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</si>
  <si>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</si>
  <si>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</si>
  <si>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</si>
  <si>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</si>
  <si>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</si>
  <si>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</si>
  <si>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</si>
  <si>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</si>
  <si>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</si>
  <si>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</si>
  <si>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</si>
  <si>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</si>
  <si>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</si>
  <si>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</si>
  <si>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</si>
  <si>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</si>
  <si>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</si>
  <si>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</si>
  <si>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</si>
  <si>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</si>
  <si>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</si>
  <si>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</si>
  <si>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</si>
  <si>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</si>
  <si>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</si>
  <si>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</si>
  <si>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</si>
  <si>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</si>
  <si>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</si>
  <si>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</si>
  <si>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</si>
  <si>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</si>
  <si>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</si>
  <si>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</si>
  <si>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</si>
  <si>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</si>
  <si>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</si>
  <si>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</si>
  <si>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</si>
  <si>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</si>
  <si>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</si>
  <si>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</si>
  <si>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</si>
  <si>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</si>
  <si>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</si>
  <si>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</si>
  <si>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</si>
  <si>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</si>
  <si>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</si>
  <si>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</si>
  <si>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</si>
  <si>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</si>
  <si>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</si>
  <si>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</si>
  <si>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</si>
  <si>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</si>
  <si>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</si>
  <si>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</si>
  <si>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</si>
  <si>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</si>
  <si>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</si>
  <si>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</si>
  <si>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</si>
  <si>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</si>
  <si>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</si>
  <si>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</si>
  <si>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</si>
  <si>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</si>
  <si>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</si>
  <si>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</si>
  <si>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</si>
  <si>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</si>
  <si>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</si>
  <si>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</si>
  <si>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</si>
  <si>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</si>
  <si>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</si>
  <si>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</si>
  <si>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</si>
  <si>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</si>
  <si>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</si>
  <si>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</si>
  <si>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</si>
  <si>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</si>
  <si>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</si>
  <si>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</si>
  <si>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</si>
  <si>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</si>
  <si>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</si>
  <si>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</si>
  <si>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</si>
  <si>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</si>
  <si>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</si>
  <si>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</si>
  <si>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</si>
  <si>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</si>
  <si>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</si>
  <si>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</si>
  <si>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</si>
  <si>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</si>
  <si>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</si>
  <si>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</si>
  <si>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</si>
  <si>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</si>
  <si>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</si>
  <si>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</si>
  <si>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</si>
  <si>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</si>
  <si>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</si>
  <si>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</si>
  <si>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</si>
  <si>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</si>
  <si>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</si>
  <si>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</si>
  <si>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</si>
  <si>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</si>
  <si>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</si>
  <si>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</si>
  <si>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</si>
  <si>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</si>
  <si>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</si>
  <si>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</si>
  <si>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</si>
  <si>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</si>
  <si>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</si>
  <si>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</si>
  <si>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</si>
  <si>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</si>
  <si>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</si>
  <si>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</si>
  <si>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</si>
  <si>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</si>
  <si>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</si>
  <si>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</si>
  <si>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</si>
  <si>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</si>
  <si>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</si>
  <si>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</si>
  <si>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</si>
  <si>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</si>
  <si>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</si>
  <si>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</si>
  <si>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</si>
  <si>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</si>
  <si>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</si>
  <si>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</si>
  <si>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</si>
  <si>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</si>
  <si>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</si>
  <si>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</si>
  <si>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</si>
  <si>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</si>
  <si>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</si>
  <si>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</si>
  <si>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</si>
  <si>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</si>
  <si>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</si>
  <si>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</si>
  <si>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</si>
  <si>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</si>
  <si>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</si>
  <si>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</si>
  <si>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</si>
  <si>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</si>
  <si>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</si>
  <si>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</si>
  <si>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</si>
  <si>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</si>
  <si>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</si>
  <si>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</si>
  <si>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</si>
  <si>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</si>
  <si>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</si>
  <si>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</si>
  <si>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</si>
  <si>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</si>
  <si>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</si>
  <si>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</si>
  <si>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</si>
  <si>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</si>
  <si>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</si>
  <si>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</si>
  <si>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</si>
  <si>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</si>
  <si>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</si>
  <si>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</si>
  <si>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</si>
  <si>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</si>
  <si>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</si>
  <si>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</si>
  <si>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</si>
  <si>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</si>
  <si>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</si>
  <si>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</si>
  <si>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</si>
  <si>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</si>
  <si>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</si>
  <si>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</si>
  <si>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</si>
  <si>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</si>
  <si>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</si>
  <si>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</si>
  <si>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</si>
  <si>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</si>
  <si>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</si>
  <si>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</si>
  <si>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</si>
  <si>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</si>
  <si>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</si>
  <si>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</si>
  <si>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</si>
  <si>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</si>
  <si>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</si>
  <si>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</si>
  <si>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</si>
  <si>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</si>
  <si>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</si>
  <si>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</si>
  <si>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</si>
  <si>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</si>
  <si>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</si>
  <si>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</si>
  <si>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</si>
  <si>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</si>
  <si>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</si>
  <si>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</si>
  <si>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</si>
  <si>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</si>
  <si>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</si>
  <si>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</si>
  <si>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</si>
  <si>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</si>
  <si>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</si>
  <si>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</si>
  <si>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</si>
  <si>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</si>
  <si>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</si>
  <si>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</si>
  <si>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</si>
  <si>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</si>
  <si>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</si>
  <si>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</si>
  <si>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</si>
  <si>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</si>
  <si>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</si>
  <si>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</si>
  <si>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</si>
  <si>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</si>
  <si>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</si>
  <si>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</si>
  <si>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</si>
  <si>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</si>
  <si>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</si>
  <si>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</si>
  <si>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</si>
  <si>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</si>
  <si>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</si>
  <si>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</si>
  <si>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</si>
  <si>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</si>
  <si>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</si>
  <si>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</si>
  <si>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</si>
  <si>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</si>
  <si>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</si>
  <si>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</si>
  <si>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</si>
  <si>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</si>
  <si>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</si>
  <si>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</si>
  <si>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</si>
  <si>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</si>
  <si>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</si>
  <si>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</si>
  <si>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</si>
  <si>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</si>
  <si>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</si>
  <si>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</si>
  <si>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</si>
  <si>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</si>
  <si>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</si>
  <si>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</si>
  <si>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</si>
  <si>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</si>
  <si>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</si>
  <si>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</si>
  <si>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</si>
  <si>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</si>
  <si>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</si>
  <si>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</si>
  <si>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</si>
  <si>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</si>
  <si>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</si>
  <si>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</si>
  <si>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</si>
  <si>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</si>
  <si>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</si>
  <si>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</si>
  <si>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</si>
  <si>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</si>
  <si>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</si>
  <si>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</si>
  <si>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</si>
  <si>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</si>
  <si>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</si>
  <si>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</si>
  <si>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</si>
  <si>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</si>
  <si>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</si>
  <si>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</si>
  <si>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</si>
  <si>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</si>
  <si>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</si>
  <si>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</si>
  <si>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</si>
  <si>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</si>
  <si>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</si>
  <si>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</si>
  <si>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</si>
  <si>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</si>
  <si>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</si>
  <si>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</si>
  <si>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</si>
  <si>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</si>
  <si>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</si>
  <si>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</si>
  <si>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</si>
  <si>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</si>
  <si>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</si>
  <si>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</si>
  <si>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</si>
  <si>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</si>
  <si>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</si>
  <si>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</si>
  <si>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</si>
  <si>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</si>
  <si>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</si>
  <si>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</si>
  <si>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</si>
  <si>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</si>
  <si>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</si>
  <si>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</si>
  <si>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</si>
  <si>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</si>
  <si>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</si>
  <si>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</si>
  <si>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</si>
  <si>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</si>
  <si>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</si>
  <si>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</si>
  <si>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</si>
  <si>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</si>
  <si>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</si>
  <si>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</si>
  <si>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</si>
  <si>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</si>
  <si>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</si>
  <si>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</si>
  <si>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</si>
  <si>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</si>
  <si>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</si>
  <si>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</si>
  <si>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</si>
  <si>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</si>
  <si>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</si>
  <si>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</si>
  <si>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</si>
  <si>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</si>
  <si>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</si>
  <si>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</si>
  <si>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</si>
  <si>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</si>
  <si>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</si>
  <si>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</si>
  <si>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</si>
  <si>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</si>
  <si>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</si>
  <si>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</si>
  <si>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</si>
  <si>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</si>
  <si>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</si>
  <si>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</si>
  <si>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</si>
  <si>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</si>
  <si>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</si>
  <si>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</si>
  <si>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</si>
  <si>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</si>
  <si>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</si>
  <si>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</si>
  <si>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</si>
  <si>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</si>
  <si>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</si>
  <si>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</si>
  <si>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</si>
  <si>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</si>
  <si>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</si>
  <si>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</si>
  <si>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</si>
  <si>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</si>
  <si>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</si>
  <si>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</si>
  <si>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</si>
  <si>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</si>
  <si>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</si>
  <si>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</si>
  <si>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</si>
  <si>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</si>
  <si>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</si>
  <si>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</si>
  <si>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</si>
  <si>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</si>
  <si>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</si>
  <si>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</si>
  <si>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</si>
  <si>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</si>
  <si>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</si>
  <si>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</si>
  <si>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</si>
  <si>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</si>
  <si>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</si>
  <si>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</si>
  <si>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</si>
  <si>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</si>
  <si>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</si>
  <si>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</si>
  <si>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</si>
  <si>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</si>
  <si>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</si>
  <si>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</si>
  <si>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</si>
  <si>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</si>
  <si>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</si>
  <si>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</si>
  <si>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</si>
  <si>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</si>
  <si>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</si>
  <si>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</si>
  <si>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</si>
  <si>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</si>
  <si>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</si>
  <si>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</si>
  <si>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</si>
  <si>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</si>
  <si>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</si>
  <si>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</si>
  <si>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</si>
  <si>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</si>
  <si>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</si>
  <si>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</si>
  <si>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</si>
  <si>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</si>
  <si>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</si>
  <si>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</si>
  <si>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</si>
  <si>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</si>
  <si>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</si>
  <si>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</si>
  <si>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</si>
  <si>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</si>
  <si>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</si>
  <si>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</si>
  <si>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</si>
  <si>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</si>
  <si>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</si>
  <si>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</si>
  <si>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</si>
  <si>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</si>
  <si>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</si>
  <si>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</si>
  <si>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</si>
  <si>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</si>
  <si>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</si>
  <si>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</si>
  <si>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</si>
  <si>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</si>
  <si>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</si>
  <si>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</si>
  <si>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</si>
  <si>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</si>
  <si>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</si>
  <si>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</si>
  <si>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</si>
  <si>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</si>
  <si>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</si>
  <si>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</si>
  <si>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</si>
  <si>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</si>
  <si>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</si>
  <si>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</si>
  <si>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</si>
  <si>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</si>
  <si>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</si>
  <si>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</si>
  <si>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</si>
  <si>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</si>
  <si>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</si>
  <si>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</si>
  <si>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</si>
  <si>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</si>
  <si>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</si>
  <si>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</si>
  <si>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</si>
  <si>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</si>
  <si>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</si>
  <si>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</si>
  <si>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</si>
  <si>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</si>
  <si>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</si>
  <si>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</si>
  <si>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</si>
  <si>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</si>
  <si>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</si>
  <si>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</si>
  <si>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</si>
  <si>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</si>
  <si>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</si>
  <si>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</si>
  <si>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</si>
  <si>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</si>
  <si>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</si>
  <si>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</si>
  <si>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</si>
  <si>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</si>
  <si>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</si>
  <si>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</si>
  <si>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</si>
  <si>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</si>
  <si>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</si>
  <si>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</si>
  <si>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</si>
  <si>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</si>
  <si>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</si>
  <si>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</si>
  <si>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</si>
  <si>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</si>
  <si>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</si>
  <si>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</si>
  <si>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</si>
  <si>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</si>
  <si>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</si>
  <si>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</si>
  <si>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</si>
  <si>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</si>
  <si>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</si>
  <si>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</si>
  <si>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</si>
  <si>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</si>
  <si>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</si>
  <si>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</si>
  <si>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</si>
  <si>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</si>
  <si>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</si>
  <si>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</si>
  <si>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</si>
  <si>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</si>
  <si>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</si>
  <si>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</si>
  <si>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</si>
  <si>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</si>
  <si>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</si>
  <si>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</si>
  <si>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</si>
  <si>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</si>
  <si>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</si>
  <si>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</si>
  <si>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</si>
  <si>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</si>
  <si>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</si>
  <si>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</si>
  <si>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</si>
  <si>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</si>
  <si>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</si>
  <si>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</si>
  <si>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</si>
  <si>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</si>
  <si>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</si>
  <si>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</si>
  <si>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</si>
  <si>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</si>
  <si>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</si>
  <si>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</si>
  <si>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</si>
  <si>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</si>
  <si>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</si>
  <si>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</si>
  <si>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</si>
  <si>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</si>
  <si>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</si>
  <si>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</si>
  <si>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</si>
  <si>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</si>
  <si>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</si>
  <si>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</si>
  <si>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</si>
  <si>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</si>
  <si>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</si>
  <si>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</si>
  <si>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</si>
  <si>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</si>
  <si>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</si>
  <si>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</si>
  <si>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</si>
  <si>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</si>
  <si>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</si>
  <si>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</si>
  <si>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</si>
  <si>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</si>
  <si>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</si>
  <si>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</si>
  <si>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</si>
  <si>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</si>
  <si>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</si>
  <si>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</si>
  <si>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</si>
  <si>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</si>
  <si>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</si>
  <si>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</si>
  <si>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</si>
  <si>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</si>
  <si>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</si>
  <si>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</si>
  <si>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</si>
  <si>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</si>
  <si>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</si>
  <si>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</si>
  <si>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</si>
  <si>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</si>
  <si>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</si>
  <si>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</si>
  <si>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</si>
  <si>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</si>
  <si>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</si>
  <si>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</si>
  <si>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</si>
  <si>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</si>
  <si>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</si>
  <si>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</si>
  <si>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</si>
  <si>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</si>
  <si>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</si>
  <si>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</si>
  <si>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</si>
  <si>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</si>
  <si>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</si>
  <si>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</si>
  <si>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</si>
  <si>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</si>
  <si>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</si>
  <si>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</si>
  <si>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</si>
  <si>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</si>
  <si>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</si>
  <si>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</si>
  <si>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</si>
  <si>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</si>
  <si>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</si>
  <si>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</si>
  <si>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</si>
  <si>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</si>
  <si>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</si>
  <si>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</si>
  <si>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</si>
  <si>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</si>
  <si>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</si>
  <si>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</si>
  <si>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</si>
  <si>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</si>
  <si>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</si>
  <si>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</si>
  <si>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</si>
  <si>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</si>
  <si>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</si>
  <si>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</si>
  <si>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</si>
  <si>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</si>
  <si>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</si>
  <si>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</si>
  <si>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</si>
  <si>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</si>
  <si>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</si>
  <si>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</si>
  <si>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</si>
  <si>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</si>
  <si>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</si>
  <si>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</si>
  <si>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</si>
  <si>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</si>
  <si>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</si>
  <si>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</si>
  <si>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</si>
  <si>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</si>
  <si>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</si>
  <si>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</si>
  <si>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</si>
  <si>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</si>
  <si>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</si>
  <si>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</si>
  <si>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</si>
  <si>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</si>
  <si>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</si>
  <si>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</si>
  <si>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</si>
  <si>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</si>
  <si>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</si>
  <si>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</si>
  <si>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</si>
  <si>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</si>
  <si>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</si>
  <si>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</si>
  <si>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</si>
  <si>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</si>
  <si>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</si>
  <si>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</si>
  <si>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</si>
  <si>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</si>
  <si>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</si>
  <si>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</si>
  <si>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</si>
  <si>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</si>
  <si>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</si>
  <si>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</si>
  <si>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</si>
  <si>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</si>
  <si>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</si>
  <si>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</si>
  <si>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</si>
  <si>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</si>
  <si>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</si>
  <si>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</si>
  <si>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</si>
  <si>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</si>
  <si>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</si>
  <si>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</si>
  <si>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</si>
  <si>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</si>
  <si>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</si>
  <si>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</si>
  <si>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</si>
  <si>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</si>
  <si>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</si>
  <si>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</si>
  <si>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</si>
  <si>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</si>
  <si>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</si>
  <si>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</si>
  <si>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</si>
  <si>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</si>
  <si>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</si>
  <si>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</si>
  <si>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</si>
  <si>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</si>
  <si>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</si>
  <si>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</si>
  <si>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</si>
  <si>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</si>
  <si>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</si>
  <si>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</si>
  <si>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</si>
  <si>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</si>
  <si>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</si>
  <si>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</si>
  <si>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</si>
  <si>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</si>
  <si>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</si>
  <si>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</si>
  <si>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</si>
  <si>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</si>
  <si>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</si>
  <si>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</si>
  <si>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</si>
  <si>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</si>
  <si>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</si>
  <si>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</si>
  <si>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</si>
  <si>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</si>
  <si>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</si>
  <si>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</si>
  <si>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</si>
  <si>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</si>
  <si>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</si>
  <si>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</si>
  <si>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</si>
  <si>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</si>
  <si>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</si>
  <si>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</si>
  <si>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</si>
  <si>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</si>
  <si>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</si>
  <si>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</si>
  <si>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</si>
  <si>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</si>
  <si>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</si>
  <si>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</si>
  <si>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</si>
  <si>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</si>
  <si>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</si>
  <si>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</si>
  <si>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</si>
  <si>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</si>
  <si>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</si>
  <si>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</si>
  <si>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</si>
  <si>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</si>
  <si>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</si>
  <si>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</si>
  <si>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</si>
  <si>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</si>
  <si>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</si>
  <si>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</si>
  <si>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</si>
  <si>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</si>
  <si>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</si>
  <si>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</si>
  <si>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</si>
  <si>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</si>
  <si>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</si>
  <si>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</si>
  <si>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</si>
  <si>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</si>
  <si>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</si>
  <si>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</si>
  <si>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</si>
  <si>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</si>
  <si>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</si>
  <si>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</si>
  <si>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</si>
  <si>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</si>
  <si>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</si>
  <si>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</si>
  <si>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</si>
  <si>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</si>
  <si>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</si>
  <si>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</si>
  <si>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</si>
  <si>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</si>
  <si>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</si>
  <si>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</si>
  <si>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</si>
  <si>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</si>
  <si>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</si>
  <si>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</si>
  <si>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</si>
  <si>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</si>
  <si>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</si>
  <si>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</si>
  <si>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</si>
  <si>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</si>
  <si>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</si>
  <si>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</si>
  <si>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</si>
  <si>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</si>
  <si>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</si>
  <si>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</si>
  <si>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</si>
  <si>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</si>
  <si>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</si>
  <si>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</si>
  <si>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</si>
  <si>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</si>
  <si>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</si>
  <si>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</si>
  <si>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</si>
  <si>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</si>
  <si>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</si>
  <si>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</si>
  <si>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</si>
  <si>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</si>
  <si>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</si>
  <si>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</si>
  <si>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</si>
  <si>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</si>
  <si>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</si>
  <si>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</si>
  <si>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</si>
  <si>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</si>
  <si>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</si>
  <si>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</si>
  <si>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</si>
  <si>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</si>
  <si>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</si>
  <si>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</si>
  <si>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</si>
  <si>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</si>
  <si>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</si>
  <si>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</si>
  <si>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</si>
  <si>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</si>
  <si>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</si>
  <si>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</si>
  <si>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</si>
  <si>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</si>
  <si>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</si>
  <si>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</si>
  <si>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</si>
  <si>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</si>
  <si>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</si>
  <si>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</si>
  <si>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</si>
  <si>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</si>
  <si>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</si>
  <si>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</si>
  <si>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</si>
  <si>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</si>
  <si>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</si>
  <si>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</si>
  <si>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</si>
  <si>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</si>
  <si>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</si>
  <si>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</si>
  <si>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</si>
  <si>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</si>
  <si>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</si>
  <si>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</si>
  <si>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</si>
  <si>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</si>
  <si>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</si>
  <si>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</si>
  <si>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</si>
  <si>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</si>
  <si>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</si>
  <si>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</si>
  <si>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</si>
  <si>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</si>
  <si>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</si>
  <si>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</si>
  <si>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</si>
  <si>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</si>
  <si>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</si>
  <si>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</si>
  <si>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</si>
  <si>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</si>
  <si>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</si>
  <si>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</si>
  <si>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</si>
  <si>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</si>
  <si>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</si>
  <si>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</si>
  <si>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</si>
  <si>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</si>
  <si>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</si>
  <si>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</si>
  <si>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</si>
  <si>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</si>
  <si>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</si>
  <si>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</si>
  <si>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</si>
  <si>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</si>
  <si>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</si>
  <si>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</si>
  <si>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</si>
  <si>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</si>
  <si>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</si>
  <si>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</si>
  <si>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</si>
  <si>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</si>
  <si>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</si>
  <si>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</si>
  <si>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</si>
  <si>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</si>
  <si>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</si>
  <si>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</si>
  <si>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</si>
  <si>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</si>
  <si>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</si>
  <si>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</si>
  <si>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</si>
  <si>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</si>
  <si>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</si>
  <si>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</si>
  <si>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</si>
  <si>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</si>
  <si>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</si>
  <si>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</si>
  <si>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</si>
  <si>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</si>
  <si>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</si>
  <si>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</si>
  <si>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</si>
  <si>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</si>
  <si>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</si>
  <si>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</si>
  <si>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</si>
  <si>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</si>
  <si>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</si>
  <si>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</si>
  <si>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</si>
  <si>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</si>
  <si>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</si>
  <si>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</si>
  <si>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</si>
  <si>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</si>
  <si>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</si>
  <si>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</si>
  <si>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</si>
  <si>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</si>
  <si>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</si>
  <si>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</si>
  <si>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</si>
  <si>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</si>
  <si>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</si>
  <si>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</si>
  <si>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</si>
  <si>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</si>
  <si>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</si>
  <si>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</si>
  <si>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</si>
  <si>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</si>
  <si>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</si>
  <si>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</si>
  <si>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</si>
  <si>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</si>
  <si>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</si>
  <si>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</si>
  <si>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</si>
  <si>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</si>
  <si>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</si>
  <si>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</si>
  <si>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</si>
  <si>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</si>
  <si>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</si>
  <si>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</si>
  <si>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</si>
  <si>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</si>
  <si>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</si>
  <si>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</si>
  <si>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</si>
  <si>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</si>
  <si>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</si>
  <si>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</si>
  <si>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</si>
  <si>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</si>
  <si>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</si>
  <si>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</si>
  <si>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</si>
  <si>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</si>
  <si>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</si>
  <si>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</si>
  <si>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</si>
  <si>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</si>
  <si>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</si>
  <si>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</si>
  <si>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</si>
  <si>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</si>
  <si>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</si>
  <si>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</si>
  <si>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</si>
  <si>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</si>
  <si>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</si>
  <si>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</si>
  <si>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</si>
  <si>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</si>
  <si>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</si>
  <si>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</si>
  <si>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</si>
  <si>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</si>
  <si>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</si>
  <si>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</si>
  <si>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</si>
  <si>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</si>
  <si>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</si>
  <si>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</si>
  <si>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</si>
  <si>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</si>
  <si>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</si>
  <si>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</si>
  <si>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</si>
  <si>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</si>
  <si>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</si>
  <si>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</si>
  <si>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</si>
  <si>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</si>
  <si>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</si>
  <si>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</si>
  <si>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</si>
  <si>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</si>
  <si>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</si>
  <si>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</si>
  <si>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</si>
  <si>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</si>
  <si>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</si>
  <si>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</si>
  <si>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</si>
  <si>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</si>
  <si>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</si>
  <si>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</si>
  <si>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</si>
  <si>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</si>
  <si>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</si>
  <si>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</si>
  <si>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</si>
  <si>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</si>
  <si>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</si>
  <si>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</si>
  <si>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</si>
  <si>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</si>
  <si>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</si>
  <si>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</si>
  <si>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</si>
  <si>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</si>
  <si>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</si>
  <si>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</si>
  <si>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</si>
  <si>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</si>
  <si>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</si>
  <si>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</si>
  <si>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</si>
  <si>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</si>
  <si>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</si>
  <si>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</si>
  <si>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</si>
  <si>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</si>
  <si>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</si>
  <si>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</si>
  <si>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</si>
  <si>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</si>
  <si>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</si>
  <si>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</si>
  <si>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</si>
  <si>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</si>
  <si>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</si>
  <si>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</si>
  <si>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</si>
  <si>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</si>
  <si>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</si>
  <si>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</si>
  <si>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</si>
  <si>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</si>
  <si>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</si>
  <si>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</si>
  <si>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</si>
  <si>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</si>
  <si>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</si>
  <si>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</si>
  <si>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</si>
  <si>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</si>
  <si>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</si>
  <si>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</si>
  <si>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</si>
  <si>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</si>
  <si>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</si>
  <si>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</si>
  <si>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</si>
  <si>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</si>
  <si>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</si>
  <si>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</si>
  <si>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</si>
  <si>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</si>
  <si>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</si>
  <si>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</si>
  <si>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</si>
  <si>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</si>
  <si>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</si>
  <si>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</si>
  <si>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</si>
  <si>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</si>
  <si>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</si>
  <si>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</si>
  <si>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</si>
  <si>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</si>
  <si>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</si>
  <si>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</si>
  <si>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</si>
  <si>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</si>
  <si>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</si>
  <si>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</si>
  <si>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</si>
  <si>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</si>
  <si>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</si>
  <si>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</si>
  <si>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</si>
  <si>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</si>
  <si>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</si>
  <si>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</si>
  <si>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</si>
  <si>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</si>
  <si>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</si>
  <si>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</si>
  <si>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</si>
  <si>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</si>
  <si>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</si>
  <si>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</si>
  <si>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</si>
  <si>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</si>
  <si>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</si>
  <si>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</si>
  <si>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</si>
  <si>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</si>
  <si>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</si>
  <si>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</si>
  <si>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</si>
  <si>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</si>
  <si>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</si>
  <si>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</si>
  <si>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</si>
  <si>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</si>
  <si>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</si>
  <si>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</si>
  <si>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</si>
  <si>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</si>
  <si>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</si>
  <si>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</si>
  <si>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</si>
  <si>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</si>
  <si>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</si>
  <si>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</si>
  <si>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</si>
  <si>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</si>
  <si>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</si>
  <si>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</si>
  <si>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</si>
  <si>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</si>
  <si>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</si>
  <si>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</si>
  <si>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</si>
  <si>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</si>
  <si>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</si>
  <si>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</si>
  <si>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</si>
  <si>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</si>
  <si>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</si>
  <si>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</si>
  <si>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</si>
  <si>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</si>
  <si>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Rock Island</t>
  </si>
  <si>
    <t>2101 Sixth Avenue</t>
  </si>
  <si>
    <t>Bob.beckwith@rimsd41.org</t>
  </si>
  <si>
    <t>Bohnsack &amp; Frommelt LLP</t>
  </si>
  <si>
    <t>Sarah Bohnsack</t>
  </si>
  <si>
    <t>1500 River Drive, Suite 200</t>
  </si>
  <si>
    <t>Moline</t>
  </si>
  <si>
    <t>IL</t>
  </si>
  <si>
    <t>563.343.9595</t>
  </si>
  <si>
    <t>Sarah@governmentalservice.com</t>
  </si>
  <si>
    <t>Ms. Tammy Muerhoff</t>
  </si>
  <si>
    <t>Tammy.muerhoff@riroe.com</t>
  </si>
  <si>
    <t>309-736-1111</t>
  </si>
  <si>
    <t>309-736-1127</t>
  </si>
  <si>
    <t>U.S. Department of Agriculture/</t>
  </si>
  <si>
    <t>Pass-Through Illinois State Board of Education</t>
  </si>
  <si>
    <t>Child Nutrition Cluster:</t>
  </si>
  <si>
    <t>18-4220-00</t>
  </si>
  <si>
    <t>N/A</t>
  </si>
  <si>
    <t>19-4220-00</t>
  </si>
  <si>
    <t>School Breakfast Program (M)</t>
  </si>
  <si>
    <t>National School Lunch Program (M)</t>
  </si>
  <si>
    <t>18-4210-00</t>
  </si>
  <si>
    <t>19-4210-00</t>
  </si>
  <si>
    <t>Commodities Program-Noncash (M)</t>
  </si>
  <si>
    <t>19-4250-00</t>
  </si>
  <si>
    <t>Commodities Program-Department of Defense-Noncash (M)</t>
  </si>
  <si>
    <t>Special Milk Program (M)</t>
  </si>
  <si>
    <t>18-4215-00</t>
  </si>
  <si>
    <t>19-4215-00</t>
  </si>
  <si>
    <t>Summer Food Service Program (M)</t>
  </si>
  <si>
    <t>19-4225-00</t>
  </si>
  <si>
    <t>Total Child Nutrition Cluster Program</t>
  </si>
  <si>
    <t>Fresh Fruit and Vegetables</t>
  </si>
  <si>
    <t>19-4240-19</t>
  </si>
  <si>
    <t>19-4240-18</t>
  </si>
  <si>
    <t>Total Fresh Fruit and Vegetables</t>
  </si>
  <si>
    <t>Total U.S. Department of Agriculture/Pass-Through Illinois State Board of Education</t>
  </si>
  <si>
    <t>U.S. Department of Education/</t>
  </si>
  <si>
    <t>Title 1-Low Income</t>
  </si>
  <si>
    <t>84.010A</t>
  </si>
  <si>
    <t>18-4300-00</t>
  </si>
  <si>
    <t>19-4300-00</t>
  </si>
  <si>
    <t>Total Title 1</t>
  </si>
  <si>
    <t>Title 1-School Improvement &amp; Accountability</t>
  </si>
  <si>
    <t>19-4331-19</t>
  </si>
  <si>
    <t>Title III-Immigrant Education Program (IEP)</t>
  </si>
  <si>
    <t>84.365A</t>
  </si>
  <si>
    <t>19-4905-00</t>
  </si>
  <si>
    <t>18-4909-00</t>
  </si>
  <si>
    <t>Title III-Lang Instr for LIPLEP</t>
  </si>
  <si>
    <t>19-4909-00</t>
  </si>
  <si>
    <t>Total Title III</t>
  </si>
  <si>
    <t>Title II-Teacher Quality</t>
  </si>
  <si>
    <t>84.367A</t>
  </si>
  <si>
    <t>18-4932-00</t>
  </si>
  <si>
    <t>19-4932-00</t>
  </si>
  <si>
    <t xml:space="preserve">Total Title II </t>
  </si>
  <si>
    <t>Special Education Cluster,</t>
  </si>
  <si>
    <t>19-4625-XC</t>
  </si>
  <si>
    <t>Special Education I.D.E.A Part B Room &amp; Board (1)</t>
  </si>
  <si>
    <t>School Improvement Grant</t>
  </si>
  <si>
    <t>84.377A</t>
  </si>
  <si>
    <t>18-4339-15</t>
  </si>
  <si>
    <t>19-4339-15</t>
  </si>
  <si>
    <t>Total School Improvement Grant</t>
  </si>
  <si>
    <t>84.287C</t>
  </si>
  <si>
    <t>18-4421-15</t>
  </si>
  <si>
    <t>Title IV-21st Century Community Learning Center (2)</t>
  </si>
  <si>
    <t>19-4421-15</t>
  </si>
  <si>
    <t>Title IV-A Student Support &amp; Academic Enrichment</t>
  </si>
  <si>
    <t>19-4400-00</t>
  </si>
  <si>
    <t>U.S. Department of Education/Pass-Through Blackhawk Area Special Education District</t>
  </si>
  <si>
    <t>Special Education I.D.E.A Part B Flowthrough (1)</t>
  </si>
  <si>
    <t>19-4620-00</t>
  </si>
  <si>
    <t>U.S. Department of Education/Pass-Through Rock Island County Regional Office of Education</t>
  </si>
  <si>
    <t>18-4421-00</t>
  </si>
  <si>
    <t>19-4421-00</t>
  </si>
  <si>
    <t xml:space="preserve">Title IV </t>
  </si>
  <si>
    <t>Total U.S. Department of Education</t>
  </si>
  <si>
    <t>U.S. Departmtne of Health and Human Services</t>
  </si>
  <si>
    <t>Head Start (Direct)</t>
  </si>
  <si>
    <t>05CH10063</t>
  </si>
  <si>
    <t>Pass-Through Illinois Department of Healthcare and Family Services</t>
  </si>
  <si>
    <t>Medicaid Cluster, Medicaid Administrative Outreach</t>
  </si>
  <si>
    <t>19-4991-00</t>
  </si>
  <si>
    <t>Total U.S. Department of Health and Human Services</t>
  </si>
  <si>
    <t>Total Federal Financial Assistance</t>
  </si>
  <si>
    <t>Sum (1)=Total Expenditures CFDA 84.027A $1,364,342</t>
  </si>
  <si>
    <t>Sum (2)=Total Expenditures CFDA 84.287C $283,881</t>
  </si>
  <si>
    <t>None</t>
  </si>
  <si>
    <r>
      <t xml:space="preserve">The accompanying Schedule of Expenditures of Federal Awards includes the federal grant activity of Rock Island-Milan School District #41 and is presented on the GAAP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</si>
  <si>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</si>
  <si>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Child Nutrition Cluster Program:</t>
  </si>
  <si>
    <t>Commodities-Noncash</t>
  </si>
  <si>
    <t>Special Milk</t>
  </si>
  <si>
    <t>(309) 793-5900 x203</t>
  </si>
  <si>
    <t>Robert Beckwith, Chief Financial Officer</t>
  </si>
  <si>
    <t>General Obligation Refunding School Bonds, Series 2018</t>
  </si>
  <si>
    <t>Fund 10 Revenues 1999:  Miscellaneous Local Grants $1,078,372.</t>
  </si>
  <si>
    <t>Fund 10 Revenues 3999:  Healthy Community Investments $99,377, Priority Schools Grant $29,149, PSAT $1,008, State Library Grant $4,459, Raising Student Achievement $1,200.</t>
  </si>
  <si>
    <t xml:space="preserve">Fund 10 Revenues 4999:  School Improvement Grant $640,455, </t>
  </si>
  <si>
    <t>Fund 10 Revenues 4399:  Title 1 School Improvement Grant $24,624.</t>
  </si>
  <si>
    <t>Fund 10 Expenditures 2900:  Lights out for learning program salaries, related benefits and supplies.</t>
  </si>
  <si>
    <t>Fund 10 Expenditures 2190:  Playground monitors salaries</t>
  </si>
  <si>
    <t>The following amounts were expended in the form of non-cash assistance by Rock Island - Milan School District #41 and should be included in the Schedule of Expenditures of Federal Awards:</t>
  </si>
  <si>
    <t>Of the federal expenditures presented in the schedule, Rock Island - Milan School District #41 provided federal awards to subrecipients as follows:</t>
  </si>
  <si>
    <t>NONE</t>
  </si>
  <si>
    <t>Ed-Instructional Staff-Purchased Service</t>
  </si>
  <si>
    <t>Ed-Instruction-Purchased Service</t>
  </si>
  <si>
    <t>10-2200-300</t>
  </si>
  <si>
    <t>Arrowhead Youth Servicces</t>
  </si>
  <si>
    <t>AVID Center</t>
  </si>
  <si>
    <t>Aida Allen-Rotell</t>
  </si>
  <si>
    <t>American Institute for Research</t>
  </si>
  <si>
    <t>William Bintz</t>
  </si>
  <si>
    <t>Crisis Prevention Institute</t>
  </si>
  <si>
    <t>Franklin Covey Co.</t>
  </si>
  <si>
    <t>Comedy Sportz Quad Cities</t>
  </si>
  <si>
    <t>Jimmy Long</t>
  </si>
  <si>
    <t>Loving Guidance, Inc.</t>
  </si>
  <si>
    <t>Anne McNelis, Transitions</t>
  </si>
  <si>
    <t>Partners in Advanced Education Inc.</t>
  </si>
  <si>
    <t>Child Abuse Council</t>
  </si>
  <si>
    <t>Smart Learning Systems</t>
  </si>
  <si>
    <t>Patricia A. Shea</t>
  </si>
  <si>
    <t>Kim Kiehler-Freitag</t>
  </si>
  <si>
    <t>Mandy Stalets</t>
  </si>
  <si>
    <t>Illinois Interactive Report Card</t>
  </si>
  <si>
    <t>Consortim for Educational Change</t>
  </si>
  <si>
    <t>Scott County Agricultural Extension</t>
  </si>
  <si>
    <t>10-1000-300</t>
  </si>
  <si>
    <t>Augustana College</t>
  </si>
  <si>
    <t>Bethany for Children &amp; Families</t>
  </si>
  <si>
    <t>Robb Christensen</t>
  </si>
  <si>
    <t>Family Museum</t>
  </si>
  <si>
    <t>Figge Art Museum</t>
  </si>
  <si>
    <t>Freckle Education</t>
  </si>
  <si>
    <t>Girl Scouts of Eastern Iowa &amp; Western Illinois</t>
  </si>
  <si>
    <t xml:space="preserve">10-1000-300 </t>
  </si>
  <si>
    <t>Shawn Holland</t>
  </si>
  <si>
    <t>Howard Health Quarters</t>
  </si>
  <si>
    <t>Mikhayla Hughes</t>
  </si>
  <si>
    <t>QC Dekhockey Inc.</t>
  </si>
  <si>
    <t>Putnam Museum</t>
  </si>
  <si>
    <t>Quad City Xtreme Booster Club</t>
  </si>
  <si>
    <t>Quad City Arts</t>
  </si>
  <si>
    <t>Quad City Gymnastics Academy Inc</t>
  </si>
  <si>
    <t>Quad City Family Entertainment Center</t>
  </si>
  <si>
    <t>Rock Island Parks and Recreation Dept.</t>
  </si>
  <si>
    <t>River Music Experience</t>
  </si>
  <si>
    <t>Skate City QCA LLC</t>
  </si>
  <si>
    <t>Springforward Learning Center</t>
  </si>
  <si>
    <t>Mystery Science</t>
  </si>
  <si>
    <t>Xerox Corporation</t>
  </si>
  <si>
    <t>Martin Luther King Center</t>
  </si>
  <si>
    <t>Shred-it USA</t>
  </si>
  <si>
    <t>Project Lead the Way Inc.</t>
  </si>
  <si>
    <t>Taxslayer Center</t>
  </si>
  <si>
    <t>Iowa Jobs for American Graduates</t>
  </si>
  <si>
    <t>Essential Elements LLC</t>
  </si>
  <si>
    <t>Superior Simulator Service</t>
  </si>
  <si>
    <t>Ryan Ohr</t>
  </si>
  <si>
    <t>Kelley Bishop</t>
  </si>
  <si>
    <t>City of Rock Island, Public Library</t>
  </si>
  <si>
    <t>Phillips Associates LLC</t>
  </si>
  <si>
    <t>Ed-Community-Purchased Service</t>
  </si>
  <si>
    <t>10-3000-300</t>
  </si>
  <si>
    <t>Diane Baker</t>
  </si>
  <si>
    <t>City of Rock Island</t>
  </si>
  <si>
    <t>Johannes Bus Service</t>
  </si>
  <si>
    <t>Signs Now Inc</t>
  </si>
  <si>
    <t>Arrowhead Ranch</t>
  </si>
  <si>
    <t>Ed-Pupil Transportation-Purchased Service</t>
  </si>
  <si>
    <t>10-2550-300</t>
  </si>
  <si>
    <t>Tri-State Travel</t>
  </si>
  <si>
    <t>CIT Charters Inc</t>
  </si>
  <si>
    <t>Durham School Services</t>
  </si>
  <si>
    <t>Ed-General Admin-Purchased Service</t>
  </si>
  <si>
    <t>10-2300-300</t>
  </si>
  <si>
    <t>Bohnsack &amp; Frommelt, LLP</t>
  </si>
  <si>
    <t>Whatever It Takes</t>
  </si>
  <si>
    <t>Ed-Internal Services-Purchased Service</t>
  </si>
  <si>
    <t>10-2570-300</t>
  </si>
  <si>
    <t>Office Machine Consultants</t>
  </si>
  <si>
    <t>Ed-Staff Services-Purchased Service</t>
  </si>
  <si>
    <t>10-2640-300</t>
  </si>
  <si>
    <t>Unity Point Health-Trinity Medical Center</t>
  </si>
  <si>
    <t>Firm Systems</t>
  </si>
  <si>
    <t>Background Investigation Bureau LLC</t>
  </si>
  <si>
    <t>Ed-Information Services-Purchased Service</t>
  </si>
  <si>
    <t>10-2660-300</t>
  </si>
  <si>
    <t>E2E Exchange</t>
  </si>
  <si>
    <t>Mainstream Computer Services</t>
  </si>
  <si>
    <t>Hughes Network Technologies</t>
  </si>
  <si>
    <t>Illinois Department of Central Management</t>
  </si>
  <si>
    <t>Humanex Ventures</t>
  </si>
  <si>
    <t>O&amp;M-Oper. &amp; Maint. Plant Services-Purchased Service</t>
  </si>
  <si>
    <t>20-2540-300</t>
  </si>
  <si>
    <t>Thymet Pest Control</t>
  </si>
  <si>
    <t>L&amp;L Lawn Maintance</t>
  </si>
  <si>
    <t>AT&amp;T</t>
  </si>
  <si>
    <t>SBC Long Distance LLC</t>
  </si>
  <si>
    <t xml:space="preserve">20-2540-300 </t>
  </si>
  <si>
    <t>Verizon Wireless LLC</t>
  </si>
  <si>
    <t>Republic Services of Bettendorf</t>
  </si>
  <si>
    <t>Johnson Controls Inc</t>
  </si>
  <si>
    <t>Per Mar Alarm Systems</t>
  </si>
  <si>
    <t>Getz Fire Equipment Company</t>
  </si>
  <si>
    <t>Kone Elevators Inc</t>
  </si>
  <si>
    <t>The Waldinger Corporation</t>
  </si>
  <si>
    <t>Trans-Instruction-Purchased Service</t>
  </si>
  <si>
    <t>40-1000-300</t>
  </si>
  <si>
    <t>Act II Transportation Inc</t>
  </si>
  <si>
    <t>40-2550-300</t>
  </si>
  <si>
    <t>Trans-Pupil Transportation-Pupil Service</t>
  </si>
  <si>
    <t>Illinois School for the Deaf</t>
  </si>
  <si>
    <t>Ed-Instruction-Other</t>
  </si>
  <si>
    <t>10-1000-400</t>
  </si>
  <si>
    <t>Holiday Inn Rock Island</t>
  </si>
  <si>
    <t>10-3700-300</t>
  </si>
  <si>
    <t>Purpose Coaching</t>
  </si>
  <si>
    <t>Samuel McCullum</t>
  </si>
  <si>
    <t>Paradigm</t>
  </si>
  <si>
    <t>Pyramid Model Consortium</t>
  </si>
  <si>
    <t>McPherson and Jacobson LLC</t>
  </si>
  <si>
    <t>Frontline Education</t>
  </si>
  <si>
    <t>Maria Grant</t>
  </si>
  <si>
    <t>Carmine Draude</t>
  </si>
  <si>
    <t>David Schriefer</t>
  </si>
  <si>
    <t>Stedi LLC</t>
  </si>
  <si>
    <t>TruGreen &amp; Action Pest Control</t>
  </si>
  <si>
    <t>WQPT Quad Cities Public TV</t>
  </si>
  <si>
    <t>John M. Walsh</t>
  </si>
  <si>
    <t>Hy-Vee - Chrissy Watters</t>
  </si>
  <si>
    <t>Eyes Open Iowa - WISE Program</t>
  </si>
  <si>
    <t>The Youth Alliance</t>
  </si>
  <si>
    <t>YouthHope</t>
  </si>
  <si>
    <t>Follett School Solutions</t>
  </si>
  <si>
    <t>Ray &amp; Associates</t>
  </si>
  <si>
    <t>Ed-Fiscal Service-Purchased Service</t>
  </si>
  <si>
    <t>10-2500-300</t>
  </si>
  <si>
    <t>Forecast 5 Analytics, Inc.</t>
  </si>
  <si>
    <t>Upslope Solutions</t>
  </si>
  <si>
    <t>Payscale</t>
  </si>
  <si>
    <t>Global Compliance</t>
  </si>
  <si>
    <t>Northwest Evaluation</t>
  </si>
  <si>
    <t>Edmentum Holdings</t>
  </si>
  <si>
    <t>JumpCloud Inc.</t>
  </si>
  <si>
    <t>Education Solutions Dev LLC</t>
  </si>
  <si>
    <t>IceWarp Inc</t>
  </si>
  <si>
    <t>Gold Star Learning</t>
  </si>
  <si>
    <t>Langman Construction Inc.</t>
  </si>
  <si>
    <t>Rock Island SD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</si>
</sst>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0" fontId="56" fillId="0" borderId="0" xfId="0" applyFont="1" applyAlignment="1">
      <alignment horizontal="left" wrapText="1"/>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56" fillId="0" borderId="0" xfId="0" applyFont="1" applyAlignment="1">
      <alignment horizontal="left"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CC"/>
      <color rgb="FFFDDFC7"/>
      <color rgb="FFFF9966"/>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3980584</xdr:colOff>
          <xdr:row>3</xdr:row>
          <xdr:rowOff>7793</xdr:rowOff>
        </xdr:from>
        <xdr:to>
          <xdr:col>3</xdr:col>
          <xdr:colOff>300470</xdr:colOff>
          <xdr:row>7</xdr:row>
          <xdr:rowOff>56284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3</xdr:row>
          <xdr:rowOff>7793</xdr:rowOff>
        </xdr:from>
        <xdr:to>
          <xdr:col>5</xdr:col>
          <xdr:colOff>293543</xdr:colOff>
          <xdr:row>7</xdr:row>
          <xdr:rowOff>56284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594880</xdr:colOff>
          <xdr:row>3</xdr:row>
          <xdr:rowOff>7793</xdr:rowOff>
        </xdr:from>
        <xdr:to>
          <xdr:col>7</xdr:col>
          <xdr:colOff>286616</xdr:colOff>
          <xdr:row>7</xdr:row>
          <xdr:rowOff>56284</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587952</xdr:colOff>
          <xdr:row>3</xdr:row>
          <xdr:rowOff>7793</xdr:rowOff>
        </xdr:from>
        <xdr:to>
          <xdr:col>9</xdr:col>
          <xdr:colOff>279689</xdr:colOff>
          <xdr:row>7</xdr:row>
          <xdr:rowOff>56284</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70C0"/>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4" t="s">
        <v>405</v>
      </c>
      <c r="J1" s="1985"/>
      <c r="K1" s="1985"/>
      <c r="L1" s="1985"/>
      <c r="M1" s="1985"/>
      <c r="N1" s="1985"/>
      <c r="O1" s="1985"/>
      <c r="P1" s="1985"/>
      <c r="Q1" s="1985"/>
      <c r="R1" s="1985"/>
      <c r="S1" s="1985"/>
    </row>
    <row r="2" spans="1:28" ht="12" customHeight="1" x14ac:dyDescent="0.2">
      <c r="A2" s="47" t="s">
        <v>1988</v>
      </c>
      <c r="D2" s="48"/>
      <c r="I2" s="1986" t="s">
        <v>979</v>
      </c>
      <c r="J2" s="1985"/>
      <c r="K2" s="1985"/>
      <c r="L2" s="1985"/>
      <c r="M2" s="1985"/>
      <c r="N2" s="1985"/>
      <c r="O2" s="1985"/>
      <c r="P2" s="1985"/>
      <c r="Q2" s="1985"/>
      <c r="R2" s="1985"/>
      <c r="S2" s="1985"/>
    </row>
    <row r="3" spans="1:28" ht="12" customHeight="1" x14ac:dyDescent="0.2">
      <c r="A3" s="155" t="s">
        <v>1940</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2062</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19">
        <v>49081041025</v>
      </c>
      <c r="B13" s="2020"/>
      <c r="C13" s="2020"/>
      <c r="D13" s="2020"/>
      <c r="E13" s="2020"/>
      <c r="F13" s="2020"/>
      <c r="G13" s="2020"/>
      <c r="H13" s="2021"/>
      <c r="I13" s="31"/>
      <c r="J13" s="30"/>
      <c r="K13" s="28"/>
      <c r="L13" s="30"/>
      <c r="M13" s="30"/>
      <c r="N13" s="30"/>
      <c r="O13" s="30"/>
      <c r="P13" s="30"/>
      <c r="Q13" s="30"/>
      <c r="R13" s="30"/>
      <c r="S13" s="30"/>
      <c r="T13" s="2024" t="s">
        <v>2066</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2063</v>
      </c>
      <c r="B15" s="2022"/>
      <c r="C15" s="2022"/>
      <c r="D15" s="2022"/>
      <c r="E15" s="2022"/>
      <c r="F15" s="2022"/>
      <c r="G15" s="2022"/>
      <c r="H15" s="2023"/>
      <c r="T15" s="2028" t="s">
        <v>2067</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2316</v>
      </c>
      <c r="B17" s="1979"/>
      <c r="C17" s="1979"/>
      <c r="D17" s="1979"/>
      <c r="E17" s="1979"/>
      <c r="F17" s="1979"/>
      <c r="G17" s="1979"/>
      <c r="H17" s="2004"/>
      <c r="T17" s="2035" t="s">
        <v>2068</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2064</v>
      </c>
      <c r="B19" s="1964"/>
      <c r="C19" s="1964"/>
      <c r="D19" s="1964"/>
      <c r="E19" s="1964"/>
      <c r="F19" s="1964"/>
      <c r="G19" s="1964"/>
      <c r="H19" s="1944"/>
      <c r="I19" s="30"/>
      <c r="J19" s="99"/>
      <c r="K19" s="40"/>
      <c r="L19" s="38"/>
      <c r="M19" s="112" t="s">
        <v>315</v>
      </c>
      <c r="P19" s="27"/>
      <c r="Q19" s="27"/>
      <c r="R19" s="27"/>
      <c r="S19" s="31"/>
      <c r="T19" s="2018" t="s">
        <v>2069</v>
      </c>
      <c r="U19" s="1943"/>
      <c r="V19" s="1943"/>
      <c r="W19" s="1944"/>
      <c r="X19" s="2033" t="s">
        <v>2070</v>
      </c>
      <c r="Y19" s="2034"/>
      <c r="Z19" s="2031">
        <v>61265</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2063</v>
      </c>
      <c r="B21" s="1943"/>
      <c r="C21" s="1943"/>
      <c r="D21" s="1943"/>
      <c r="E21" s="1943"/>
      <c r="F21" s="1943"/>
      <c r="G21" s="1943"/>
      <c r="H21" s="1944"/>
      <c r="I21" s="1998" t="s">
        <v>678</v>
      </c>
      <c r="J21" s="1993"/>
      <c r="K21" s="1993"/>
      <c r="L21" s="1993"/>
      <c r="M21" s="1993"/>
      <c r="N21" s="1993"/>
      <c r="O21" s="1993"/>
      <c r="P21" s="1993"/>
      <c r="Q21" s="1993"/>
      <c r="R21" s="1993"/>
      <c r="S21" s="1999"/>
      <c r="T21" s="2042" t="s">
        <v>2071</v>
      </c>
      <c r="U21" s="2043"/>
      <c r="V21" s="2043"/>
      <c r="W21" s="2043"/>
      <c r="X21" s="2048"/>
      <c r="Y21" s="2049"/>
      <c r="Z21" s="2049"/>
      <c r="AA21" s="2050"/>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2065</v>
      </c>
      <c r="B23" s="1996"/>
      <c r="C23" s="1996"/>
      <c r="D23" s="1996"/>
      <c r="E23" s="1996"/>
      <c r="F23" s="1996"/>
      <c r="G23" s="1996"/>
      <c r="H23" s="1997"/>
      <c r="T23" s="1978">
        <v>66.004396999999997</v>
      </c>
      <c r="U23" s="2041"/>
      <c r="V23" s="2041"/>
      <c r="W23" s="2041"/>
      <c r="X23" s="2045">
        <v>44530</v>
      </c>
      <c r="Y23" s="2046"/>
      <c r="Z23" s="2046"/>
      <c r="AA23" s="2047"/>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61201</v>
      </c>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c r="B38" s="1979"/>
      <c r="C38" s="1979"/>
      <c r="D38" s="1979"/>
      <c r="E38" s="1979"/>
      <c r="F38" s="1943"/>
      <c r="G38" s="1943"/>
      <c r="H38" s="1944"/>
      <c r="I38" s="1971"/>
      <c r="J38" s="1972"/>
      <c r="K38" s="1972"/>
      <c r="L38" s="1972"/>
      <c r="M38" s="1972"/>
      <c r="N38" s="1972"/>
      <c r="O38" s="1972"/>
      <c r="P38" s="1973"/>
      <c r="Q38" s="1973"/>
      <c r="R38" s="1973"/>
      <c r="S38" s="1974"/>
      <c r="T38" s="2028" t="s">
        <v>2073</v>
      </c>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c r="B40" s="1957"/>
      <c r="C40" s="1958"/>
      <c r="D40" s="1958"/>
      <c r="E40" s="1958"/>
      <c r="F40" s="1959"/>
      <c r="G40" s="1959"/>
      <c r="H40" s="1960"/>
      <c r="I40" s="1981"/>
      <c r="J40" s="1982"/>
      <c r="K40" s="1982"/>
      <c r="L40" s="1982"/>
      <c r="M40" s="1982"/>
      <c r="N40" s="1982"/>
      <c r="O40" s="1982"/>
      <c r="P40" s="1982"/>
      <c r="Q40" s="1982"/>
      <c r="R40" s="1982"/>
      <c r="S40" s="1983"/>
      <c r="T40" s="1981" t="s">
        <v>2074</v>
      </c>
      <c r="U40" s="2044"/>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c r="B42" s="1962"/>
      <c r="C42" s="1963"/>
      <c r="D42" s="1961"/>
      <c r="E42" s="1962"/>
      <c r="F42" s="1962"/>
      <c r="G42" s="1962"/>
      <c r="H42" s="1963"/>
      <c r="I42" s="1945"/>
      <c r="J42" s="1946"/>
      <c r="K42" s="1946"/>
      <c r="L42" s="1946"/>
      <c r="M42" s="1946"/>
      <c r="N42" s="1946"/>
      <c r="O42" s="1947"/>
      <c r="P42" s="1980"/>
      <c r="Q42" s="1946"/>
      <c r="R42" s="1946"/>
      <c r="S42" s="1947"/>
      <c r="T42" s="1945" t="s">
        <v>2075</v>
      </c>
      <c r="U42" s="1946"/>
      <c r="V42" s="1946"/>
      <c r="W42" s="1947"/>
      <c r="X42" s="1980" t="s">
        <v>2076</v>
      </c>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3" t="s">
        <v>1611</v>
      </c>
    </row>
    <row r="23" spans="1:5" x14ac:dyDescent="0.2">
      <c r="A23" s="168"/>
      <c r="B23" s="162" t="s">
        <v>1853</v>
      </c>
      <c r="D23" s="167" t="s">
        <v>637</v>
      </c>
      <c r="E23" s="1833"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K143"/>
  <sheetViews>
    <sheetView showGridLines="0" defaultGridColor="0" topLeftCell="A8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4"/>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2066</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70C0"/>
  </sheetPr>
  <dimension ref="A1:N72"/>
  <sheetViews>
    <sheetView showGridLines="0" defaultGridColor="0" topLeftCell="A7" colorId="8" zoomScale="110" zoomScaleNormal="110" workbookViewId="0">
      <selection activeCell="L15" sqref="L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553403354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3.2000000000000001E-2</v>
      </c>
      <c r="E10" s="356" t="s">
        <v>1005</v>
      </c>
      <c r="F10" s="355">
        <v>7.4999999999999997E-3</v>
      </c>
      <c r="G10" s="356" t="s">
        <v>1005</v>
      </c>
      <c r="H10" s="355">
        <v>1.9400000000000001E-3</v>
      </c>
      <c r="I10" s="356" t="s">
        <v>1006</v>
      </c>
      <c r="J10" s="1729">
        <f>ROUND(D10+F10+H10,5)</f>
        <v>4.1439999999999998E-2</v>
      </c>
      <c r="K10" s="222"/>
      <c r="L10" s="355">
        <v>5.0000000000000001E-4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74730452</v>
      </c>
      <c r="E16" s="356"/>
      <c r="F16" s="1730">
        <f>SUM('Acct Summary 7-8'!C17,'Acct Summary 7-8'!D17,'Acct Summary 7-8'!F17)</f>
        <v>72879892</v>
      </c>
      <c r="G16" s="356"/>
      <c r="H16" s="1730">
        <f>SUM(D16-F16)</f>
        <v>1850560</v>
      </c>
      <c r="I16" s="222"/>
      <c r="J16" s="1730">
        <f>SUM('Acct Summary 7-8'!C81,'Acct Summary 7-8'!D81,'Acct Summary 7-8'!F81,'Acct Summary 7-8'!I81)</f>
        <v>38917358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76369662.852000013</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25620000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70C0"/>
  </sheetPr>
  <dimension ref="A1:R44"/>
  <sheetViews>
    <sheetView showGridLines="0" topLeftCell="A25"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Rock Island SD 41</v>
      </c>
      <c r="E7" s="391"/>
      <c r="G7" s="252"/>
      <c r="H7" s="387"/>
      <c r="I7" s="387"/>
      <c r="J7" s="387"/>
      <c r="K7" s="387"/>
      <c r="L7" s="329"/>
      <c r="M7" s="329"/>
      <c r="N7" s="329"/>
      <c r="O7" s="329"/>
      <c r="P7" s="329"/>
    </row>
    <row r="8" spans="1:18" ht="12.75" x14ac:dyDescent="0.2">
      <c r="A8" s="329"/>
      <c r="B8" s="329"/>
      <c r="C8" s="389" t="s">
        <v>1125</v>
      </c>
      <c r="D8" s="392">
        <f>COVER!A13</f>
        <v>49081041025</v>
      </c>
      <c r="E8" s="393"/>
      <c r="G8" s="329"/>
      <c r="H8" s="329"/>
      <c r="I8" s="329"/>
      <c r="J8" s="329"/>
      <c r="K8" s="329"/>
      <c r="L8" s="329"/>
      <c r="M8" s="329"/>
      <c r="N8" s="329"/>
      <c r="O8" s="329"/>
      <c r="P8" s="329"/>
    </row>
    <row r="9" spans="1:18" ht="12.75" x14ac:dyDescent="0.2">
      <c r="A9" s="329"/>
      <c r="B9" s="329"/>
      <c r="C9" s="389" t="s">
        <v>713</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38917358</v>
      </c>
      <c r="I12" s="404"/>
      <c r="J12" s="404"/>
      <c r="K12" s="405">
        <f>TRUNC((H12/H13*100000),5)/100000</f>
        <v>0.52076973919999991</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74730452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72879892</v>
      </c>
      <c r="I17" s="404"/>
      <c r="J17" s="416"/>
      <c r="K17" s="405">
        <f>TRUNC((H17/H18*100000),5)/100000</f>
        <v>0.97523686860000003</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74730452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34205078</v>
      </c>
      <c r="I24" s="422"/>
      <c r="J24" s="422"/>
      <c r="K24" s="423">
        <f>TRUNC(((H24/H25*100000)/100000),2)</f>
        <v>168.96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202444.14444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19493079.741300002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25620000</v>
      </c>
      <c r="I32" s="420"/>
      <c r="J32" s="420"/>
      <c r="K32" s="423">
        <f>TRUNC(100-((((H32/H33*100))*100)/100),2)</f>
        <v>66.45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76369662.852000013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sheetPr>
  <dimension ref="A1:N44"/>
  <sheetViews>
    <sheetView showGridLines="0" defaultGridColor="0" colorId="8" zoomScale="110" zoomScaleNormal="110" workbookViewId="0">
      <pane ySplit="2" topLeftCell="A18" activePane="bottomLeft" state="frozen"/>
      <selection pane="bottomLeft" activeCell="J7" sqref="J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275133</v>
      </c>
      <c r="D4" s="466">
        <v>5488111</v>
      </c>
      <c r="E4" s="466">
        <v>1082952</v>
      </c>
      <c r="F4" s="466">
        <v>2558443</v>
      </c>
      <c r="G4" s="466">
        <v>718217</v>
      </c>
      <c r="H4" s="466">
        <v>1946029</v>
      </c>
      <c r="I4" s="466">
        <v>4395667</v>
      </c>
      <c r="J4" s="467">
        <v>536281</v>
      </c>
      <c r="K4" s="466">
        <v>177003</v>
      </c>
      <c r="L4" s="466">
        <f>581496+271556</f>
        <v>853052</v>
      </c>
      <c r="M4" s="468"/>
      <c r="N4" s="469"/>
    </row>
    <row r="5" spans="1:14" x14ac:dyDescent="0.2">
      <c r="A5" s="463" t="s">
        <v>992</v>
      </c>
      <c r="B5" s="470">
        <v>120</v>
      </c>
      <c r="C5" s="465">
        <v>21487724</v>
      </c>
      <c r="D5" s="466"/>
      <c r="E5" s="466"/>
      <c r="F5" s="466"/>
      <c r="G5" s="466"/>
      <c r="H5" s="466"/>
      <c r="I5" s="466"/>
      <c r="J5" s="467"/>
      <c r="K5" s="471"/>
      <c r="L5" s="472"/>
      <c r="M5" s="468"/>
      <c r="N5" s="469"/>
    </row>
    <row r="6" spans="1:14" ht="13.5" customHeight="1" x14ac:dyDescent="0.2">
      <c r="A6" s="473" t="s">
        <v>417</v>
      </c>
      <c r="B6" s="470">
        <v>130</v>
      </c>
      <c r="C6" s="465">
        <v>21053408</v>
      </c>
      <c r="D6" s="466">
        <v>4874276</v>
      </c>
      <c r="E6" s="466">
        <f>3778600-23922</f>
        <v>3754678</v>
      </c>
      <c r="F6" s="466">
        <f>1269568-6900+1</f>
        <v>1262669</v>
      </c>
      <c r="G6" s="471">
        <f>2706666-11000</f>
        <v>2695666</v>
      </c>
      <c r="H6" s="471"/>
      <c r="I6" s="466">
        <v>327208</v>
      </c>
      <c r="J6" s="474">
        <f>976010-6165</f>
        <v>969845</v>
      </c>
      <c r="K6" s="471"/>
      <c r="L6" s="475"/>
      <c r="M6" s="468"/>
      <c r="N6" s="469"/>
    </row>
    <row r="7" spans="1:14" ht="13.5" customHeight="1" x14ac:dyDescent="0.2">
      <c r="A7" s="473" t="s">
        <v>418</v>
      </c>
      <c r="B7" s="470">
        <v>140</v>
      </c>
      <c r="C7" s="476"/>
      <c r="D7" s="467"/>
      <c r="E7" s="467"/>
      <c r="F7" s="467"/>
      <c r="G7" s="467">
        <v>423473</v>
      </c>
      <c r="H7" s="467"/>
      <c r="I7" s="467"/>
      <c r="J7" s="467"/>
      <c r="K7" s="467"/>
      <c r="L7" s="477"/>
      <c r="M7" s="468"/>
      <c r="N7" s="469"/>
    </row>
    <row r="8" spans="1:14" ht="13.5" customHeight="1" x14ac:dyDescent="0.2">
      <c r="A8" s="473" t="s">
        <v>269</v>
      </c>
      <c r="B8" s="470">
        <v>150</v>
      </c>
      <c r="C8" s="476">
        <v>4183685</v>
      </c>
      <c r="D8" s="467"/>
      <c r="E8" s="467"/>
      <c r="F8" s="467"/>
      <c r="G8" s="478"/>
      <c r="H8" s="467"/>
      <c r="I8" s="474"/>
      <c r="J8" s="474"/>
      <c r="K8" s="479"/>
      <c r="L8" s="480"/>
      <c r="M8" s="468"/>
      <c r="N8" s="469"/>
    </row>
    <row r="9" spans="1:14" ht="13.5" customHeight="1" x14ac:dyDescent="0.2">
      <c r="A9" s="473" t="s">
        <v>270</v>
      </c>
      <c r="B9" s="470">
        <v>160</v>
      </c>
      <c r="C9" s="476">
        <v>5810</v>
      </c>
      <c r="D9" s="467">
        <v>15871</v>
      </c>
      <c r="E9" s="467"/>
      <c r="F9" s="467">
        <v>894843</v>
      </c>
      <c r="G9" s="467"/>
      <c r="H9" s="478">
        <v>882346</v>
      </c>
      <c r="I9" s="467"/>
      <c r="J9" s="467">
        <v>56297</v>
      </c>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47005760</v>
      </c>
      <c r="D13" s="1734">
        <f t="shared" ref="D13:L13" si="0">SUM(D4:D12)</f>
        <v>10378258</v>
      </c>
      <c r="E13" s="1734">
        <f t="shared" si="0"/>
        <v>4837630</v>
      </c>
      <c r="F13" s="1734">
        <f t="shared" si="0"/>
        <v>4715955</v>
      </c>
      <c r="G13" s="1734">
        <f t="shared" si="0"/>
        <v>3837356</v>
      </c>
      <c r="H13" s="1734">
        <f t="shared" si="0"/>
        <v>2828375</v>
      </c>
      <c r="I13" s="1734">
        <f t="shared" si="0"/>
        <v>4722875</v>
      </c>
      <c r="J13" s="1734">
        <f t="shared" si="0"/>
        <v>1562423</v>
      </c>
      <c r="K13" s="1734">
        <f t="shared" si="0"/>
        <v>177003</v>
      </c>
      <c r="L13" s="1734">
        <f t="shared" si="0"/>
        <v>853052</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2439266</v>
      </c>
      <c r="N16" s="484"/>
    </row>
    <row r="17" spans="1:14" s="485" customFormat="1" ht="12.75" customHeight="1" x14ac:dyDescent="0.2">
      <c r="A17" s="482" t="s">
        <v>1403</v>
      </c>
      <c r="B17" s="483">
        <v>230</v>
      </c>
      <c r="C17" s="477"/>
      <c r="D17" s="477"/>
      <c r="E17" s="477"/>
      <c r="F17" s="477"/>
      <c r="G17" s="477"/>
      <c r="H17" s="477"/>
      <c r="I17" s="477"/>
      <c r="J17" s="477"/>
      <c r="K17" s="477"/>
      <c r="L17" s="477"/>
      <c r="M17" s="467">
        <f>79055573-31248788</f>
        <v>47806785</v>
      </c>
      <c r="N17" s="484"/>
    </row>
    <row r="18" spans="1:14" s="485" customFormat="1" ht="12.75" customHeight="1" x14ac:dyDescent="0.2">
      <c r="A18" s="482" t="s">
        <v>1404</v>
      </c>
      <c r="B18" s="483">
        <v>240</v>
      </c>
      <c r="C18" s="477"/>
      <c r="D18" s="477"/>
      <c r="E18" s="477"/>
      <c r="F18" s="477"/>
      <c r="G18" s="477"/>
      <c r="H18" s="477"/>
      <c r="I18" s="477"/>
      <c r="J18" s="477"/>
      <c r="K18" s="477"/>
      <c r="L18" s="477"/>
      <c r="M18" s="467">
        <f>3452602-2369596</f>
        <v>1083006</v>
      </c>
      <c r="N18" s="484"/>
    </row>
    <row r="19" spans="1:14" s="485" customFormat="1" ht="12.75" customHeight="1" x14ac:dyDescent="0.2">
      <c r="A19" s="482" t="s">
        <v>1405</v>
      </c>
      <c r="B19" s="483">
        <v>250</v>
      </c>
      <c r="C19" s="477"/>
      <c r="D19" s="477"/>
      <c r="E19" s="477"/>
      <c r="F19" s="477"/>
      <c r="G19" s="477"/>
      <c r="H19" s="477"/>
      <c r="I19" s="477"/>
      <c r="J19" s="477"/>
      <c r="K19" s="477"/>
      <c r="L19" s="477"/>
      <c r="M19" s="467">
        <f>4195985-3300646</f>
        <v>895339</v>
      </c>
      <c r="N19" s="484"/>
    </row>
    <row r="20" spans="1:14" s="485" customFormat="1" ht="12.75" customHeight="1" x14ac:dyDescent="0.2">
      <c r="A20" s="482" t="s">
        <v>1406</v>
      </c>
      <c r="B20" s="483">
        <v>260</v>
      </c>
      <c r="C20" s="477"/>
      <c r="D20" s="477"/>
      <c r="E20" s="477"/>
      <c r="F20" s="477"/>
      <c r="G20" s="477"/>
      <c r="H20" s="477"/>
      <c r="I20" s="477"/>
      <c r="J20" s="477"/>
      <c r="K20" s="477"/>
      <c r="L20" s="477"/>
      <c r="M20" s="467">
        <v>915878</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1795608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23824392</v>
      </c>
    </row>
    <row r="23" spans="1:14" ht="13.5" customHeight="1" thickBot="1" x14ac:dyDescent="0.25">
      <c r="A23" s="1733" t="s">
        <v>643</v>
      </c>
      <c r="B23" s="1738"/>
      <c r="C23" s="468"/>
      <c r="D23" s="468"/>
      <c r="E23" s="468"/>
      <c r="F23" s="468"/>
      <c r="G23" s="468"/>
      <c r="H23" s="468"/>
      <c r="I23" s="468"/>
      <c r="J23" s="468"/>
      <c r="K23" s="468"/>
      <c r="L23" s="468"/>
      <c r="M23" s="1685">
        <f>SUM(M15:M22)</f>
        <v>53140274</v>
      </c>
      <c r="N23" s="1685">
        <f>SUM(N21:N22)</f>
        <v>25620000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v>423473</v>
      </c>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502529</v>
      </c>
      <c r="D27" s="467">
        <v>299818</v>
      </c>
      <c r="E27" s="467"/>
      <c r="F27" s="467">
        <f>43161-26</f>
        <v>43135</v>
      </c>
      <c r="G27" s="467"/>
      <c r="H27" s="467"/>
      <c r="I27" s="467"/>
      <c r="J27" s="467">
        <v>15234</v>
      </c>
      <c r="K27" s="467"/>
      <c r="L27" s="468"/>
      <c r="M27" s="468"/>
      <c r="N27" s="468"/>
    </row>
    <row r="28" spans="1:14" ht="13.5" customHeight="1" x14ac:dyDescent="0.2">
      <c r="A28" s="473" t="s">
        <v>648</v>
      </c>
      <c r="B28" s="470">
        <v>440</v>
      </c>
      <c r="C28" s="467"/>
      <c r="D28" s="467"/>
      <c r="E28" s="474"/>
      <c r="F28" s="467"/>
      <c r="G28" s="474"/>
      <c r="H28" s="474">
        <v>550156</v>
      </c>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3060458</v>
      </c>
      <c r="D30" s="474">
        <v>35870</v>
      </c>
      <c r="E30" s="467"/>
      <c r="F30" s="467"/>
      <c r="G30" s="467">
        <v>237368</v>
      </c>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17593334</v>
      </c>
      <c r="D32" s="492">
        <v>3951363</v>
      </c>
      <c r="E32" s="474">
        <v>3042022</v>
      </c>
      <c r="F32" s="474">
        <f>710000+1022086</f>
        <v>1732086</v>
      </c>
      <c r="G32" s="474">
        <v>2179045</v>
      </c>
      <c r="H32" s="474">
        <v>297019</v>
      </c>
      <c r="I32" s="474">
        <v>263424</v>
      </c>
      <c r="J32" s="474">
        <f>786954-6165</f>
        <v>780789</v>
      </c>
      <c r="K32" s="479"/>
      <c r="L32" s="468"/>
      <c r="M32" s="468"/>
      <c r="N32" s="468"/>
    </row>
    <row r="33" spans="1:14" ht="13.5" customHeight="1" x14ac:dyDescent="0.2">
      <c r="A33" s="493" t="s">
        <v>303</v>
      </c>
      <c r="B33" s="491">
        <v>493</v>
      </c>
      <c r="C33" s="467"/>
      <c r="D33" s="467"/>
      <c r="E33" s="467"/>
      <c r="F33" s="467"/>
      <c r="G33" s="467"/>
      <c r="H33" s="467"/>
      <c r="I33" s="467"/>
      <c r="J33" s="467"/>
      <c r="K33" s="467"/>
      <c r="L33" s="467">
        <v>853052</v>
      </c>
      <c r="M33" s="468"/>
      <c r="N33" s="469"/>
    </row>
    <row r="34" spans="1:14" ht="13.5" customHeight="1" thickBot="1" x14ac:dyDescent="0.25">
      <c r="A34" s="1735" t="s">
        <v>654</v>
      </c>
      <c r="B34" s="1736"/>
      <c r="C34" s="1737">
        <f>SUM(C25:C33)</f>
        <v>21579794</v>
      </c>
      <c r="D34" s="1737">
        <f t="shared" ref="D34:K34" si="1">SUM(D25:D33)</f>
        <v>4287051</v>
      </c>
      <c r="E34" s="1737">
        <f t="shared" si="1"/>
        <v>3042022</v>
      </c>
      <c r="F34" s="1737">
        <f t="shared" si="1"/>
        <v>1775221</v>
      </c>
      <c r="G34" s="1737">
        <f t="shared" si="1"/>
        <v>2416413</v>
      </c>
      <c r="H34" s="1737">
        <f t="shared" si="1"/>
        <v>847175</v>
      </c>
      <c r="I34" s="1737">
        <f t="shared" si="1"/>
        <v>263424</v>
      </c>
      <c r="J34" s="1737">
        <f t="shared" si="1"/>
        <v>796023</v>
      </c>
      <c r="K34" s="1737">
        <f t="shared" si="1"/>
        <v>0</v>
      </c>
      <c r="L34" s="1718">
        <f>SUM(L33)</f>
        <v>853052</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25620000</v>
      </c>
    </row>
    <row r="37" spans="1:14" ht="13.5" thickBot="1" x14ac:dyDescent="0.25">
      <c r="A37" s="1733" t="s">
        <v>653</v>
      </c>
      <c r="B37" s="1738"/>
      <c r="C37" s="477"/>
      <c r="D37" s="477"/>
      <c r="E37" s="477"/>
      <c r="F37" s="477"/>
      <c r="G37" s="477"/>
      <c r="H37" s="477"/>
      <c r="I37" s="477"/>
      <c r="J37" s="477"/>
      <c r="K37" s="477"/>
      <c r="L37" s="480"/>
      <c r="M37" s="468"/>
      <c r="N37" s="1685">
        <f>SUM(N36:N36)</f>
        <v>25620000</v>
      </c>
    </row>
    <row r="38" spans="1:14" s="329" customFormat="1" ht="13.5" customHeight="1" thickTop="1" x14ac:dyDescent="0.2">
      <c r="A38" s="496" t="s">
        <v>420</v>
      </c>
      <c r="B38" s="483">
        <v>714</v>
      </c>
      <c r="C38" s="466"/>
      <c r="D38" s="466">
        <v>318673</v>
      </c>
      <c r="E38" s="466"/>
      <c r="F38" s="466"/>
      <c r="G38" s="466"/>
      <c r="H38" s="466">
        <v>1981200</v>
      </c>
      <c r="I38" s="466"/>
      <c r="J38" s="467"/>
      <c r="K38" s="466"/>
      <c r="L38" s="481"/>
      <c r="M38" s="497"/>
      <c r="N38" s="497"/>
    </row>
    <row r="39" spans="1:14" s="329" customFormat="1" ht="13.5" customHeight="1" x14ac:dyDescent="0.2">
      <c r="A39" s="496" t="s">
        <v>342</v>
      </c>
      <c r="B39" s="483">
        <v>730</v>
      </c>
      <c r="C39" s="466">
        <v>25425966</v>
      </c>
      <c r="D39" s="466">
        <f>6091207-318673</f>
        <v>5772534</v>
      </c>
      <c r="E39" s="466">
        <v>1795608</v>
      </c>
      <c r="F39" s="466">
        <v>2940734</v>
      </c>
      <c r="G39" s="466">
        <v>1420943</v>
      </c>
      <c r="H39" s="466">
        <v>0</v>
      </c>
      <c r="I39" s="466">
        <v>4459451</v>
      </c>
      <c r="J39" s="467">
        <v>766400</v>
      </c>
      <c r="K39" s="466">
        <v>177003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53140274</v>
      </c>
      <c r="N40" s="497"/>
    </row>
    <row r="41" spans="1:14" ht="13.5" customHeight="1" thickBot="1" x14ac:dyDescent="0.25">
      <c r="A41" s="1733" t="s">
        <v>655</v>
      </c>
      <c r="B41" s="1703"/>
      <c r="C41" s="1685">
        <f>(SUM(C34,C37,C38,C39))</f>
        <v>47005760</v>
      </c>
      <c r="D41" s="1685">
        <f t="shared" ref="D41:L41" si="2">SUM(D34,D37,D38:D39)</f>
        <v>10378258</v>
      </c>
      <c r="E41" s="1685">
        <f t="shared" si="2"/>
        <v>4837630</v>
      </c>
      <c r="F41" s="1685">
        <f t="shared" si="2"/>
        <v>4715955</v>
      </c>
      <c r="G41" s="1685">
        <f t="shared" si="2"/>
        <v>3837356</v>
      </c>
      <c r="H41" s="1685">
        <f t="shared" si="2"/>
        <v>2828375</v>
      </c>
      <c r="I41" s="1685">
        <f t="shared" si="2"/>
        <v>4722875</v>
      </c>
      <c r="J41" s="1685">
        <f t="shared" si="2"/>
        <v>1562423</v>
      </c>
      <c r="K41" s="1685">
        <f t="shared" si="2"/>
        <v>177003</v>
      </c>
      <c r="L41" s="1685">
        <f t="shared" si="2"/>
        <v>853052</v>
      </c>
      <c r="M41" s="1685">
        <f>SUM(M40)</f>
        <v>53140274</v>
      </c>
      <c r="N41" s="1685">
        <f>SUM(N37)</f>
        <v>25620000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M87"/>
  <sheetViews>
    <sheetView showGridLines="0" defaultGridColor="0" colorId="8" zoomScale="110" zoomScaleNormal="110" zoomScaleSheetLayoutView="100" workbookViewId="0">
      <pane ySplit="2" topLeftCell="A63" activePane="bottomLeft" state="frozen"/>
      <selection pane="bottomLeft" activeCell="C84" sqref="C8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4" t="s">
        <v>1499</v>
      </c>
      <c r="B4" s="1925">
        <v>1000</v>
      </c>
      <c r="C4" s="1739">
        <f>'Revenues 9-14'!C109</f>
        <v>25880637</v>
      </c>
      <c r="D4" s="1739">
        <f>'Revenues 9-14'!D109</f>
        <v>4317656</v>
      </c>
      <c r="E4" s="1739">
        <f>'Revenues 9-14'!E109</f>
        <v>3176594</v>
      </c>
      <c r="F4" s="1739">
        <f>'Revenues 9-14'!F109</f>
        <v>1145670</v>
      </c>
      <c r="G4" s="1739">
        <f>'Revenues 9-14'!G109</f>
        <v>2355129</v>
      </c>
      <c r="H4" s="1739">
        <f>'Revenues 9-14'!H109</f>
        <v>3406965</v>
      </c>
      <c r="I4" s="1739">
        <f>'Revenues 9-14'!I109</f>
        <v>278091</v>
      </c>
      <c r="J4" s="1739">
        <f>'Revenues 9-14'!J109</f>
        <v>837336</v>
      </c>
      <c r="K4" s="1739">
        <f>'Revenues 9-14'!K109</f>
        <v>3733</v>
      </c>
      <c r="L4" s="347"/>
    </row>
    <row r="5" spans="1:13" ht="15.75" customHeight="1" x14ac:dyDescent="0.2">
      <c r="A5" s="1576" t="s">
        <v>1500</v>
      </c>
      <c r="B5" s="1577">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6" t="s">
        <v>1501</v>
      </c>
      <c r="B6" s="1578">
        <v>3000</v>
      </c>
      <c r="C6" s="1740">
        <f>'Revenues 9-14'!C170</f>
        <v>28758866</v>
      </c>
      <c r="D6" s="1740">
        <f>'Revenues 9-14'!D170</f>
        <v>1200000</v>
      </c>
      <c r="E6" s="1740">
        <f>'Revenues 9-14'!E170</f>
        <v>0</v>
      </c>
      <c r="F6" s="1740">
        <f>'Revenues 9-14'!F170</f>
        <v>965330</v>
      </c>
      <c r="G6" s="1740">
        <f>'Revenues 9-14'!G170</f>
        <v>0</v>
      </c>
      <c r="H6" s="1740">
        <f>'Revenues 9-14'!H170</f>
        <v>0</v>
      </c>
      <c r="I6" s="1740">
        <f>'Revenues 9-14'!I170</f>
        <v>0</v>
      </c>
      <c r="J6" s="1740">
        <f>'Revenues 9-14'!J170</f>
        <v>0</v>
      </c>
      <c r="K6" s="1740">
        <f>'Revenues 9-14'!K170</f>
        <v>0</v>
      </c>
      <c r="L6" s="347"/>
      <c r="M6" s="513"/>
    </row>
    <row r="7" spans="1:13" ht="15.75" customHeight="1" x14ac:dyDescent="0.2">
      <c r="A7" s="1576" t="s">
        <v>1502</v>
      </c>
      <c r="B7" s="1578">
        <v>4000</v>
      </c>
      <c r="C7" s="1740">
        <f>'Revenues 9-14'!C267</f>
        <v>12184202</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66823705</v>
      </c>
      <c r="D8" s="1685">
        <f t="shared" ref="D8:K8" si="0">SUM(D4:D7)</f>
        <v>5517656</v>
      </c>
      <c r="E8" s="1685">
        <f t="shared" si="0"/>
        <v>3176594</v>
      </c>
      <c r="F8" s="1685">
        <f t="shared" si="0"/>
        <v>2111000</v>
      </c>
      <c r="G8" s="1685">
        <f t="shared" si="0"/>
        <v>2355129</v>
      </c>
      <c r="H8" s="1685">
        <f t="shared" si="0"/>
        <v>3406965</v>
      </c>
      <c r="I8" s="1685">
        <f t="shared" si="0"/>
        <v>278091</v>
      </c>
      <c r="J8" s="1685">
        <f t="shared" si="0"/>
        <v>837336</v>
      </c>
      <c r="K8" s="1685">
        <f t="shared" si="0"/>
        <v>3733</v>
      </c>
      <c r="L8" s="347"/>
    </row>
    <row r="9" spans="1:13" ht="15.75" thickTop="1" x14ac:dyDescent="0.2">
      <c r="A9" s="514" t="s">
        <v>1653</v>
      </c>
      <c r="B9" s="515">
        <v>3998</v>
      </c>
      <c r="C9" s="481">
        <v>27761176</v>
      </c>
      <c r="D9" s="516"/>
      <c r="E9" s="481"/>
      <c r="F9" s="481"/>
      <c r="G9" s="517"/>
      <c r="H9" s="481"/>
      <c r="I9" s="509" t="s">
        <v>1169</v>
      </c>
      <c r="J9" s="478"/>
      <c r="K9" s="481"/>
      <c r="L9" s="347"/>
    </row>
    <row r="10" spans="1:13" s="519" customFormat="1" ht="13.5" thickBot="1" x14ac:dyDescent="0.25">
      <c r="A10" s="1733" t="s">
        <v>1173</v>
      </c>
      <c r="B10" s="1706"/>
      <c r="C10" s="1685">
        <f>SUM(C8:C9)</f>
        <v>94584881</v>
      </c>
      <c r="D10" s="1685">
        <f t="shared" ref="D10:K10" si="1">SUM(D8:D9)</f>
        <v>5517656</v>
      </c>
      <c r="E10" s="1685">
        <f t="shared" si="1"/>
        <v>3176594</v>
      </c>
      <c r="F10" s="1685">
        <f t="shared" si="1"/>
        <v>2111000</v>
      </c>
      <c r="G10" s="1685">
        <f t="shared" si="1"/>
        <v>2355129</v>
      </c>
      <c r="H10" s="1685">
        <f t="shared" si="1"/>
        <v>3406965</v>
      </c>
      <c r="I10" s="1685">
        <f t="shared" si="1"/>
        <v>278091</v>
      </c>
      <c r="J10" s="1685">
        <f t="shared" si="1"/>
        <v>837336</v>
      </c>
      <c r="K10" s="1685">
        <f t="shared" si="1"/>
        <v>3733</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39">
        <f>'Expenditures 15-22'!K33</f>
        <v>42884779</v>
      </c>
      <c r="D12" s="520" t="s">
        <v>1169</v>
      </c>
      <c r="E12" s="468" t="s">
        <v>1169</v>
      </c>
      <c r="F12" s="468" t="s">
        <v>1169</v>
      </c>
      <c r="G12" s="1739">
        <f>'Expenditures 15-22'!K229</f>
        <v>873178</v>
      </c>
      <c r="H12" s="521"/>
      <c r="I12" s="468" t="s">
        <v>1169</v>
      </c>
      <c r="J12" s="468" t="s">
        <v>1169</v>
      </c>
      <c r="K12" s="521" t="s">
        <v>1169</v>
      </c>
      <c r="L12" s="347"/>
    </row>
    <row r="13" spans="1:13" ht="15.75" customHeight="1" x14ac:dyDescent="0.2">
      <c r="A13" s="1576" t="s">
        <v>457</v>
      </c>
      <c r="B13" s="1578">
        <v>2000</v>
      </c>
      <c r="C13" s="1740">
        <f>'Expenditures 15-22'!K74</f>
        <v>17445640</v>
      </c>
      <c r="D13" s="1740">
        <f>'Expenditures 15-22'!K129</f>
        <v>5341418</v>
      </c>
      <c r="E13" s="469" t="s">
        <v>1169</v>
      </c>
      <c r="F13" s="1740">
        <f>'Expenditures 15-22'!K184</f>
        <v>1617732</v>
      </c>
      <c r="G13" s="1740">
        <f>'Expenditures 15-22'!K279</f>
        <v>1214651</v>
      </c>
      <c r="H13" s="1740">
        <f>'Expenditures 15-22'!K303</f>
        <v>2092353</v>
      </c>
      <c r="I13" s="468" t="s">
        <v>1169</v>
      </c>
      <c r="J13" s="1740">
        <f>'Expenditures 15-22'!K330</f>
        <v>821036</v>
      </c>
      <c r="K13" s="1744">
        <f>'Expenditures 15-22'!K352</f>
        <v>35316</v>
      </c>
      <c r="L13" s="347"/>
    </row>
    <row r="14" spans="1:13" ht="15.75" customHeight="1" x14ac:dyDescent="0.2">
      <c r="A14" s="1576" t="s">
        <v>449</v>
      </c>
      <c r="B14" s="1578">
        <v>3000</v>
      </c>
      <c r="C14" s="1740">
        <f>'Expenditures 15-22'!K75</f>
        <v>3460531</v>
      </c>
      <c r="D14" s="1740">
        <f>'Expenditures 15-22'!K130</f>
        <v>0</v>
      </c>
      <c r="E14" s="520" t="s">
        <v>1169</v>
      </c>
      <c r="F14" s="1740">
        <f>'Expenditures 15-22'!K185</f>
        <v>0</v>
      </c>
      <c r="G14" s="1740">
        <f>'Expenditures 15-22'!K280</f>
        <v>9035</v>
      </c>
      <c r="H14" s="512"/>
      <c r="I14" s="468" t="s">
        <v>1169</v>
      </c>
      <c r="J14" s="468" t="s">
        <v>1169</v>
      </c>
      <c r="K14" s="512" t="s">
        <v>1169</v>
      </c>
      <c r="L14" s="347"/>
    </row>
    <row r="15" spans="1:13" ht="15.75" customHeight="1" x14ac:dyDescent="0.2">
      <c r="A15" s="1576" t="s">
        <v>107</v>
      </c>
      <c r="B15" s="1578">
        <v>4000</v>
      </c>
      <c r="C15" s="1740">
        <f>'Expenditures 15-22'!K102</f>
        <v>2129792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6" t="s">
        <v>450</v>
      </c>
      <c r="B16" s="1578">
        <v>5000</v>
      </c>
      <c r="C16" s="1740">
        <f>'Expenditures 15-22'!K112</f>
        <v>0</v>
      </c>
      <c r="D16" s="1740">
        <f>'Expenditures 15-22'!K149</f>
        <v>0</v>
      </c>
      <c r="E16" s="1740">
        <f>'Expenditures 15-22'!K172</f>
        <v>3532225</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65920742</v>
      </c>
      <c r="D17" s="1685">
        <f t="shared" si="2"/>
        <v>5341418</v>
      </c>
      <c r="E17" s="1685">
        <f t="shared" si="2"/>
        <v>3532225</v>
      </c>
      <c r="F17" s="1685">
        <f t="shared" si="2"/>
        <v>1617732</v>
      </c>
      <c r="G17" s="1685">
        <f t="shared" si="2"/>
        <v>2096864</v>
      </c>
      <c r="H17" s="1685">
        <f t="shared" si="2"/>
        <v>2092353</v>
      </c>
      <c r="I17" s="468"/>
      <c r="J17" s="1685">
        <f>SUM(J12:J16)</f>
        <v>821036</v>
      </c>
      <c r="K17" s="1685">
        <f>SUM(K12:K16)</f>
        <v>35316</v>
      </c>
      <c r="L17" s="347"/>
    </row>
    <row r="18" spans="1:12" ht="15" customHeight="1" thickTop="1" x14ac:dyDescent="0.2">
      <c r="A18" s="1741" t="s">
        <v>1654</v>
      </c>
      <c r="B18" s="1742">
        <v>4180</v>
      </c>
      <c r="C18" s="1739">
        <f t="shared" ref="C18:H18" si="3">C9</f>
        <v>27761176</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93681918</v>
      </c>
      <c r="D19" s="1685">
        <f t="shared" si="4"/>
        <v>5341418</v>
      </c>
      <c r="E19" s="1685">
        <f t="shared" si="4"/>
        <v>3532225</v>
      </c>
      <c r="F19" s="1685">
        <f t="shared" si="4"/>
        <v>1617732</v>
      </c>
      <c r="G19" s="1685">
        <f t="shared" si="4"/>
        <v>2096864</v>
      </c>
      <c r="H19" s="1685">
        <f t="shared" si="4"/>
        <v>2092353</v>
      </c>
      <c r="I19" s="468"/>
      <c r="J19" s="1685">
        <f>SUM(J17:J18)</f>
        <v>821036</v>
      </c>
      <c r="K19" s="1685">
        <f>SUM(K17:K18)</f>
        <v>35316</v>
      </c>
      <c r="L19" s="347"/>
    </row>
    <row r="20" spans="1:12" ht="16.5" thickTop="1" thickBot="1" x14ac:dyDescent="0.25">
      <c r="A20" s="2127" t="s">
        <v>1655</v>
      </c>
      <c r="B20" s="2128"/>
      <c r="C20" s="1743">
        <f>C8-C17</f>
        <v>902963</v>
      </c>
      <c r="D20" s="1743">
        <f t="shared" ref="D20:K20" si="5">D8-D17</f>
        <v>176238</v>
      </c>
      <c r="E20" s="1743">
        <f t="shared" si="5"/>
        <v>-355631</v>
      </c>
      <c r="F20" s="1743">
        <f t="shared" si="5"/>
        <v>493268</v>
      </c>
      <c r="G20" s="1743">
        <f t="shared" si="5"/>
        <v>258265</v>
      </c>
      <c r="H20" s="1743">
        <f t="shared" si="5"/>
        <v>1314612</v>
      </c>
      <c r="I20" s="1743">
        <f t="shared" si="5"/>
        <v>278091</v>
      </c>
      <c r="J20" s="1743">
        <f t="shared" si="5"/>
        <v>16300</v>
      </c>
      <c r="K20" s="1743">
        <f t="shared" si="5"/>
        <v>-31583</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0">
        <f>SUM(C54:D57,H54:H57)</f>
        <v>0</v>
      </c>
      <c r="F37" s="475"/>
      <c r="G37" s="475"/>
      <c r="H37" s="475"/>
      <c r="I37" s="477"/>
      <c r="J37" s="475"/>
      <c r="K37" s="475"/>
      <c r="L37" s="524"/>
    </row>
    <row r="38" spans="1:12" s="485" customFormat="1" x14ac:dyDescent="0.2">
      <c r="A38" s="1489" t="s">
        <v>442</v>
      </c>
      <c r="B38" s="525">
        <v>7500</v>
      </c>
      <c r="C38" s="477"/>
      <c r="D38" s="477"/>
      <c r="E38" s="1740">
        <f>SUM(C58:D61,H58:H61)</f>
        <v>0</v>
      </c>
      <c r="F38" s="477"/>
      <c r="G38" s="477"/>
      <c r="H38" s="477"/>
      <c r="I38" s="477"/>
      <c r="J38" s="477"/>
      <c r="K38" s="477"/>
      <c r="L38" s="524"/>
    </row>
    <row r="39" spans="1:12" s="485" customFormat="1" x14ac:dyDescent="0.2">
      <c r="A39" s="1489" t="s">
        <v>443</v>
      </c>
      <c r="B39" s="525">
        <v>7600</v>
      </c>
      <c r="C39" s="477"/>
      <c r="D39" s="477"/>
      <c r="E39" s="1740">
        <f>SUM(C62:D65)</f>
        <v>0</v>
      </c>
      <c r="F39" s="477"/>
      <c r="G39" s="477"/>
      <c r="H39" s="477"/>
      <c r="I39" s="477"/>
      <c r="J39" s="477"/>
      <c r="K39" s="477"/>
      <c r="L39" s="524"/>
    </row>
    <row r="40" spans="1:12" s="485" customFormat="1" ht="13.5" customHeight="1" x14ac:dyDescent="0.2">
      <c r="A40" s="1489" t="s">
        <v>642</v>
      </c>
      <c r="B40" s="483">
        <v>7700</v>
      </c>
      <c r="C40" s="477"/>
      <c r="D40" s="477"/>
      <c r="E40" s="1740">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0">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0">
        <f>SUM(C24,C25:H25,J25:K25)</f>
        <v>0</v>
      </c>
      <c r="J47" s="477"/>
      <c r="K47" s="477"/>
      <c r="L47" s="529"/>
    </row>
    <row r="48" spans="1:12" s="485" customFormat="1" ht="15" x14ac:dyDescent="0.2">
      <c r="A48" s="1490" t="s">
        <v>1660</v>
      </c>
      <c r="B48" s="483">
        <v>8120</v>
      </c>
      <c r="C48" s="480"/>
      <c r="D48" s="480"/>
      <c r="E48" s="477"/>
      <c r="F48" s="480"/>
      <c r="G48" s="477"/>
      <c r="H48" s="477"/>
      <c r="I48" s="1740">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0">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0">
        <f>D30</f>
        <v>0</v>
      </c>
      <c r="L52" s="524"/>
    </row>
    <row r="53" spans="1:12" s="485" customFormat="1" ht="26.25" x14ac:dyDescent="0.2">
      <c r="A53" s="1490" t="s">
        <v>1793</v>
      </c>
      <c r="B53" s="483">
        <v>8170</v>
      </c>
      <c r="C53" s="480"/>
      <c r="D53" s="480"/>
      <c r="E53" s="477"/>
      <c r="F53" s="477"/>
      <c r="G53" s="477"/>
      <c r="H53" s="480"/>
      <c r="I53" s="477"/>
      <c r="J53" s="477"/>
      <c r="K53" s="1740">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19" t="s">
        <v>1177</v>
      </c>
      <c r="B77" s="2120"/>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23" t="s">
        <v>597</v>
      </c>
      <c r="B78" s="2124"/>
      <c r="C78" s="1699">
        <f t="shared" ref="C78:K78" si="9">C20+C77</f>
        <v>902963</v>
      </c>
      <c r="D78" s="1699">
        <f t="shared" si="9"/>
        <v>176238</v>
      </c>
      <c r="E78" s="1699">
        <f t="shared" si="9"/>
        <v>-355631</v>
      </c>
      <c r="F78" s="1699">
        <f t="shared" si="9"/>
        <v>493268</v>
      </c>
      <c r="G78" s="1699">
        <f t="shared" si="9"/>
        <v>258265</v>
      </c>
      <c r="H78" s="1699">
        <f t="shared" si="9"/>
        <v>1314612</v>
      </c>
      <c r="I78" s="1699">
        <f t="shared" si="9"/>
        <v>278091</v>
      </c>
      <c r="J78" s="1699">
        <f t="shared" si="9"/>
        <v>16300</v>
      </c>
      <c r="K78" s="1699">
        <f t="shared" si="9"/>
        <v>-31583</v>
      </c>
      <c r="L78" s="533"/>
    </row>
    <row r="79" spans="1:12" ht="13.5" thickTop="1" x14ac:dyDescent="0.2">
      <c r="A79" s="1494" t="s">
        <v>1944</v>
      </c>
      <c r="B79" s="534"/>
      <c r="C79" s="478">
        <v>24523003</v>
      </c>
      <c r="D79" s="535">
        <v>5914969</v>
      </c>
      <c r="E79" s="535">
        <v>2151239</v>
      </c>
      <c r="F79" s="535">
        <v>2447466</v>
      </c>
      <c r="G79" s="535">
        <v>1162678</v>
      </c>
      <c r="H79" s="535">
        <v>666588</v>
      </c>
      <c r="I79" s="535">
        <v>4181360</v>
      </c>
      <c r="J79" s="535">
        <v>750100</v>
      </c>
      <c r="K79" s="535">
        <v>208586</v>
      </c>
      <c r="L79" s="347"/>
    </row>
    <row r="80" spans="1:12" x14ac:dyDescent="0.2">
      <c r="A80" s="2129" t="s">
        <v>1792</v>
      </c>
      <c r="B80" s="2130"/>
      <c r="C80" s="467"/>
      <c r="D80" s="467"/>
      <c r="E80" s="467"/>
      <c r="F80" s="467"/>
      <c r="G80" s="467"/>
      <c r="H80" s="467"/>
      <c r="I80" s="467"/>
      <c r="J80" s="467"/>
      <c r="K80" s="467"/>
      <c r="L80" s="347"/>
    </row>
    <row r="81" spans="1:12" ht="13.5" thickBot="1" x14ac:dyDescent="0.25">
      <c r="A81" s="2121" t="s">
        <v>1945</v>
      </c>
      <c r="B81" s="2122"/>
      <c r="C81" s="1685">
        <f>(SUM(C78:C80))</f>
        <v>25425966</v>
      </c>
      <c r="D81" s="1685">
        <f>SUM(D78:D80)</f>
        <v>6091207</v>
      </c>
      <c r="E81" s="1685">
        <f t="shared" ref="E81:K81" si="10">SUM(E78:E80)</f>
        <v>1795608</v>
      </c>
      <c r="F81" s="1685">
        <f t="shared" si="10"/>
        <v>2940734</v>
      </c>
      <c r="G81" s="1685">
        <f t="shared" si="10"/>
        <v>1420943</v>
      </c>
      <c r="H81" s="1685">
        <f t="shared" si="10"/>
        <v>1981200</v>
      </c>
      <c r="I81" s="1685">
        <f t="shared" si="10"/>
        <v>4459451</v>
      </c>
      <c r="J81" s="1685">
        <f t="shared" si="10"/>
        <v>766400</v>
      </c>
      <c r="K81" s="1685">
        <f t="shared" si="10"/>
        <v>177003</v>
      </c>
      <c r="L81" s="347"/>
    </row>
    <row r="82" spans="1:12" ht="0.75" customHeight="1" thickTop="1" thickBot="1" x14ac:dyDescent="0.25">
      <c r="A82" s="536" t="s">
        <v>343</v>
      </c>
      <c r="B82" s="537"/>
      <c r="C82" s="538">
        <f>(C81-C79)</f>
        <v>902963</v>
      </c>
      <c r="D82" s="538">
        <f t="shared" ref="D82:K82" si="11">(D81-D79)</f>
        <v>176238</v>
      </c>
      <c r="E82" s="538">
        <f t="shared" si="11"/>
        <v>-355631</v>
      </c>
      <c r="F82" s="538">
        <f t="shared" si="11"/>
        <v>493268</v>
      </c>
      <c r="G82" s="538">
        <f t="shared" si="11"/>
        <v>258265</v>
      </c>
      <c r="H82" s="538">
        <f t="shared" si="11"/>
        <v>1314612</v>
      </c>
      <c r="I82" s="538">
        <f t="shared" si="11"/>
        <v>278091</v>
      </c>
      <c r="J82" s="538">
        <f t="shared" si="11"/>
        <v>16300</v>
      </c>
      <c r="K82" s="538">
        <f t="shared" si="11"/>
        <v>-31583</v>
      </c>
    </row>
    <row r="83" spans="1:12" ht="14.25" hidden="1" thickTop="1" thickBot="1" x14ac:dyDescent="0.25">
      <c r="A83" s="539" t="s">
        <v>344</v>
      </c>
      <c r="B83" s="464"/>
      <c r="C83" s="540">
        <f>C82/C81</f>
        <v>3.55134196277931E-2</v>
      </c>
      <c r="D83" s="540">
        <f t="shared" ref="D83:K83" si="12">D82/D81</f>
        <v>2.8933181880044463E-2</v>
      </c>
      <c r="E83" s="540">
        <f t="shared" si="12"/>
        <v>-0.19805603450196257</v>
      </c>
      <c r="F83" s="540">
        <f t="shared" si="12"/>
        <v>0.16773635425713446</v>
      </c>
      <c r="G83" s="540">
        <f t="shared" si="12"/>
        <v>0.18175605918041751</v>
      </c>
      <c r="H83" s="540">
        <f t="shared" si="12"/>
        <v>0.66354330708661413</v>
      </c>
      <c r="I83" s="540">
        <f t="shared" si="12"/>
        <v>6.2359918294875312E-2</v>
      </c>
      <c r="J83" s="540">
        <f t="shared" si="12"/>
        <v>2.1268267223382046E-2</v>
      </c>
      <c r="K83" s="540">
        <f t="shared" si="12"/>
        <v>-0.17843200397733372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L279"/>
  <sheetViews>
    <sheetView showGridLines="0" defaultGridColor="0" colorId="8" zoomScale="110" zoomScaleNormal="110" zoomScaleSheetLayoutView="75" workbookViewId="0">
      <pane ySplit="2" topLeftCell="A252" activePane="bottomLeft" state="frozen"/>
      <selection pane="bottomLeft" activeCell="C255" sqref="C25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1799</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18774588</v>
      </c>
      <c r="D5" s="481">
        <v>4167915</v>
      </c>
      <c r="E5" s="466">
        <v>3142088</v>
      </c>
      <c r="F5" s="548">
        <v>1093248</v>
      </c>
      <c r="G5" s="466">
        <v>1038600</v>
      </c>
      <c r="H5" s="466"/>
      <c r="I5" s="466">
        <v>277861</v>
      </c>
      <c r="J5" s="467">
        <v>825095</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222289</v>
      </c>
      <c r="D7" s="466"/>
      <c r="E7" s="468"/>
      <c r="F7" s="467"/>
      <c r="G7" s="467"/>
      <c r="H7" s="467"/>
      <c r="I7" s="468"/>
      <c r="J7" s="468"/>
      <c r="K7" s="468"/>
    </row>
    <row r="8" spans="1:12" x14ac:dyDescent="0.2">
      <c r="A8" s="463" t="s">
        <v>413</v>
      </c>
      <c r="B8" s="470">
        <v>1150</v>
      </c>
      <c r="C8" s="475"/>
      <c r="D8" s="475"/>
      <c r="E8" s="477"/>
      <c r="F8" s="477"/>
      <c r="G8" s="481">
        <v>1225531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18996877</v>
      </c>
      <c r="D12" s="1704">
        <f t="shared" si="0"/>
        <v>4167915</v>
      </c>
      <c r="E12" s="1704">
        <f t="shared" si="0"/>
        <v>3142088</v>
      </c>
      <c r="F12" s="1704">
        <f t="shared" si="0"/>
        <v>1093248</v>
      </c>
      <c r="G12" s="1704">
        <f t="shared" si="0"/>
        <v>2264131</v>
      </c>
      <c r="H12" s="1704">
        <f t="shared" si="0"/>
        <v>0</v>
      </c>
      <c r="I12" s="1704">
        <f t="shared" si="0"/>
        <v>277861</v>
      </c>
      <c r="J12" s="1704">
        <f t="shared" si="0"/>
        <v>825095</v>
      </c>
      <c r="K12" s="1685">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4575152</v>
      </c>
      <c r="D16" s="466"/>
      <c r="E16" s="466"/>
      <c r="F16" s="466"/>
      <c r="G16" s="466">
        <v>75000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4575152</v>
      </c>
      <c r="D18" s="1707">
        <f t="shared" ref="D18:K18" si="1">SUM(D14:D17)</f>
        <v>0</v>
      </c>
      <c r="E18" s="1707">
        <f t="shared" si="1"/>
        <v>0</v>
      </c>
      <c r="F18" s="1707">
        <f t="shared" si="1"/>
        <v>0</v>
      </c>
      <c r="G18" s="1707">
        <f t="shared" si="1"/>
        <v>75000</v>
      </c>
      <c r="H18" s="1707">
        <f t="shared" si="1"/>
        <v>0</v>
      </c>
      <c r="I18" s="1707">
        <f t="shared" si="1"/>
        <v>0</v>
      </c>
      <c r="J18" s="1707">
        <f t="shared" si="1"/>
        <v>0</v>
      </c>
      <c r="K18" s="1708">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463843</v>
      </c>
      <c r="D65" s="466">
        <v>103516</v>
      </c>
      <c r="E65" s="466">
        <v>34506</v>
      </c>
      <c r="F65" s="467">
        <v>52422</v>
      </c>
      <c r="G65" s="466">
        <v>15998</v>
      </c>
      <c r="H65" s="466">
        <v>35035</v>
      </c>
      <c r="I65" s="466">
        <v>230</v>
      </c>
      <c r="J65" s="467">
        <v>12241</v>
      </c>
      <c r="K65" s="466">
        <v>3733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463843</v>
      </c>
      <c r="D67" s="1685">
        <f t="shared" ref="D67:K67" si="2">SUM(D65:D66)</f>
        <v>103516</v>
      </c>
      <c r="E67" s="1685">
        <f t="shared" si="2"/>
        <v>34506</v>
      </c>
      <c r="F67" s="1685">
        <f t="shared" si="2"/>
        <v>52422</v>
      </c>
      <c r="G67" s="1685">
        <f t="shared" si="2"/>
        <v>15998</v>
      </c>
      <c r="H67" s="1685">
        <f t="shared" si="2"/>
        <v>35035</v>
      </c>
      <c r="I67" s="1685">
        <f t="shared" si="2"/>
        <v>230</v>
      </c>
      <c r="J67" s="1685">
        <f t="shared" si="2"/>
        <v>12241</v>
      </c>
      <c r="K67" s="1685">
        <f t="shared" si="2"/>
        <v>3733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89223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965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1867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92055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f>135310+15971</f>
        <v>151281</v>
      </c>
      <c r="D77" s="466"/>
      <c r="E77" s="468"/>
      <c r="F77" s="468"/>
      <c r="G77" s="468"/>
      <c r="H77" s="468"/>
      <c r="I77" s="468"/>
      <c r="J77" s="468"/>
      <c r="K77" s="468"/>
    </row>
    <row r="78" spans="1:11" ht="12.75" customHeight="1" x14ac:dyDescent="0.2">
      <c r="A78" s="463" t="s">
        <v>76</v>
      </c>
      <c r="B78" s="470">
        <v>1719</v>
      </c>
      <c r="C78" s="551">
        <v>0</v>
      </c>
      <c r="D78" s="466"/>
      <c r="E78" s="468"/>
      <c r="F78" s="468"/>
      <c r="G78" s="468"/>
      <c r="H78" s="468"/>
      <c r="I78" s="468"/>
      <c r="J78" s="468"/>
      <c r="K78" s="468"/>
    </row>
    <row r="79" spans="1:11" ht="12.75" customHeight="1" x14ac:dyDescent="0.2">
      <c r="A79" s="463" t="s">
        <v>550</v>
      </c>
      <c r="B79" s="470">
        <v>1720</v>
      </c>
      <c r="C79" s="551">
        <v>13025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164306</v>
      </c>
      <c r="D82" s="1685">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113413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113413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273620</v>
      </c>
      <c r="D95" s="551">
        <v>600</v>
      </c>
      <c r="E95" s="521"/>
      <c r="F95" s="521"/>
      <c r="G95" s="521"/>
      <c r="H95" s="521"/>
      <c r="I95" s="521"/>
      <c r="J95" s="521"/>
      <c r="K95" s="521"/>
    </row>
    <row r="96" spans="1:11" ht="12.75" customHeight="1" x14ac:dyDescent="0.2">
      <c r="A96" s="463" t="s">
        <v>391</v>
      </c>
      <c r="B96" s="470">
        <v>1920</v>
      </c>
      <c r="C96" s="551">
        <v>3250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3371930</v>
      </c>
      <c r="I103" s="468"/>
      <c r="J103" s="510"/>
      <c r="K103" s="510"/>
    </row>
    <row r="104" spans="1:12" ht="12.75" customHeight="1" x14ac:dyDescent="0.2">
      <c r="A104" s="463" t="s">
        <v>830</v>
      </c>
      <c r="B104" s="470">
        <v>1991</v>
      </c>
      <c r="C104" s="489">
        <v>119750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1078371</v>
      </c>
      <c r="D107" s="466">
        <v>45625</v>
      </c>
      <c r="E107" s="466"/>
      <c r="F107" s="466"/>
      <c r="G107" s="466"/>
      <c r="H107" s="466"/>
      <c r="I107" s="466"/>
      <c r="J107" s="467"/>
      <c r="K107" s="466"/>
    </row>
    <row r="108" spans="1:12" ht="12.75" customHeight="1" thickBot="1" x14ac:dyDescent="0.25">
      <c r="A108" s="1705" t="s">
        <v>487</v>
      </c>
      <c r="B108" s="1709"/>
      <c r="C108" s="1704">
        <f>SUM(C95:C107)</f>
        <v>1474991</v>
      </c>
      <c r="D108" s="1704">
        <f t="shared" ref="D108:K108" si="3">SUM(D95:D107)</f>
        <v>46225</v>
      </c>
      <c r="E108" s="1704">
        <f t="shared" si="3"/>
        <v>0</v>
      </c>
      <c r="F108" s="1704">
        <f t="shared" si="3"/>
        <v>0</v>
      </c>
      <c r="G108" s="1704">
        <f t="shared" si="3"/>
        <v>0</v>
      </c>
      <c r="H108" s="1704">
        <f t="shared" si="3"/>
        <v>3371930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25880637</v>
      </c>
      <c r="D109" s="1712">
        <f t="shared" si="4"/>
        <v>4317656</v>
      </c>
      <c r="E109" s="1712">
        <f t="shared" si="4"/>
        <v>3176594</v>
      </c>
      <c r="F109" s="1712">
        <f t="shared" si="4"/>
        <v>1145670</v>
      </c>
      <c r="G109" s="1712">
        <f t="shared" si="4"/>
        <v>2355129</v>
      </c>
      <c r="H109" s="1712">
        <f t="shared" si="4"/>
        <v>3406965</v>
      </c>
      <c r="I109" s="1712">
        <f t="shared" si="4"/>
        <v>278091</v>
      </c>
      <c r="J109" s="1712">
        <f t="shared" si="4"/>
        <v>837336</v>
      </c>
      <c r="K109" s="1699">
        <f t="shared" si="4"/>
        <v>3733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27755767</v>
      </c>
      <c r="D117" s="481">
        <v>1200000</v>
      </c>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6"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27755767</v>
      </c>
      <c r="D122" s="1704">
        <f t="shared" si="5"/>
        <v>1200000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68880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68880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121588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121588</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8" t="s">
        <v>1056</v>
      </c>
      <c r="B146" s="568">
        <v>3360</v>
      </c>
      <c r="C146" s="569">
        <v>66835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60055</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v>965330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965330</v>
      </c>
      <c r="G155" s="1704">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550548</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135193</v>
      </c>
      <c r="D168" s="580"/>
      <c r="E168" s="580"/>
      <c r="F168" s="580"/>
      <c r="G168" s="581"/>
      <c r="H168" s="582"/>
      <c r="I168" s="581"/>
      <c r="J168" s="581"/>
      <c r="K168" s="582"/>
    </row>
    <row r="169" spans="1:11" ht="12.75" customHeight="1" thickTop="1" thickBot="1" x14ac:dyDescent="0.25">
      <c r="A169" s="2145" t="s">
        <v>398</v>
      </c>
      <c r="B169" s="2146"/>
      <c r="C169" s="1719">
        <f t="shared" ref="C169:K169" si="6">SUM(C132,C141,C145,C146:C150,C155,C156:C167,C168)</f>
        <v>1003099</v>
      </c>
      <c r="D169" s="1719">
        <f t="shared" si="6"/>
        <v>0</v>
      </c>
      <c r="E169" s="1719">
        <f t="shared" si="6"/>
        <v>0</v>
      </c>
      <c r="F169" s="1719">
        <f t="shared" si="6"/>
        <v>965330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28758866</v>
      </c>
      <c r="D170" s="1712">
        <f t="shared" si="7"/>
        <v>1200000</v>
      </c>
      <c r="E170" s="1712">
        <f t="shared" si="7"/>
        <v>0</v>
      </c>
      <c r="F170" s="1712">
        <f t="shared" si="7"/>
        <v>965330</v>
      </c>
      <c r="G170" s="1712">
        <f t="shared" si="7"/>
        <v>0</v>
      </c>
      <c r="H170" s="1712">
        <f t="shared" si="7"/>
        <v>0</v>
      </c>
      <c r="I170" s="1712">
        <f t="shared" si="7"/>
        <v>0</v>
      </c>
      <c r="J170" s="1712">
        <f t="shared" si="7"/>
        <v>0</v>
      </c>
      <c r="K170" s="1699">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v>2446378</v>
      </c>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4">
        <f>SUM(C177:C180)</f>
        <v>2446378</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9" t="s">
        <v>1800</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2725373</v>
      </c>
      <c r="D191" s="468"/>
      <c r="E191" s="561"/>
      <c r="F191" s="468"/>
      <c r="G191" s="585"/>
      <c r="H191" s="468"/>
      <c r="I191" s="468"/>
      <c r="J191" s="468"/>
      <c r="K191" s="468"/>
    </row>
    <row r="192" spans="1:11" ht="12.75" customHeight="1" x14ac:dyDescent="0.2">
      <c r="A192" s="463" t="s">
        <v>1047</v>
      </c>
      <c r="B192" s="470">
        <v>4215</v>
      </c>
      <c r="C192" s="551">
        <v>1863</v>
      </c>
      <c r="D192" s="468"/>
      <c r="E192" s="561"/>
      <c r="F192" s="468"/>
      <c r="G192" s="585"/>
      <c r="H192" s="468"/>
      <c r="I192" s="468"/>
      <c r="J192" s="468"/>
      <c r="K192" s="468"/>
    </row>
    <row r="193" spans="1:11" ht="12.75" customHeight="1" x14ac:dyDescent="0.2">
      <c r="A193" s="463" t="s">
        <v>1059</v>
      </c>
      <c r="B193" s="470">
        <v>4220</v>
      </c>
      <c r="C193" s="551">
        <v>827150</v>
      </c>
      <c r="D193" s="468"/>
      <c r="E193" s="561"/>
      <c r="F193" s="468"/>
      <c r="G193" s="585"/>
      <c r="H193" s="468"/>
      <c r="I193" s="468"/>
      <c r="J193" s="468"/>
      <c r="K193" s="468"/>
    </row>
    <row r="194" spans="1:11" ht="12.75" customHeight="1" x14ac:dyDescent="0.2">
      <c r="A194" s="463" t="s">
        <v>1451</v>
      </c>
      <c r="B194" s="470">
        <v>4225</v>
      </c>
      <c r="C194" s="551">
        <v>24524</v>
      </c>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84287</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3663197</v>
      </c>
      <c r="D198" s="468"/>
      <c r="E198" s="468"/>
      <c r="F198" s="468"/>
      <c r="G198" s="1685">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2485627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24624</v>
      </c>
      <c r="D203" s="466"/>
      <c r="E203" s="468"/>
      <c r="F203" s="466"/>
      <c r="G203" s="466"/>
      <c r="H203" s="468"/>
      <c r="I203" s="468"/>
      <c r="J203" s="468"/>
      <c r="K203" s="468"/>
    </row>
    <row r="204" spans="1:11" ht="12.75" customHeight="1" thickBot="1" x14ac:dyDescent="0.25">
      <c r="A204" s="1705" t="s">
        <v>400</v>
      </c>
      <c r="B204" s="1706"/>
      <c r="C204" s="1704">
        <f>SUM(C200:C203)</f>
        <v>2510251</v>
      </c>
      <c r="D204" s="1704">
        <f>SUM(D200:D203)</f>
        <v>0</v>
      </c>
      <c r="E204" s="468"/>
      <c r="F204" s="1704">
        <f>SUM(F200:F203)</f>
        <v>0</v>
      </c>
      <c r="G204" s="1704">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74064</v>
      </c>
      <c r="D206" s="466"/>
      <c r="E206" s="468"/>
      <c r="F206" s="466"/>
      <c r="G206" s="466"/>
      <c r="H206" s="468"/>
      <c r="I206" s="468"/>
      <c r="J206" s="468"/>
      <c r="K206" s="468"/>
    </row>
    <row r="207" spans="1:11" ht="12.75" customHeight="1" x14ac:dyDescent="0.2">
      <c r="A207" s="463" t="s">
        <v>1453</v>
      </c>
      <c r="B207" s="470">
        <v>4421</v>
      </c>
      <c r="C207" s="551">
        <v>244336</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318400</v>
      </c>
      <c r="D209" s="1704">
        <f>SUM(D206:D208)</f>
        <v>0</v>
      </c>
      <c r="E209" s="468" t="s">
        <v>1169</v>
      </c>
      <c r="F209" s="1704">
        <f>SUM(F206:F208)</f>
        <v>0</v>
      </c>
      <c r="G209" s="1704">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1360663</v>
      </c>
      <c r="D213" s="466"/>
      <c r="E213" s="468"/>
      <c r="F213" s="466"/>
      <c r="G213" s="466"/>
      <c r="H213" s="468"/>
      <c r="I213" s="468"/>
      <c r="J213" s="468"/>
      <c r="K213" s="468"/>
    </row>
    <row r="214" spans="1:11" ht="12.75" customHeight="1" x14ac:dyDescent="0.2">
      <c r="A214" s="463" t="s">
        <v>1054</v>
      </c>
      <c r="B214" s="470">
        <v>4625</v>
      </c>
      <c r="C214" s="551">
        <v>24106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1384769</v>
      </c>
      <c r="D217" s="1704">
        <f>SUM(D211:D216)</f>
        <v>0</v>
      </c>
      <c r="E217" s="468"/>
      <c r="F217" s="1704">
        <f>SUM(F211:F216)</f>
        <v>0</v>
      </c>
      <c r="G217" s="1704">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7732</v>
      </c>
      <c r="D255" s="468"/>
      <c r="E255" s="468"/>
      <c r="F255" s="578"/>
      <c r="G255" s="573"/>
      <c r="H255" s="468"/>
      <c r="I255" s="468"/>
      <c r="J255" s="468"/>
      <c r="K255" s="468"/>
    </row>
    <row r="256" spans="1:11" ht="12.75" customHeight="1" thickTop="1" thickBot="1" x14ac:dyDescent="0.25">
      <c r="A256" s="463" t="s">
        <v>1457</v>
      </c>
      <c r="B256" s="470">
        <v>4909</v>
      </c>
      <c r="C256" s="576">
        <v>65426</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480378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1932</v>
      </c>
      <c r="B261" s="470">
        <v>4981</v>
      </c>
      <c r="C261" s="575"/>
      <c r="D261" s="576"/>
      <c r="E261" s="468"/>
      <c r="F261" s="576"/>
      <c r="G261" s="576"/>
      <c r="H261" s="468"/>
      <c r="I261" s="468"/>
      <c r="J261" s="468"/>
      <c r="K261" s="468"/>
    </row>
    <row r="262" spans="1:11" ht="12.75" customHeight="1" thickTop="1" thickBot="1" x14ac:dyDescent="0.25">
      <c r="A262" s="1927"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253487</v>
      </c>
      <c r="D263" s="576"/>
      <c r="E263" s="468"/>
      <c r="F263" s="576"/>
      <c r="G263" s="576"/>
      <c r="H263" s="468"/>
      <c r="I263" s="468"/>
      <c r="J263" s="468"/>
      <c r="K263" s="468"/>
    </row>
    <row r="264" spans="1:11" ht="12.75" customHeight="1" thickTop="1" thickBot="1" x14ac:dyDescent="0.25">
      <c r="A264" s="463" t="s">
        <v>377</v>
      </c>
      <c r="B264" s="470">
        <v>4992</v>
      </c>
      <c r="C264" s="575">
        <v>413729</v>
      </c>
      <c r="D264" s="576"/>
      <c r="E264" s="468"/>
      <c r="F264" s="576"/>
      <c r="G264" s="576"/>
      <c r="H264" s="468"/>
      <c r="I264" s="468"/>
      <c r="J264" s="468"/>
      <c r="K264" s="468"/>
    </row>
    <row r="265" spans="1:11" s="593" customFormat="1" ht="12.75" customHeight="1" thickTop="1" thickBot="1" x14ac:dyDescent="0.25">
      <c r="A265" s="563" t="s">
        <v>75</v>
      </c>
      <c r="B265" s="557">
        <v>4999</v>
      </c>
      <c r="C265" s="575">
        <v>640455</v>
      </c>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9737824</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12184202</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66823705</v>
      </c>
      <c r="D268" s="1712">
        <f t="shared" si="12"/>
        <v>5517656</v>
      </c>
      <c r="E268" s="1712">
        <f t="shared" si="12"/>
        <v>3176594</v>
      </c>
      <c r="F268" s="1712">
        <f t="shared" si="12"/>
        <v>2111000</v>
      </c>
      <c r="G268" s="1712">
        <f t="shared" si="12"/>
        <v>2355129</v>
      </c>
      <c r="H268" s="1712">
        <f t="shared" si="12"/>
        <v>3406965</v>
      </c>
      <c r="I268" s="1712">
        <f t="shared" si="12"/>
        <v>278091</v>
      </c>
      <c r="J268" s="1712">
        <f t="shared" si="12"/>
        <v>837336</v>
      </c>
      <c r="K268" s="1699">
        <f t="shared" si="12"/>
        <v>3733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N368"/>
  <sheetViews>
    <sheetView showGridLines="0" defaultGridColor="0" colorId="8" zoomScale="110" zoomScaleNormal="110" workbookViewId="0">
      <pane ySplit="2" topLeftCell="A57" activePane="bottomLeft" state="frozen"/>
      <selection pane="bottomLeft" activeCell="A41" sqref="A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15828423+4827560+82972</f>
        <v>20738955</v>
      </c>
      <c r="D5" s="466">
        <f>3429501+1110713</f>
        <v>4540214</v>
      </c>
      <c r="E5" s="466">
        <f>339592+41759</f>
        <v>381351</v>
      </c>
      <c r="F5" s="466">
        <f>536014+234497</f>
        <v>770511</v>
      </c>
      <c r="G5" s="466">
        <v>71934</v>
      </c>
      <c r="H5" s="466"/>
      <c r="I5" s="467">
        <v>52410</v>
      </c>
      <c r="J5" s="467"/>
      <c r="K5" s="1668">
        <f>SUM(C5:J5)</f>
        <v>26555375</v>
      </c>
      <c r="L5" s="466">
        <v>26592704</v>
      </c>
    </row>
    <row r="6" spans="1:14" x14ac:dyDescent="0.2">
      <c r="A6" s="1504" t="s">
        <v>1433</v>
      </c>
      <c r="B6" s="614" t="s">
        <v>1431</v>
      </c>
      <c r="C6" s="477"/>
      <c r="D6" s="477"/>
      <c r="E6" s="466"/>
      <c r="F6" s="477"/>
      <c r="G6" s="477"/>
      <c r="H6" s="477"/>
      <c r="I6" s="477"/>
      <c r="J6" s="477"/>
      <c r="K6" s="1668">
        <f>SUM(C6,E6)</f>
        <v>0</v>
      </c>
      <c r="L6" s="466"/>
    </row>
    <row r="7" spans="1:14" x14ac:dyDescent="0.2">
      <c r="A7" s="1504" t="s">
        <v>163</v>
      </c>
      <c r="B7" s="614" t="s">
        <v>967</v>
      </c>
      <c r="C7" s="467">
        <f>5106226-4827560</f>
        <v>278666</v>
      </c>
      <c r="D7" s="467">
        <f>1161546-1110713</f>
        <v>50833</v>
      </c>
      <c r="E7" s="467">
        <f>48081-41759</f>
        <v>6322</v>
      </c>
      <c r="F7" s="467">
        <f>240600-234497</f>
        <v>6103</v>
      </c>
      <c r="G7" s="467"/>
      <c r="H7" s="467"/>
      <c r="I7" s="467">
        <v>0</v>
      </c>
      <c r="J7" s="467"/>
      <c r="K7" s="1668">
        <f t="shared" ref="K7:K32" si="0">SUM(C7:J7)</f>
        <v>341924</v>
      </c>
      <c r="L7" s="466">
        <v>351235</v>
      </c>
    </row>
    <row r="8" spans="1:14" x14ac:dyDescent="0.2">
      <c r="A8" s="1504" t="s">
        <v>164</v>
      </c>
      <c r="B8" s="614">
        <v>1200</v>
      </c>
      <c r="C8" s="466">
        <v>6918207</v>
      </c>
      <c r="D8" s="466">
        <v>1603216</v>
      </c>
      <c r="E8" s="466">
        <v>18636</v>
      </c>
      <c r="F8" s="466">
        <f>17114</f>
        <v>17114</v>
      </c>
      <c r="G8" s="466"/>
      <c r="H8" s="466"/>
      <c r="I8" s="467">
        <f>4399+42620</f>
        <v>47019</v>
      </c>
      <c r="J8" s="467"/>
      <c r="K8" s="1668">
        <f t="shared" si="0"/>
        <v>8604192</v>
      </c>
      <c r="L8" s="466">
        <v>8608192</v>
      </c>
    </row>
    <row r="9" spans="1:14" x14ac:dyDescent="0.2">
      <c r="A9" s="1504" t="s">
        <v>721</v>
      </c>
      <c r="B9" s="614" t="s">
        <v>968</v>
      </c>
      <c r="C9" s="467">
        <v>499298</v>
      </c>
      <c r="D9" s="467">
        <v>131283</v>
      </c>
      <c r="E9" s="467"/>
      <c r="F9" s="467"/>
      <c r="G9" s="467"/>
      <c r="H9" s="467"/>
      <c r="I9" s="467"/>
      <c r="J9" s="467"/>
      <c r="K9" s="1668">
        <f t="shared" si="0"/>
        <v>630581</v>
      </c>
      <c r="L9" s="466">
        <v>297883</v>
      </c>
    </row>
    <row r="10" spans="1:14" x14ac:dyDescent="0.2">
      <c r="A10" s="1504" t="s">
        <v>722</v>
      </c>
      <c r="B10" s="614">
        <v>1250</v>
      </c>
      <c r="C10" s="466">
        <v>518033</v>
      </c>
      <c r="D10" s="466">
        <v>180196</v>
      </c>
      <c r="E10" s="466">
        <v>128682</v>
      </c>
      <c r="F10" s="466">
        <v>1080019</v>
      </c>
      <c r="G10" s="466"/>
      <c r="H10" s="466"/>
      <c r="I10" s="467">
        <v>67573</v>
      </c>
      <c r="J10" s="467"/>
      <c r="K10" s="1668">
        <f t="shared" si="0"/>
        <v>1974503</v>
      </c>
      <c r="L10" s="466">
        <v>1269388</v>
      </c>
    </row>
    <row r="11" spans="1:14" x14ac:dyDescent="0.2">
      <c r="A11" s="1504" t="s">
        <v>1130</v>
      </c>
      <c r="B11" s="614" t="s">
        <v>161</v>
      </c>
      <c r="C11" s="467"/>
      <c r="D11" s="467"/>
      <c r="E11" s="467"/>
      <c r="F11" s="467"/>
      <c r="G11" s="467"/>
      <c r="H11" s="467"/>
      <c r="I11" s="467"/>
      <c r="J11" s="467"/>
      <c r="K11" s="1668">
        <f t="shared" si="0"/>
        <v>0</v>
      </c>
      <c r="L11" s="466"/>
    </row>
    <row r="12" spans="1:14" x14ac:dyDescent="0.2">
      <c r="A12" s="1504" t="s">
        <v>962</v>
      </c>
      <c r="B12" s="614">
        <v>1300</v>
      </c>
      <c r="C12" s="466"/>
      <c r="D12" s="466"/>
      <c r="E12" s="466"/>
      <c r="F12" s="466"/>
      <c r="G12" s="466"/>
      <c r="H12" s="466"/>
      <c r="I12" s="467"/>
      <c r="J12" s="467"/>
      <c r="K12" s="1668">
        <f t="shared" si="0"/>
        <v>0</v>
      </c>
      <c r="L12" s="466"/>
    </row>
    <row r="13" spans="1:14" x14ac:dyDescent="0.2">
      <c r="A13" s="1504" t="s">
        <v>723</v>
      </c>
      <c r="B13" s="614">
        <v>1400</v>
      </c>
      <c r="C13" s="466">
        <v>614289</v>
      </c>
      <c r="D13" s="466">
        <v>135137</v>
      </c>
      <c r="E13" s="466">
        <v>41453</v>
      </c>
      <c r="F13" s="466">
        <v>30608</v>
      </c>
      <c r="G13" s="466"/>
      <c r="H13" s="466"/>
      <c r="I13" s="467">
        <v>4813</v>
      </c>
      <c r="J13" s="467"/>
      <c r="K13" s="1668">
        <f t="shared" si="0"/>
        <v>826300</v>
      </c>
      <c r="L13" s="466">
        <v>865982</v>
      </c>
    </row>
    <row r="14" spans="1:14" x14ac:dyDescent="0.2">
      <c r="A14" s="1504" t="s">
        <v>963</v>
      </c>
      <c r="B14" s="614">
        <v>1500</v>
      </c>
      <c r="C14" s="466">
        <v>1219493</v>
      </c>
      <c r="D14" s="466">
        <v>113503</v>
      </c>
      <c r="E14" s="466">
        <v>128563</v>
      </c>
      <c r="F14" s="466">
        <v>342377</v>
      </c>
      <c r="G14" s="466">
        <v>292102</v>
      </c>
      <c r="H14" s="466">
        <v>1813</v>
      </c>
      <c r="I14" s="467"/>
      <c r="J14" s="467"/>
      <c r="K14" s="1668">
        <f t="shared" si="0"/>
        <v>2097851</v>
      </c>
      <c r="L14" s="466">
        <v>1696803</v>
      </c>
    </row>
    <row r="15" spans="1:14" x14ac:dyDescent="0.2">
      <c r="A15" s="1504" t="s">
        <v>964</v>
      </c>
      <c r="B15" s="614">
        <v>1600</v>
      </c>
      <c r="C15" s="466">
        <v>59098</v>
      </c>
      <c r="D15" s="466">
        <v>7394</v>
      </c>
      <c r="E15" s="466">
        <v>34250</v>
      </c>
      <c r="F15" s="466"/>
      <c r="G15" s="466"/>
      <c r="H15" s="466"/>
      <c r="I15" s="467"/>
      <c r="J15" s="467"/>
      <c r="K15" s="1668">
        <f t="shared" si="0"/>
        <v>100742</v>
      </c>
      <c r="L15" s="466">
        <v>104561</v>
      </c>
    </row>
    <row r="16" spans="1:14" x14ac:dyDescent="0.2">
      <c r="A16" s="1504" t="s">
        <v>987</v>
      </c>
      <c r="B16" s="614" t="s">
        <v>424</v>
      </c>
      <c r="C16" s="466">
        <v>262607</v>
      </c>
      <c r="D16" s="466">
        <v>60487</v>
      </c>
      <c r="E16" s="466">
        <v>790</v>
      </c>
      <c r="F16" s="466">
        <v>2807</v>
      </c>
      <c r="G16" s="466"/>
      <c r="H16" s="466"/>
      <c r="I16" s="467"/>
      <c r="J16" s="467"/>
      <c r="K16" s="1668">
        <f t="shared" si="0"/>
        <v>326691</v>
      </c>
      <c r="L16" s="466">
        <v>341051</v>
      </c>
    </row>
    <row r="17" spans="1:12" x14ac:dyDescent="0.2">
      <c r="A17" s="1504" t="s">
        <v>724</v>
      </c>
      <c r="B17" s="614" t="s">
        <v>162</v>
      </c>
      <c r="C17" s="467"/>
      <c r="D17" s="467"/>
      <c r="E17" s="467"/>
      <c r="F17" s="467"/>
      <c r="G17" s="467"/>
      <c r="H17" s="467"/>
      <c r="I17" s="467"/>
      <c r="J17" s="467"/>
      <c r="K17" s="1668">
        <f t="shared" si="0"/>
        <v>0</v>
      </c>
      <c r="L17" s="466"/>
    </row>
    <row r="18" spans="1:12" x14ac:dyDescent="0.2">
      <c r="A18" s="1504" t="s">
        <v>1087</v>
      </c>
      <c r="B18" s="614">
        <v>1800</v>
      </c>
      <c r="C18" s="466">
        <v>1137387</v>
      </c>
      <c r="D18" s="466">
        <v>264295</v>
      </c>
      <c r="E18" s="466">
        <v>265</v>
      </c>
      <c r="F18" s="466">
        <v>24673</v>
      </c>
      <c r="G18" s="466"/>
      <c r="H18" s="466"/>
      <c r="I18" s="467"/>
      <c r="J18" s="467"/>
      <c r="K18" s="1668">
        <f t="shared" si="0"/>
        <v>1426620</v>
      </c>
      <c r="L18" s="466">
        <v>1433055</v>
      </c>
    </row>
    <row r="19" spans="1:12" x14ac:dyDescent="0.2">
      <c r="A19" s="1504" t="s">
        <v>134</v>
      </c>
      <c r="B19" s="614">
        <v>1900</v>
      </c>
      <c r="C19" s="466"/>
      <c r="D19" s="466"/>
      <c r="E19" s="466"/>
      <c r="F19" s="466"/>
      <c r="G19" s="466"/>
      <c r="H19" s="466"/>
      <c r="I19" s="467"/>
      <c r="J19" s="467"/>
      <c r="K19" s="1668">
        <f t="shared" si="0"/>
        <v>0</v>
      </c>
      <c r="L19" s="466"/>
    </row>
    <row r="20" spans="1:12" x14ac:dyDescent="0.2">
      <c r="A20" s="1505" t="s">
        <v>738</v>
      </c>
      <c r="B20" s="602" t="s">
        <v>725</v>
      </c>
      <c r="C20" s="477"/>
      <c r="D20" s="477"/>
      <c r="E20" s="477"/>
      <c r="F20" s="477"/>
      <c r="G20" s="477"/>
      <c r="H20" s="474"/>
      <c r="I20" s="616"/>
      <c r="J20" s="475"/>
      <c r="K20" s="1668">
        <f t="shared" si="0"/>
        <v>0</v>
      </c>
      <c r="L20" s="471"/>
    </row>
    <row r="21" spans="1:12" x14ac:dyDescent="0.2">
      <c r="A21" s="1505" t="s">
        <v>739</v>
      </c>
      <c r="B21" s="602" t="s">
        <v>726</v>
      </c>
      <c r="C21" s="477"/>
      <c r="D21" s="477"/>
      <c r="E21" s="477"/>
      <c r="F21" s="477"/>
      <c r="G21" s="477"/>
      <c r="H21" s="474"/>
      <c r="I21" s="616"/>
      <c r="J21" s="477"/>
      <c r="K21" s="1668">
        <f t="shared" si="0"/>
        <v>0</v>
      </c>
      <c r="L21" s="471"/>
    </row>
    <row r="22" spans="1:12" x14ac:dyDescent="0.2">
      <c r="A22" s="1505" t="s">
        <v>740</v>
      </c>
      <c r="B22" s="602" t="s">
        <v>727</v>
      </c>
      <c r="C22" s="477"/>
      <c r="D22" s="477"/>
      <c r="E22" s="477"/>
      <c r="F22" s="477"/>
      <c r="G22" s="477"/>
      <c r="H22" s="474"/>
      <c r="I22" s="616"/>
      <c r="J22" s="477"/>
      <c r="K22" s="1668">
        <f t="shared" si="0"/>
        <v>0</v>
      </c>
      <c r="L22" s="471"/>
    </row>
    <row r="23" spans="1:12" x14ac:dyDescent="0.2">
      <c r="A23" s="1505" t="s">
        <v>741</v>
      </c>
      <c r="B23" s="602" t="s">
        <v>728</v>
      </c>
      <c r="C23" s="477"/>
      <c r="D23" s="477"/>
      <c r="E23" s="477"/>
      <c r="F23" s="477"/>
      <c r="G23" s="477"/>
      <c r="H23" s="474"/>
      <c r="I23" s="616"/>
      <c r="J23" s="477"/>
      <c r="K23" s="1668">
        <f t="shared" si="0"/>
        <v>0</v>
      </c>
      <c r="L23" s="471"/>
    </row>
    <row r="24" spans="1:12" ht="12.75" customHeight="1" x14ac:dyDescent="0.2">
      <c r="A24" s="1505" t="s">
        <v>742</v>
      </c>
      <c r="B24" s="602" t="s">
        <v>729</v>
      </c>
      <c r="C24" s="477"/>
      <c r="D24" s="477"/>
      <c r="E24" s="477"/>
      <c r="F24" s="477"/>
      <c r="G24" s="477"/>
      <c r="H24" s="474"/>
      <c r="I24" s="616"/>
      <c r="J24" s="477"/>
      <c r="K24" s="1668">
        <f t="shared" si="0"/>
        <v>0</v>
      </c>
      <c r="L24" s="471"/>
    </row>
    <row r="25" spans="1:12" ht="12.75" customHeight="1" x14ac:dyDescent="0.2">
      <c r="A25" s="1505" t="s">
        <v>802</v>
      </c>
      <c r="B25" s="602" t="s">
        <v>730</v>
      </c>
      <c r="C25" s="477"/>
      <c r="D25" s="477"/>
      <c r="E25" s="477"/>
      <c r="F25" s="477"/>
      <c r="G25" s="477"/>
      <c r="H25" s="474"/>
      <c r="I25" s="616"/>
      <c r="J25" s="477"/>
      <c r="K25" s="1668">
        <f t="shared" si="0"/>
        <v>0</v>
      </c>
      <c r="L25" s="471"/>
    </row>
    <row r="26" spans="1:12" x14ac:dyDescent="0.2">
      <c r="A26" s="1505" t="s">
        <v>622</v>
      </c>
      <c r="B26" s="602" t="s">
        <v>731</v>
      </c>
      <c r="C26" s="477"/>
      <c r="D26" s="477"/>
      <c r="E26" s="477"/>
      <c r="F26" s="477"/>
      <c r="G26" s="477"/>
      <c r="H26" s="474"/>
      <c r="I26" s="616"/>
      <c r="J26" s="477"/>
      <c r="K26" s="1668">
        <f t="shared" si="0"/>
        <v>0</v>
      </c>
      <c r="L26" s="471"/>
    </row>
    <row r="27" spans="1:12" x14ac:dyDescent="0.2">
      <c r="A27" s="1505" t="s">
        <v>623</v>
      </c>
      <c r="B27" s="602" t="s">
        <v>732</v>
      </c>
      <c r="C27" s="477"/>
      <c r="D27" s="477"/>
      <c r="E27" s="477"/>
      <c r="F27" s="477"/>
      <c r="G27" s="477"/>
      <c r="H27" s="474"/>
      <c r="I27" s="616"/>
      <c r="J27" s="477"/>
      <c r="K27" s="1668">
        <f t="shared" si="0"/>
        <v>0</v>
      </c>
      <c r="L27" s="471"/>
    </row>
    <row r="28" spans="1:12" x14ac:dyDescent="0.2">
      <c r="A28" s="1505" t="s">
        <v>150</v>
      </c>
      <c r="B28" s="602" t="s">
        <v>733</v>
      </c>
      <c r="C28" s="477"/>
      <c r="D28" s="477"/>
      <c r="E28" s="477"/>
      <c r="F28" s="477"/>
      <c r="G28" s="477"/>
      <c r="H28" s="474"/>
      <c r="I28" s="616"/>
      <c r="J28" s="477"/>
      <c r="K28" s="1668">
        <f t="shared" si="0"/>
        <v>0</v>
      </c>
      <c r="L28" s="471"/>
    </row>
    <row r="29" spans="1:12" x14ac:dyDescent="0.2">
      <c r="A29" s="1505" t="s">
        <v>151</v>
      </c>
      <c r="B29" s="602" t="s">
        <v>734</v>
      </c>
      <c r="C29" s="477"/>
      <c r="D29" s="477"/>
      <c r="E29" s="477"/>
      <c r="F29" s="477"/>
      <c r="G29" s="477"/>
      <c r="H29" s="474"/>
      <c r="I29" s="616"/>
      <c r="J29" s="477"/>
      <c r="K29" s="1668">
        <f t="shared" si="0"/>
        <v>0</v>
      </c>
      <c r="L29" s="471"/>
    </row>
    <row r="30" spans="1:12" x14ac:dyDescent="0.2">
      <c r="A30" s="1505" t="s">
        <v>152</v>
      </c>
      <c r="B30" s="602" t="s">
        <v>735</v>
      </c>
      <c r="C30" s="477"/>
      <c r="D30" s="477"/>
      <c r="E30" s="477"/>
      <c r="F30" s="477"/>
      <c r="G30" s="477"/>
      <c r="H30" s="474"/>
      <c r="I30" s="616"/>
      <c r="J30" s="477"/>
      <c r="K30" s="1668">
        <f t="shared" si="0"/>
        <v>0</v>
      </c>
      <c r="L30" s="471"/>
    </row>
    <row r="31" spans="1:12" x14ac:dyDescent="0.2">
      <c r="A31" s="1505" t="s">
        <v>153</v>
      </c>
      <c r="B31" s="602" t="s">
        <v>736</v>
      </c>
      <c r="C31" s="477"/>
      <c r="D31" s="477"/>
      <c r="E31" s="477"/>
      <c r="F31" s="477"/>
      <c r="G31" s="477"/>
      <c r="H31" s="474"/>
      <c r="I31" s="616"/>
      <c r="J31" s="477"/>
      <c r="K31" s="1668">
        <f t="shared" si="0"/>
        <v>0</v>
      </c>
      <c r="L31" s="471"/>
    </row>
    <row r="32" spans="1:12" x14ac:dyDescent="0.2">
      <c r="A32" s="1506"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32246033</v>
      </c>
      <c r="D33" s="1667">
        <f t="shared" ref="D33:L33" si="1">SUM(D5:D32)</f>
        <v>7086558</v>
      </c>
      <c r="E33" s="1667">
        <f t="shared" si="1"/>
        <v>740312</v>
      </c>
      <c r="F33" s="1667">
        <f t="shared" si="1"/>
        <v>2274212</v>
      </c>
      <c r="G33" s="1667">
        <f t="shared" si="1"/>
        <v>364036</v>
      </c>
      <c r="H33" s="1667">
        <f t="shared" si="1"/>
        <v>1813</v>
      </c>
      <c r="I33" s="1667">
        <f t="shared" si="1"/>
        <v>171815</v>
      </c>
      <c r="J33" s="1667">
        <f t="shared" si="1"/>
        <v>0</v>
      </c>
      <c r="K33" s="1667">
        <f t="shared" si="1"/>
        <v>42884779</v>
      </c>
      <c r="L33" s="1667">
        <f t="shared" si="1"/>
        <v>41560854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621291</v>
      </c>
      <c r="D36" s="481">
        <v>152829</v>
      </c>
      <c r="E36" s="481"/>
      <c r="F36" s="481"/>
      <c r="G36" s="481"/>
      <c r="H36" s="481">
        <v>323</v>
      </c>
      <c r="I36" s="467"/>
      <c r="J36" s="467"/>
      <c r="K36" s="1668">
        <f t="shared" ref="K36:K41" si="2">SUM(C36:J36)</f>
        <v>774443</v>
      </c>
      <c r="L36" s="466">
        <v>733625</v>
      </c>
    </row>
    <row r="37" spans="1:14" x14ac:dyDescent="0.2">
      <c r="A37" s="1504" t="s">
        <v>1090</v>
      </c>
      <c r="B37" s="614">
        <v>2120</v>
      </c>
      <c r="C37" s="466">
        <v>1353850</v>
      </c>
      <c r="D37" s="466">
        <v>303588</v>
      </c>
      <c r="E37" s="466"/>
      <c r="F37" s="466"/>
      <c r="G37" s="466"/>
      <c r="H37" s="466"/>
      <c r="I37" s="467"/>
      <c r="J37" s="467"/>
      <c r="K37" s="1668">
        <f t="shared" si="2"/>
        <v>1657438</v>
      </c>
      <c r="L37" s="466">
        <v>1640065</v>
      </c>
    </row>
    <row r="38" spans="1:14" x14ac:dyDescent="0.2">
      <c r="A38" s="1504" t="s">
        <v>198</v>
      </c>
      <c r="B38" s="614">
        <v>2130</v>
      </c>
      <c r="C38" s="466">
        <v>497106</v>
      </c>
      <c r="D38" s="466">
        <v>102018</v>
      </c>
      <c r="E38" s="466"/>
      <c r="F38" s="466">
        <v>3480</v>
      </c>
      <c r="G38" s="466"/>
      <c r="H38" s="466"/>
      <c r="I38" s="467">
        <v>1650</v>
      </c>
      <c r="J38" s="467"/>
      <c r="K38" s="1668">
        <f t="shared" si="2"/>
        <v>604254</v>
      </c>
      <c r="L38" s="466">
        <v>638410</v>
      </c>
    </row>
    <row r="39" spans="1:14" x14ac:dyDescent="0.2">
      <c r="A39" s="1504" t="s">
        <v>199</v>
      </c>
      <c r="B39" s="614">
        <v>2140</v>
      </c>
      <c r="C39" s="466">
        <v>994687</v>
      </c>
      <c r="D39" s="466">
        <v>221845</v>
      </c>
      <c r="E39" s="466"/>
      <c r="F39" s="466"/>
      <c r="G39" s="466"/>
      <c r="H39" s="466"/>
      <c r="I39" s="467"/>
      <c r="J39" s="467"/>
      <c r="K39" s="1668">
        <f t="shared" si="2"/>
        <v>1216532</v>
      </c>
      <c r="L39" s="466">
        <v>1250838</v>
      </c>
    </row>
    <row r="40" spans="1:14" x14ac:dyDescent="0.2">
      <c r="A40" s="1504" t="s">
        <v>200</v>
      </c>
      <c r="B40" s="614">
        <v>2150</v>
      </c>
      <c r="C40" s="466">
        <v>731997</v>
      </c>
      <c r="D40" s="466">
        <v>148959</v>
      </c>
      <c r="E40" s="466"/>
      <c r="F40" s="466"/>
      <c r="G40" s="466"/>
      <c r="H40" s="466"/>
      <c r="I40" s="467"/>
      <c r="J40" s="467"/>
      <c r="K40" s="1668">
        <f t="shared" si="2"/>
        <v>880956</v>
      </c>
      <c r="L40" s="466">
        <v>890284</v>
      </c>
    </row>
    <row r="41" spans="1:14" x14ac:dyDescent="0.2">
      <c r="A41" s="1504" t="s">
        <v>1669</v>
      </c>
      <c r="B41" s="614">
        <v>2190</v>
      </c>
      <c r="C41" s="466">
        <v>87785</v>
      </c>
      <c r="D41" s="466">
        <v>1189</v>
      </c>
      <c r="E41" s="466"/>
      <c r="F41" s="466"/>
      <c r="G41" s="466"/>
      <c r="H41" s="466"/>
      <c r="I41" s="467"/>
      <c r="J41" s="467"/>
      <c r="K41" s="1668">
        <f t="shared" si="2"/>
        <v>88974</v>
      </c>
      <c r="L41" s="466">
        <v>80972</v>
      </c>
    </row>
    <row r="42" spans="1:14" ht="12.75" customHeight="1" thickBot="1" x14ac:dyDescent="0.25">
      <c r="A42" s="1665" t="s">
        <v>560</v>
      </c>
      <c r="B42" s="1666" t="s">
        <v>716</v>
      </c>
      <c r="C42" s="1667">
        <f>SUM(C36:C41)</f>
        <v>4286716</v>
      </c>
      <c r="D42" s="1667">
        <f t="shared" ref="D42:L42" si="3">SUM(D36:D41)</f>
        <v>930428</v>
      </c>
      <c r="E42" s="1667">
        <f t="shared" si="3"/>
        <v>0</v>
      </c>
      <c r="F42" s="1667">
        <f t="shared" si="3"/>
        <v>3480</v>
      </c>
      <c r="G42" s="1667">
        <f t="shared" si="3"/>
        <v>0</v>
      </c>
      <c r="H42" s="1667">
        <f t="shared" si="3"/>
        <v>323</v>
      </c>
      <c r="I42" s="1667">
        <f t="shared" si="3"/>
        <v>1650</v>
      </c>
      <c r="J42" s="1667">
        <f t="shared" si="3"/>
        <v>0</v>
      </c>
      <c r="K42" s="1667">
        <f t="shared" si="3"/>
        <v>5222597</v>
      </c>
      <c r="L42" s="1667">
        <f t="shared" si="3"/>
        <v>5234194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668557</v>
      </c>
      <c r="D44" s="481">
        <v>164247</v>
      </c>
      <c r="E44" s="481">
        <v>504339</v>
      </c>
      <c r="F44" s="481">
        <v>104579</v>
      </c>
      <c r="G44" s="481"/>
      <c r="H44" s="481">
        <v>8822</v>
      </c>
      <c r="I44" s="467"/>
      <c r="J44" s="467"/>
      <c r="K44" s="1669">
        <f>SUM(C44:J44)</f>
        <v>1450544</v>
      </c>
      <c r="L44" s="481">
        <v>1829551</v>
      </c>
    </row>
    <row r="45" spans="1:14" x14ac:dyDescent="0.2">
      <c r="A45" s="1504" t="s">
        <v>815</v>
      </c>
      <c r="B45" s="614">
        <v>2220</v>
      </c>
      <c r="C45" s="466">
        <v>251822</v>
      </c>
      <c r="D45" s="466">
        <v>54679</v>
      </c>
      <c r="E45" s="466">
        <v>21933</v>
      </c>
      <c r="F45" s="466">
        <v>48024</v>
      </c>
      <c r="G45" s="466"/>
      <c r="H45" s="466"/>
      <c r="I45" s="467"/>
      <c r="J45" s="467"/>
      <c r="K45" s="1669">
        <f>SUM(C45:J45)</f>
        <v>376458</v>
      </c>
      <c r="L45" s="466">
        <v>553250</v>
      </c>
    </row>
    <row r="46" spans="1:14" x14ac:dyDescent="0.2">
      <c r="A46" s="1504" t="s">
        <v>816</v>
      </c>
      <c r="B46" s="614">
        <v>2230</v>
      </c>
      <c r="C46" s="466">
        <v>71009</v>
      </c>
      <c r="D46" s="466">
        <v>22031</v>
      </c>
      <c r="E46" s="466"/>
      <c r="F46" s="466">
        <v>16933</v>
      </c>
      <c r="G46" s="466"/>
      <c r="H46" s="466"/>
      <c r="I46" s="467"/>
      <c r="J46" s="467"/>
      <c r="K46" s="1669">
        <f>SUM(C46:J46)</f>
        <v>109973</v>
      </c>
      <c r="L46" s="466">
        <v>352757</v>
      </c>
    </row>
    <row r="47" spans="1:14" ht="12.75" customHeight="1" thickBot="1" x14ac:dyDescent="0.25">
      <c r="A47" s="1665" t="s">
        <v>561</v>
      </c>
      <c r="B47" s="1666" t="s">
        <v>32</v>
      </c>
      <c r="C47" s="1667">
        <f>SUM(C44:C46)</f>
        <v>991388</v>
      </c>
      <c r="D47" s="1667">
        <f t="shared" ref="D47:K47" si="4">SUM(D44:D46)</f>
        <v>240957</v>
      </c>
      <c r="E47" s="1667">
        <f t="shared" si="4"/>
        <v>526272</v>
      </c>
      <c r="F47" s="1667">
        <f t="shared" si="4"/>
        <v>169536</v>
      </c>
      <c r="G47" s="1667">
        <f t="shared" si="4"/>
        <v>0</v>
      </c>
      <c r="H47" s="1667">
        <f t="shared" si="4"/>
        <v>8822</v>
      </c>
      <c r="I47" s="1667">
        <f t="shared" si="4"/>
        <v>0</v>
      </c>
      <c r="J47" s="1667">
        <f t="shared" si="4"/>
        <v>0</v>
      </c>
      <c r="K47" s="1667">
        <f t="shared" si="4"/>
        <v>1936975</v>
      </c>
      <c r="L47" s="1667">
        <f>SUM(L44:L46)</f>
        <v>2735558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11190</v>
      </c>
      <c r="E49" s="481">
        <v>215662</v>
      </c>
      <c r="F49" s="481">
        <v>5859</v>
      </c>
      <c r="G49" s="481"/>
      <c r="H49" s="481">
        <v>16023</v>
      </c>
      <c r="I49" s="467"/>
      <c r="J49" s="467"/>
      <c r="K49" s="1669">
        <f>SUM(C49:J49)</f>
        <v>248734</v>
      </c>
      <c r="L49" s="481">
        <v>234360</v>
      </c>
    </row>
    <row r="50" spans="1:14" x14ac:dyDescent="0.2">
      <c r="A50" s="1504" t="s">
        <v>818</v>
      </c>
      <c r="B50" s="614">
        <v>2320</v>
      </c>
      <c r="C50" s="466">
        <v>250731</v>
      </c>
      <c r="D50" s="466">
        <v>39236</v>
      </c>
      <c r="E50" s="466">
        <v>18894</v>
      </c>
      <c r="F50" s="466">
        <v>19651</v>
      </c>
      <c r="G50" s="466"/>
      <c r="H50" s="466">
        <v>2127</v>
      </c>
      <c r="I50" s="467">
        <v>8884</v>
      </c>
      <c r="J50" s="467"/>
      <c r="K50" s="1669">
        <f>SUM(C50:J50)</f>
        <v>339523</v>
      </c>
      <c r="L50" s="466">
        <v>351285</v>
      </c>
    </row>
    <row r="51" spans="1:14" x14ac:dyDescent="0.2">
      <c r="A51" s="1504" t="s">
        <v>42</v>
      </c>
      <c r="B51" s="614">
        <v>2330</v>
      </c>
      <c r="C51" s="466">
        <v>119609</v>
      </c>
      <c r="D51" s="466">
        <v>34560</v>
      </c>
      <c r="E51" s="466"/>
      <c r="F51" s="466"/>
      <c r="G51" s="466"/>
      <c r="H51" s="466"/>
      <c r="I51" s="467"/>
      <c r="J51" s="467"/>
      <c r="K51" s="1669">
        <f>SUM(C51:J51)</f>
        <v>154169</v>
      </c>
      <c r="L51" s="466">
        <v>162192</v>
      </c>
    </row>
    <row r="52" spans="1:14" ht="22.5" x14ac:dyDescent="0.2">
      <c r="A52" s="1505"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370340</v>
      </c>
      <c r="D53" s="1667">
        <f t="shared" ref="D53:L53" si="5">SUM(D49:D52)</f>
        <v>84986</v>
      </c>
      <c r="E53" s="1667">
        <f t="shared" si="5"/>
        <v>234556</v>
      </c>
      <c r="F53" s="1667">
        <f t="shared" si="5"/>
        <v>25510</v>
      </c>
      <c r="G53" s="1667">
        <f t="shared" si="5"/>
        <v>0</v>
      </c>
      <c r="H53" s="1667">
        <f t="shared" si="5"/>
        <v>18150</v>
      </c>
      <c r="I53" s="1667">
        <f t="shared" si="5"/>
        <v>8884</v>
      </c>
      <c r="J53" s="1667">
        <f t="shared" si="5"/>
        <v>0</v>
      </c>
      <c r="K53" s="1667">
        <f t="shared" si="5"/>
        <v>742426</v>
      </c>
      <c r="L53" s="1667">
        <f t="shared" si="5"/>
        <v>747837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2889000</v>
      </c>
      <c r="D55" s="481">
        <v>632231</v>
      </c>
      <c r="E55" s="481"/>
      <c r="F55" s="481"/>
      <c r="G55" s="481"/>
      <c r="H55" s="481">
        <v>1433</v>
      </c>
      <c r="I55" s="467"/>
      <c r="J55" s="467"/>
      <c r="K55" s="1669">
        <f>SUM(C55:J55)</f>
        <v>3522664</v>
      </c>
      <c r="L55" s="481">
        <v>3602390</v>
      </c>
    </row>
    <row r="56" spans="1:14" ht="12.75" customHeight="1" x14ac:dyDescent="0.2">
      <c r="A56" s="1508" t="s">
        <v>376</v>
      </c>
      <c r="B56" s="628">
        <v>2490</v>
      </c>
      <c r="C56" s="466"/>
      <c r="D56" s="466"/>
      <c r="E56" s="466"/>
      <c r="F56" s="466"/>
      <c r="G56" s="466"/>
      <c r="H56" s="466"/>
      <c r="I56" s="467"/>
      <c r="J56" s="467"/>
      <c r="K56" s="1669">
        <f>SUM(C56:J56)</f>
        <v>0</v>
      </c>
      <c r="L56" s="466"/>
    </row>
    <row r="57" spans="1:14" s="343" customFormat="1" ht="12.75" customHeight="1" thickBot="1" x14ac:dyDescent="0.25">
      <c r="A57" s="1665" t="s">
        <v>263</v>
      </c>
      <c r="B57" s="1670" t="s">
        <v>34</v>
      </c>
      <c r="C57" s="1671">
        <f>SUM(C55:C56)</f>
        <v>2889000</v>
      </c>
      <c r="D57" s="1671">
        <f t="shared" ref="D57:K57" si="6">SUM(D55:D56)</f>
        <v>632231</v>
      </c>
      <c r="E57" s="1671">
        <f t="shared" si="6"/>
        <v>0</v>
      </c>
      <c r="F57" s="1671">
        <f t="shared" si="6"/>
        <v>0</v>
      </c>
      <c r="G57" s="1671">
        <f t="shared" si="6"/>
        <v>0</v>
      </c>
      <c r="H57" s="1671">
        <f t="shared" si="6"/>
        <v>1433</v>
      </c>
      <c r="I57" s="1671">
        <f t="shared" si="6"/>
        <v>0</v>
      </c>
      <c r="J57" s="1671">
        <f t="shared" si="6"/>
        <v>0</v>
      </c>
      <c r="K57" s="1671">
        <f t="shared" si="6"/>
        <v>3522664</v>
      </c>
      <c r="L57" s="1667">
        <f>SUM(L55:L56)</f>
        <v>3602390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174243</v>
      </c>
      <c r="D59" s="481">
        <v>28294</v>
      </c>
      <c r="E59" s="481">
        <v>3540</v>
      </c>
      <c r="F59" s="481"/>
      <c r="G59" s="481"/>
      <c r="H59" s="481"/>
      <c r="I59" s="467"/>
      <c r="J59" s="467"/>
      <c r="K59" s="1669">
        <f t="shared" ref="K59:K64" si="7">SUM(C59:J59)</f>
        <v>206077</v>
      </c>
      <c r="L59" s="481">
        <v>207887</v>
      </c>
      <c r="M59" s="609"/>
      <c r="N59" s="609"/>
    </row>
    <row r="60" spans="1:14" s="343" customFormat="1" x14ac:dyDescent="0.2">
      <c r="A60" s="1504" t="s">
        <v>463</v>
      </c>
      <c r="B60" s="614">
        <v>2520</v>
      </c>
      <c r="C60" s="466">
        <v>228478</v>
      </c>
      <c r="D60" s="466">
        <v>51419</v>
      </c>
      <c r="E60" s="466">
        <v>18090</v>
      </c>
      <c r="F60" s="466">
        <v>3457</v>
      </c>
      <c r="G60" s="466"/>
      <c r="H60" s="466"/>
      <c r="I60" s="467"/>
      <c r="J60" s="467"/>
      <c r="K60" s="1669">
        <f t="shared" si="7"/>
        <v>301444</v>
      </c>
      <c r="L60" s="466">
        <v>329701</v>
      </c>
      <c r="M60" s="609"/>
      <c r="N60" s="609"/>
    </row>
    <row r="61" spans="1:14" s="343" customFormat="1" x14ac:dyDescent="0.2">
      <c r="A61" s="1504" t="s">
        <v>197</v>
      </c>
      <c r="B61" s="614">
        <v>2540</v>
      </c>
      <c r="C61" s="466">
        <v>262213</v>
      </c>
      <c r="D61" s="466">
        <v>54481</v>
      </c>
      <c r="E61" s="466">
        <v>65505</v>
      </c>
      <c r="F61" s="466"/>
      <c r="G61" s="466"/>
      <c r="H61" s="466"/>
      <c r="I61" s="467"/>
      <c r="J61" s="467"/>
      <c r="K61" s="1669">
        <f t="shared" si="7"/>
        <v>382199</v>
      </c>
      <c r="L61" s="466">
        <v>351148</v>
      </c>
      <c r="M61" s="609"/>
      <c r="N61" s="609"/>
    </row>
    <row r="62" spans="1:14" s="343" customFormat="1" x14ac:dyDescent="0.2">
      <c r="A62" s="1504" t="s">
        <v>953</v>
      </c>
      <c r="B62" s="614">
        <v>2550</v>
      </c>
      <c r="C62" s="466">
        <v>8640</v>
      </c>
      <c r="D62" s="466">
        <v>1554</v>
      </c>
      <c r="E62" s="466">
        <v>82330</v>
      </c>
      <c r="F62" s="466"/>
      <c r="G62" s="466"/>
      <c r="H62" s="466"/>
      <c r="I62" s="467"/>
      <c r="J62" s="467"/>
      <c r="K62" s="1669">
        <f t="shared" si="7"/>
        <v>92524</v>
      </c>
      <c r="L62" s="466">
        <v>84550</v>
      </c>
      <c r="M62" s="609"/>
      <c r="N62" s="609"/>
    </row>
    <row r="63" spans="1:14" s="609" customFormat="1" x14ac:dyDescent="0.2">
      <c r="A63" s="1504" t="s">
        <v>100</v>
      </c>
      <c r="B63" s="614">
        <v>2560</v>
      </c>
      <c r="C63" s="466">
        <v>1128673</v>
      </c>
      <c r="D63" s="466">
        <v>166969</v>
      </c>
      <c r="E63" s="466">
        <v>48721</v>
      </c>
      <c r="F63" s="466">
        <f>1569776-16650</f>
        <v>1553126</v>
      </c>
      <c r="G63" s="466">
        <v>64416</v>
      </c>
      <c r="H63" s="466">
        <v>2886</v>
      </c>
      <c r="I63" s="467">
        <v>10489</v>
      </c>
      <c r="J63" s="467"/>
      <c r="K63" s="1669">
        <f t="shared" si="7"/>
        <v>2975280</v>
      </c>
      <c r="L63" s="466">
        <v>3022194</v>
      </c>
    </row>
    <row r="64" spans="1:14" s="609" customFormat="1" x14ac:dyDescent="0.2">
      <c r="A64" s="1509" t="s">
        <v>101</v>
      </c>
      <c r="B64" s="630">
        <v>2570</v>
      </c>
      <c r="C64" s="481"/>
      <c r="D64" s="481"/>
      <c r="E64" s="481">
        <v>7702</v>
      </c>
      <c r="F64" s="481"/>
      <c r="G64" s="481"/>
      <c r="H64" s="481"/>
      <c r="I64" s="467"/>
      <c r="J64" s="467"/>
      <c r="K64" s="1669">
        <f t="shared" si="7"/>
        <v>7702</v>
      </c>
      <c r="L64" s="481">
        <v>10000</v>
      </c>
    </row>
    <row r="65" spans="1:14" s="343" customFormat="1" ht="12.75" customHeight="1" thickBot="1" x14ac:dyDescent="0.25">
      <c r="A65" s="1665" t="s">
        <v>719</v>
      </c>
      <c r="B65" s="1666" t="s">
        <v>35</v>
      </c>
      <c r="C65" s="1667">
        <f>SUM(C59:C64)</f>
        <v>1802247</v>
      </c>
      <c r="D65" s="1667">
        <f t="shared" ref="D65:L65" si="8">SUM(D59:D64)</f>
        <v>302717</v>
      </c>
      <c r="E65" s="1667">
        <f t="shared" si="8"/>
        <v>225888</v>
      </c>
      <c r="F65" s="1667">
        <f t="shared" si="8"/>
        <v>1556583</v>
      </c>
      <c r="G65" s="1667">
        <f t="shared" si="8"/>
        <v>64416</v>
      </c>
      <c r="H65" s="1667">
        <f t="shared" si="8"/>
        <v>2886</v>
      </c>
      <c r="I65" s="1667">
        <f t="shared" si="8"/>
        <v>10489</v>
      </c>
      <c r="J65" s="1667">
        <f t="shared" si="8"/>
        <v>0</v>
      </c>
      <c r="K65" s="1667">
        <f t="shared" si="8"/>
        <v>3965226</v>
      </c>
      <c r="L65" s="1667">
        <f t="shared" si="8"/>
        <v>4005480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69">
        <f>SUM(C67:J67)</f>
        <v>0</v>
      </c>
      <c r="L67" s="481"/>
      <c r="M67" s="609"/>
      <c r="N67" s="609"/>
    </row>
    <row r="68" spans="1:14" s="343" customFormat="1" x14ac:dyDescent="0.2">
      <c r="A68" s="1504" t="s">
        <v>607</v>
      </c>
      <c r="B68" s="614">
        <v>2620</v>
      </c>
      <c r="C68" s="466"/>
      <c r="D68" s="466"/>
      <c r="E68" s="466"/>
      <c r="F68" s="466"/>
      <c r="G68" s="466"/>
      <c r="H68" s="466"/>
      <c r="I68" s="467"/>
      <c r="J68" s="467"/>
      <c r="K68" s="1669">
        <f>SUM(C68:J68)</f>
        <v>0</v>
      </c>
      <c r="L68" s="466"/>
      <c r="M68" s="609"/>
      <c r="N68" s="609"/>
    </row>
    <row r="69" spans="1:14" s="343" customFormat="1" x14ac:dyDescent="0.2">
      <c r="A69" s="1504" t="s">
        <v>1061</v>
      </c>
      <c r="B69" s="614">
        <v>2630</v>
      </c>
      <c r="C69" s="466">
        <v>71930</v>
      </c>
      <c r="D69" s="466">
        <v>9930</v>
      </c>
      <c r="E69" s="466">
        <v>6831</v>
      </c>
      <c r="F69" s="466">
        <v>15970</v>
      </c>
      <c r="G69" s="466"/>
      <c r="H69" s="466">
        <v>285</v>
      </c>
      <c r="I69" s="467"/>
      <c r="J69" s="467"/>
      <c r="K69" s="1669">
        <f>SUM(C69:J69)</f>
        <v>104946</v>
      </c>
      <c r="L69" s="466">
        <v>98059</v>
      </c>
      <c r="M69" s="609"/>
      <c r="N69" s="609"/>
    </row>
    <row r="70" spans="1:14" s="343" customFormat="1" x14ac:dyDescent="0.2">
      <c r="A70" s="1504" t="s">
        <v>403</v>
      </c>
      <c r="B70" s="614">
        <v>2640</v>
      </c>
      <c r="C70" s="466">
        <v>412399</v>
      </c>
      <c r="D70" s="466">
        <v>60556</v>
      </c>
      <c r="E70" s="466">
        <v>110951</v>
      </c>
      <c r="F70" s="466">
        <v>9162</v>
      </c>
      <c r="G70" s="466"/>
      <c r="H70" s="466"/>
      <c r="I70" s="467">
        <v>4079</v>
      </c>
      <c r="J70" s="467"/>
      <c r="K70" s="1669">
        <f>SUM(C70:J70)</f>
        <v>597147</v>
      </c>
      <c r="L70" s="466">
        <v>428746</v>
      </c>
      <c r="M70" s="609"/>
      <c r="N70" s="609"/>
    </row>
    <row r="71" spans="1:14" s="343" customFormat="1" x14ac:dyDescent="0.2">
      <c r="A71" s="1504" t="s">
        <v>404</v>
      </c>
      <c r="B71" s="614">
        <v>2660</v>
      </c>
      <c r="C71" s="466">
        <v>408556</v>
      </c>
      <c r="D71" s="466">
        <v>92757</v>
      </c>
      <c r="E71" s="466">
        <v>563263</v>
      </c>
      <c r="F71" s="466">
        <v>12082</v>
      </c>
      <c r="G71" s="466">
        <v>9705</v>
      </c>
      <c r="H71" s="466"/>
      <c r="I71" s="467">
        <v>142694</v>
      </c>
      <c r="J71" s="467"/>
      <c r="K71" s="1669">
        <f>SUM(C71:J71)</f>
        <v>1229057</v>
      </c>
      <c r="L71" s="466">
        <v>1143768</v>
      </c>
      <c r="M71" s="609"/>
      <c r="N71" s="609"/>
    </row>
    <row r="72" spans="1:14" s="343" customFormat="1" ht="12.75" customHeight="1" thickBot="1" x14ac:dyDescent="0.25">
      <c r="A72" s="1665" t="s">
        <v>37</v>
      </c>
      <c r="B72" s="1672" t="s">
        <v>36</v>
      </c>
      <c r="C72" s="1667">
        <f>SUM(C67:C71)</f>
        <v>892885</v>
      </c>
      <c r="D72" s="1667">
        <f t="shared" ref="D72:K72" si="9">SUM(D67:D71)</f>
        <v>163243</v>
      </c>
      <c r="E72" s="1667">
        <f t="shared" si="9"/>
        <v>681045</v>
      </c>
      <c r="F72" s="1667">
        <f t="shared" si="9"/>
        <v>37214</v>
      </c>
      <c r="G72" s="1667">
        <f t="shared" si="9"/>
        <v>9705</v>
      </c>
      <c r="H72" s="1667">
        <f t="shared" si="9"/>
        <v>285</v>
      </c>
      <c r="I72" s="1667">
        <f t="shared" si="9"/>
        <v>146773</v>
      </c>
      <c r="J72" s="1667">
        <f t="shared" si="9"/>
        <v>0</v>
      </c>
      <c r="K72" s="1667">
        <f t="shared" si="9"/>
        <v>1931150</v>
      </c>
      <c r="L72" s="1667">
        <f>SUM(L67:L71)</f>
        <v>1670573</v>
      </c>
      <c r="M72" s="609"/>
      <c r="N72" s="609"/>
    </row>
    <row r="73" spans="1:14" s="343" customFormat="1" ht="14.25" thickTop="1" thickBot="1" x14ac:dyDescent="0.25">
      <c r="A73" s="1510" t="s">
        <v>980</v>
      </c>
      <c r="B73" s="632" t="s">
        <v>574</v>
      </c>
      <c r="C73" s="573">
        <v>91212</v>
      </c>
      <c r="D73" s="573">
        <v>33390</v>
      </c>
      <c r="E73" s="573"/>
      <c r="F73" s="573"/>
      <c r="G73" s="573"/>
      <c r="H73" s="573"/>
      <c r="I73" s="531"/>
      <c r="J73" s="531"/>
      <c r="K73" s="1667">
        <f>SUM(C73:J73)</f>
        <v>124602</v>
      </c>
      <c r="L73" s="576"/>
      <c r="M73" s="609"/>
      <c r="N73" s="609"/>
    </row>
    <row r="74" spans="1:14" ht="12.75" customHeight="1" thickTop="1" thickBot="1" x14ac:dyDescent="0.25">
      <c r="A74" s="1665" t="s">
        <v>811</v>
      </c>
      <c r="B74" s="1673">
        <v>2000</v>
      </c>
      <c r="C74" s="1674">
        <f>SUM(C42,C47,C53,C57,C65,C72,C73)</f>
        <v>11323788</v>
      </c>
      <c r="D74" s="1674">
        <f t="shared" ref="D74:K74" si="10">SUM(D42,D47,D53,D57,D65,D72,D73)</f>
        <v>2387952</v>
      </c>
      <c r="E74" s="1674">
        <f t="shared" si="10"/>
        <v>1667761</v>
      </c>
      <c r="F74" s="1674">
        <f t="shared" si="10"/>
        <v>1792323</v>
      </c>
      <c r="G74" s="1674">
        <f t="shared" si="10"/>
        <v>74121</v>
      </c>
      <c r="H74" s="1674">
        <f t="shared" si="10"/>
        <v>31899</v>
      </c>
      <c r="I74" s="1674">
        <f t="shared" si="10"/>
        <v>167796</v>
      </c>
      <c r="J74" s="1674">
        <f t="shared" si="10"/>
        <v>0</v>
      </c>
      <c r="K74" s="1674">
        <f t="shared" si="10"/>
        <v>17445640</v>
      </c>
      <c r="L74" s="1674">
        <f>SUM(L42,L47,L53,L57,L65,L72,L73)</f>
        <v>17996032</v>
      </c>
    </row>
    <row r="75" spans="1:14" s="259" customFormat="1" ht="15.75" customHeight="1" thickTop="1" thickBot="1" x14ac:dyDescent="0.25">
      <c r="A75" s="1610" t="s">
        <v>47</v>
      </c>
      <c r="B75" s="1611" t="s">
        <v>575</v>
      </c>
      <c r="C75" s="573">
        <v>1818691</v>
      </c>
      <c r="D75" s="573">
        <v>511995</v>
      </c>
      <c r="E75" s="573">
        <v>958071</v>
      </c>
      <c r="F75" s="573">
        <v>134870</v>
      </c>
      <c r="G75" s="573"/>
      <c r="H75" s="573">
        <v>25365</v>
      </c>
      <c r="I75" s="531">
        <v>11539</v>
      </c>
      <c r="J75" s="531"/>
      <c r="K75" s="1667">
        <f>SUM(C75:J75)</f>
        <v>3460531</v>
      </c>
      <c r="L75" s="576">
        <v>3326531</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8">
        <f t="shared" ref="K78:K83" si="11">SUM(C78:J78)</f>
        <v>0</v>
      </c>
      <c r="L78" s="481"/>
    </row>
    <row r="79" spans="1:14" x14ac:dyDescent="0.2">
      <c r="A79" s="1504" t="s">
        <v>304</v>
      </c>
      <c r="B79" s="614">
        <v>4120</v>
      </c>
      <c r="C79" s="616"/>
      <c r="D79" s="616"/>
      <c r="E79" s="466"/>
      <c r="F79" s="616"/>
      <c r="G79" s="616"/>
      <c r="H79" s="466">
        <v>2094682</v>
      </c>
      <c r="I79" s="477"/>
      <c r="J79" s="477"/>
      <c r="K79" s="1668">
        <f t="shared" si="11"/>
        <v>2094682</v>
      </c>
      <c r="L79" s="466">
        <v>2060000</v>
      </c>
    </row>
    <row r="80" spans="1:14" x14ac:dyDescent="0.2">
      <c r="A80" s="1504" t="s">
        <v>305</v>
      </c>
      <c r="B80" s="614">
        <v>4130</v>
      </c>
      <c r="C80" s="616"/>
      <c r="D80" s="616"/>
      <c r="E80" s="466"/>
      <c r="F80" s="616"/>
      <c r="G80" s="616"/>
      <c r="H80" s="466"/>
      <c r="I80" s="477"/>
      <c r="J80" s="477"/>
      <c r="K80" s="1668">
        <f t="shared" si="11"/>
        <v>0</v>
      </c>
      <c r="L80" s="466"/>
    </row>
    <row r="81" spans="1:12" x14ac:dyDescent="0.2">
      <c r="A81" s="1504" t="s">
        <v>697</v>
      </c>
      <c r="B81" s="614">
        <v>4140</v>
      </c>
      <c r="C81" s="616"/>
      <c r="D81" s="616"/>
      <c r="E81" s="466"/>
      <c r="F81" s="616"/>
      <c r="G81" s="616"/>
      <c r="H81" s="466"/>
      <c r="I81" s="477"/>
      <c r="J81" s="477"/>
      <c r="K81" s="1668">
        <f t="shared" si="11"/>
        <v>0</v>
      </c>
      <c r="L81" s="466"/>
    </row>
    <row r="82" spans="1:12" x14ac:dyDescent="0.2">
      <c r="A82" s="1504" t="s">
        <v>86</v>
      </c>
      <c r="B82" s="614">
        <v>4170</v>
      </c>
      <c r="C82" s="616"/>
      <c r="D82" s="616"/>
      <c r="E82" s="466"/>
      <c r="F82" s="616"/>
      <c r="G82" s="616"/>
      <c r="H82" s="466"/>
      <c r="I82" s="477"/>
      <c r="J82" s="477"/>
      <c r="K82" s="1668">
        <f t="shared" si="11"/>
        <v>0</v>
      </c>
      <c r="L82" s="466"/>
    </row>
    <row r="83" spans="1:12" x14ac:dyDescent="0.2">
      <c r="A83" s="1508" t="s">
        <v>698</v>
      </c>
      <c r="B83" s="628">
        <v>4190</v>
      </c>
      <c r="C83" s="616"/>
      <c r="D83" s="616"/>
      <c r="E83" s="466">
        <v>9210</v>
      </c>
      <c r="F83" s="616"/>
      <c r="G83" s="616"/>
      <c r="H83" s="466"/>
      <c r="I83" s="477"/>
      <c r="J83" s="477"/>
      <c r="K83" s="1668">
        <f t="shared" si="11"/>
        <v>9210</v>
      </c>
      <c r="L83" s="466">
        <v>35000</v>
      </c>
    </row>
    <row r="84" spans="1:12" ht="13.5" thickBot="1" x14ac:dyDescent="0.25">
      <c r="A84" s="1665" t="s">
        <v>1485</v>
      </c>
      <c r="B84" s="1675">
        <v>4100</v>
      </c>
      <c r="C84" s="616"/>
      <c r="D84" s="616"/>
      <c r="E84" s="1667">
        <f>SUM(E78:E83)</f>
        <v>9210</v>
      </c>
      <c r="F84" s="616"/>
      <c r="G84" s="616"/>
      <c r="H84" s="1667">
        <f>SUM(H78:H83)</f>
        <v>2094682</v>
      </c>
      <c r="I84" s="477"/>
      <c r="J84" s="477"/>
      <c r="K84" s="1667">
        <f>SUM(K78:K83)</f>
        <v>2103892</v>
      </c>
      <c r="L84" s="1667">
        <f>SUM(L78:L83)</f>
        <v>2095000</v>
      </c>
    </row>
    <row r="85" spans="1:12" ht="12.75" customHeight="1" thickTop="1" thickBot="1" x14ac:dyDescent="0.25">
      <c r="A85" s="1511" t="s">
        <v>255</v>
      </c>
      <c r="B85" s="635">
        <v>4210</v>
      </c>
      <c r="C85" s="616"/>
      <c r="D85" s="616"/>
      <c r="E85" s="636"/>
      <c r="F85" s="616"/>
      <c r="G85" s="616"/>
      <c r="H85" s="535"/>
      <c r="I85" s="477"/>
      <c r="J85" s="477"/>
      <c r="K85" s="1674">
        <f>H85</f>
        <v>0</v>
      </c>
      <c r="L85" s="530"/>
    </row>
    <row r="86" spans="1:12" ht="12.75" customHeight="1" thickTop="1" thickBot="1" x14ac:dyDescent="0.25">
      <c r="A86" s="1512" t="s">
        <v>699</v>
      </c>
      <c r="B86" s="637">
        <v>4220</v>
      </c>
      <c r="C86" s="616"/>
      <c r="D86" s="616"/>
      <c r="E86" s="638"/>
      <c r="F86" s="616"/>
      <c r="G86" s="616"/>
      <c r="H86" s="467"/>
      <c r="I86" s="477"/>
      <c r="J86" s="477"/>
      <c r="K86" s="1674">
        <f t="shared" ref="K86:K98" si="12">H86</f>
        <v>0</v>
      </c>
      <c r="L86" s="530"/>
    </row>
    <row r="87" spans="1:12" ht="14.25" thickTop="1" thickBot="1" x14ac:dyDescent="0.25">
      <c r="A87" s="1513" t="s">
        <v>700</v>
      </c>
      <c r="B87" s="639">
        <v>4230</v>
      </c>
      <c r="C87" s="616"/>
      <c r="D87" s="616"/>
      <c r="E87" s="638"/>
      <c r="F87" s="616"/>
      <c r="G87" s="616"/>
      <c r="H87" s="467"/>
      <c r="I87" s="477"/>
      <c r="J87" s="477"/>
      <c r="K87" s="1674">
        <f t="shared" si="12"/>
        <v>0</v>
      </c>
      <c r="L87" s="530"/>
    </row>
    <row r="88" spans="1:12" ht="12.75" customHeight="1" thickTop="1" thickBot="1" x14ac:dyDescent="0.25">
      <c r="A88" s="1513" t="s">
        <v>765</v>
      </c>
      <c r="B88" s="639">
        <v>4240</v>
      </c>
      <c r="C88" s="616"/>
      <c r="D88" s="616"/>
      <c r="E88" s="638"/>
      <c r="F88" s="616"/>
      <c r="G88" s="616"/>
      <c r="H88" s="467">
        <v>25900</v>
      </c>
      <c r="I88" s="477"/>
      <c r="J88" s="477"/>
      <c r="K88" s="1674">
        <f t="shared" si="12"/>
        <v>25900</v>
      </c>
      <c r="L88" s="530">
        <v>35000</v>
      </c>
    </row>
    <row r="89" spans="1:12" ht="12.75" customHeight="1" thickTop="1" thickBot="1" x14ac:dyDescent="0.25">
      <c r="A89" s="1513" t="s">
        <v>701</v>
      </c>
      <c r="B89" s="639">
        <v>4270</v>
      </c>
      <c r="C89" s="616"/>
      <c r="D89" s="616"/>
      <c r="E89" s="638"/>
      <c r="F89" s="616"/>
      <c r="G89" s="616"/>
      <c r="H89" s="467"/>
      <c r="I89" s="477"/>
      <c r="J89" s="477"/>
      <c r="K89" s="1674">
        <f t="shared" si="12"/>
        <v>0</v>
      </c>
      <c r="L89" s="530"/>
    </row>
    <row r="90" spans="1:12" ht="12.75" customHeight="1" thickTop="1" thickBot="1" x14ac:dyDescent="0.25">
      <c r="A90" s="1513" t="s">
        <v>686</v>
      </c>
      <c r="B90" s="639">
        <v>4280</v>
      </c>
      <c r="C90" s="616"/>
      <c r="D90" s="616"/>
      <c r="E90" s="638"/>
      <c r="F90" s="616"/>
      <c r="G90" s="616"/>
      <c r="H90" s="467"/>
      <c r="I90" s="477"/>
      <c r="J90" s="477"/>
      <c r="K90" s="1674">
        <f t="shared" si="12"/>
        <v>0</v>
      </c>
      <c r="L90" s="530"/>
    </row>
    <row r="91" spans="1:12" ht="12.75" customHeight="1" thickTop="1" thickBot="1" x14ac:dyDescent="0.25">
      <c r="A91" s="1513"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25900</v>
      </c>
      <c r="I92" s="477"/>
      <c r="J92" s="477"/>
      <c r="K92" s="1674">
        <f t="shared" si="12"/>
        <v>25900</v>
      </c>
      <c r="L92" s="1667">
        <f>SUM(L85:L91)</f>
        <v>35000</v>
      </c>
    </row>
    <row r="93" spans="1:12" ht="14.25" thickTop="1" thickBot="1" x14ac:dyDescent="0.25">
      <c r="A93" s="1512" t="s">
        <v>688</v>
      </c>
      <c r="B93" s="640">
        <v>4310</v>
      </c>
      <c r="C93" s="616"/>
      <c r="D93" s="616"/>
      <c r="E93" s="638"/>
      <c r="F93" s="616"/>
      <c r="G93" s="616"/>
      <c r="H93" s="641"/>
      <c r="I93" s="477"/>
      <c r="J93" s="477"/>
      <c r="K93" s="1674">
        <f t="shared" si="12"/>
        <v>0</v>
      </c>
      <c r="L93" s="532"/>
    </row>
    <row r="94" spans="1:12" ht="12.75" customHeight="1" thickTop="1" thickBot="1" x14ac:dyDescent="0.25">
      <c r="A94" s="1513" t="s">
        <v>689</v>
      </c>
      <c r="B94" s="639">
        <v>4320</v>
      </c>
      <c r="C94" s="616"/>
      <c r="D94" s="616"/>
      <c r="E94" s="638"/>
      <c r="F94" s="616"/>
      <c r="G94" s="616"/>
      <c r="H94" s="467"/>
      <c r="I94" s="477"/>
      <c r="J94" s="477"/>
      <c r="K94" s="1674">
        <f t="shared" si="12"/>
        <v>0</v>
      </c>
      <c r="L94" s="530"/>
    </row>
    <row r="95" spans="1:12" ht="15" customHeight="1" thickTop="1" thickBot="1" x14ac:dyDescent="0.25">
      <c r="A95" s="1513" t="s">
        <v>1488</v>
      </c>
      <c r="B95" s="639">
        <v>4330</v>
      </c>
      <c r="C95" s="616"/>
      <c r="D95" s="616"/>
      <c r="E95" s="638"/>
      <c r="F95" s="616"/>
      <c r="G95" s="616"/>
      <c r="H95" s="467"/>
      <c r="I95" s="477"/>
      <c r="J95" s="477"/>
      <c r="K95" s="1674">
        <f t="shared" si="12"/>
        <v>0</v>
      </c>
      <c r="L95" s="530"/>
    </row>
    <row r="96" spans="1:12" ht="14.25" thickTop="1" thickBot="1" x14ac:dyDescent="0.25">
      <c r="A96" s="1513" t="s">
        <v>690</v>
      </c>
      <c r="B96" s="639">
        <v>4340</v>
      </c>
      <c r="C96" s="616"/>
      <c r="D96" s="616"/>
      <c r="E96" s="638"/>
      <c r="F96" s="616"/>
      <c r="G96" s="616"/>
      <c r="H96" s="467"/>
      <c r="I96" s="477"/>
      <c r="J96" s="477"/>
      <c r="K96" s="1674">
        <f t="shared" si="12"/>
        <v>0</v>
      </c>
      <c r="L96" s="530"/>
    </row>
    <row r="97" spans="1:14" ht="12.75" customHeight="1" thickTop="1" thickBot="1" x14ac:dyDescent="0.25">
      <c r="A97" s="1513" t="s">
        <v>763</v>
      </c>
      <c r="B97" s="639">
        <v>4370</v>
      </c>
      <c r="C97" s="616"/>
      <c r="D97" s="616"/>
      <c r="E97" s="638"/>
      <c r="F97" s="616"/>
      <c r="G97" s="616"/>
      <c r="H97" s="467"/>
      <c r="I97" s="477"/>
      <c r="J97" s="477"/>
      <c r="K97" s="1674">
        <f t="shared" si="12"/>
        <v>0</v>
      </c>
      <c r="L97" s="530"/>
    </row>
    <row r="98" spans="1:14" ht="14.25" thickTop="1" thickBot="1" x14ac:dyDescent="0.25">
      <c r="A98" s="1513" t="s">
        <v>764</v>
      </c>
      <c r="B98" s="639">
        <v>4380</v>
      </c>
      <c r="C98" s="616"/>
      <c r="D98" s="616"/>
      <c r="E98" s="642"/>
      <c r="F98" s="616"/>
      <c r="G98" s="616"/>
      <c r="H98" s="467"/>
      <c r="I98" s="477"/>
      <c r="J98" s="477"/>
      <c r="K98" s="1674">
        <f t="shared" si="12"/>
        <v>0</v>
      </c>
      <c r="L98" s="530"/>
    </row>
    <row r="99" spans="1:14" ht="14.25" thickTop="1" thickBot="1" x14ac:dyDescent="0.25">
      <c r="A99" s="1513"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10"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9210</v>
      </c>
      <c r="F102" s="616"/>
      <c r="G102" s="616"/>
      <c r="H102" s="1674">
        <f>SUM(H84,H92,H100,H101)</f>
        <v>2120582</v>
      </c>
      <c r="I102" s="477"/>
      <c r="J102" s="477"/>
      <c r="K102" s="1674">
        <f>SUM(K84,K92,K100,K101)</f>
        <v>2129792</v>
      </c>
      <c r="L102" s="1674">
        <f>SUM(L84,L92,L100,L101)</f>
        <v>2130000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8">
        <f>H105</f>
        <v>0</v>
      </c>
      <c r="L105" s="481"/>
      <c r="M105" s="210"/>
      <c r="N105" s="210"/>
    </row>
    <row r="106" spans="1:14" s="597" customFormat="1" x14ac:dyDescent="0.2">
      <c r="A106" s="1504"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8">
        <f>H107</f>
        <v>0</v>
      </c>
      <c r="L107" s="466"/>
      <c r="M107" s="210"/>
      <c r="N107" s="210"/>
    </row>
    <row r="108" spans="1:14" s="597" customFormat="1" x14ac:dyDescent="0.2">
      <c r="A108" s="1504" t="s">
        <v>89</v>
      </c>
      <c r="B108" s="614" t="s">
        <v>589</v>
      </c>
      <c r="C108" s="616"/>
      <c r="D108" s="616"/>
      <c r="E108" s="616"/>
      <c r="F108" s="616"/>
      <c r="G108" s="616"/>
      <c r="H108" s="466"/>
      <c r="I108" s="468"/>
      <c r="J108" s="468"/>
      <c r="K108" s="1668">
        <f>H108</f>
        <v>0</v>
      </c>
      <c r="L108" s="466"/>
      <c r="M108" s="210"/>
      <c r="N108" s="210"/>
    </row>
    <row r="109" spans="1:14" s="597" customFormat="1" x14ac:dyDescent="0.2">
      <c r="A109" s="1504"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45388512</v>
      </c>
      <c r="D114" s="1667">
        <f t="shared" ref="D114:K114" si="13">SUM(D33,D74,D75,D102,D112,D113)</f>
        <v>9986505</v>
      </c>
      <c r="E114" s="1667">
        <f t="shared" si="13"/>
        <v>3375354</v>
      </c>
      <c r="F114" s="1667">
        <f t="shared" si="13"/>
        <v>4201405</v>
      </c>
      <c r="G114" s="1667">
        <f t="shared" si="13"/>
        <v>438157</v>
      </c>
      <c r="H114" s="1667">
        <f>SUM(H33,H74,H75,H102,H112,H113)</f>
        <v>2179659</v>
      </c>
      <c r="I114" s="1667">
        <f t="shared" si="13"/>
        <v>351150</v>
      </c>
      <c r="J114" s="1667">
        <f t="shared" si="13"/>
        <v>0</v>
      </c>
      <c r="K114" s="1667">
        <f t="shared" si="13"/>
        <v>65920742</v>
      </c>
      <c r="L114" s="1667">
        <f>SUM(L33,L74,L75,L102,L112,L113)</f>
        <v>65013417</v>
      </c>
    </row>
    <row r="115" spans="1:14" ht="13.5" thickTop="1" x14ac:dyDescent="0.2">
      <c r="A115" s="2157" t="s">
        <v>996</v>
      </c>
      <c r="B115" s="2158"/>
      <c r="C115" s="618"/>
      <c r="D115" s="618"/>
      <c r="E115" s="618"/>
      <c r="F115" s="618"/>
      <c r="G115" s="618"/>
      <c r="H115" s="618"/>
      <c r="I115" s="618"/>
      <c r="J115" s="618"/>
      <c r="K115" s="1681">
        <f>'Revenues 9-14'!C268-'Expenditures 15-22'!K114</f>
        <v>902963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7">
        <f>SUM(C122:J122)</f>
        <v>0</v>
      </c>
      <c r="L122" s="466"/>
    </row>
    <row r="123" spans="1:14" ht="14.25" thickTop="1" thickBot="1" x14ac:dyDescent="0.25">
      <c r="A123" s="1504" t="s">
        <v>4</v>
      </c>
      <c r="B123" s="614">
        <v>2530</v>
      </c>
      <c r="C123" s="466"/>
      <c r="D123" s="466"/>
      <c r="E123" s="466"/>
      <c r="F123" s="466"/>
      <c r="G123" s="466">
        <v>591</v>
      </c>
      <c r="H123" s="466"/>
      <c r="I123" s="467"/>
      <c r="J123" s="467"/>
      <c r="K123" s="1667">
        <f>SUM(C123:J123)</f>
        <v>591</v>
      </c>
      <c r="L123" s="466">
        <v>0</v>
      </c>
    </row>
    <row r="124" spans="1:14" ht="14.25" thickTop="1" thickBot="1" x14ac:dyDescent="0.25">
      <c r="A124" s="1504" t="s">
        <v>197</v>
      </c>
      <c r="B124" s="614">
        <v>2540</v>
      </c>
      <c r="C124" s="466">
        <v>2298382</v>
      </c>
      <c r="D124" s="466">
        <v>425591</v>
      </c>
      <c r="E124" s="466">
        <v>1314605</v>
      </c>
      <c r="F124" s="466">
        <v>1238744</v>
      </c>
      <c r="G124" s="466">
        <v>53259</v>
      </c>
      <c r="H124" s="466"/>
      <c r="I124" s="467">
        <v>10246</v>
      </c>
      <c r="J124" s="467"/>
      <c r="K124" s="1667">
        <f>SUM(C124:J124)</f>
        <v>5340827</v>
      </c>
      <c r="L124" s="466">
        <v>5365088</v>
      </c>
    </row>
    <row r="125" spans="1:14" ht="14.25" thickTop="1" thickBot="1" x14ac:dyDescent="0.25">
      <c r="A125" s="1504" t="s">
        <v>953</v>
      </c>
      <c r="B125" s="614">
        <v>2550</v>
      </c>
      <c r="C125" s="466"/>
      <c r="D125" s="466"/>
      <c r="E125" s="466"/>
      <c r="F125" s="466"/>
      <c r="G125" s="466"/>
      <c r="H125" s="466"/>
      <c r="I125" s="467"/>
      <c r="J125" s="467"/>
      <c r="K125" s="1667">
        <f>SUM(C125:J125)</f>
        <v>0</v>
      </c>
      <c r="L125" s="466"/>
    </row>
    <row r="126" spans="1:14" ht="14.25" thickTop="1" thickBot="1" x14ac:dyDescent="0.25">
      <c r="A126" s="1504"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2298382</v>
      </c>
      <c r="D127" s="1667">
        <f t="shared" ref="D127:L127" si="14">SUM(D122:D126)</f>
        <v>425591</v>
      </c>
      <c r="E127" s="1667">
        <f t="shared" si="14"/>
        <v>1314605</v>
      </c>
      <c r="F127" s="1667">
        <f t="shared" si="14"/>
        <v>1238744</v>
      </c>
      <c r="G127" s="1667">
        <f t="shared" si="14"/>
        <v>53850</v>
      </c>
      <c r="H127" s="1667">
        <f t="shared" si="14"/>
        <v>0</v>
      </c>
      <c r="I127" s="1667">
        <f t="shared" si="14"/>
        <v>10246</v>
      </c>
      <c r="J127" s="1667">
        <f t="shared" si="14"/>
        <v>0</v>
      </c>
      <c r="K127" s="1667">
        <f t="shared" si="14"/>
        <v>5341418</v>
      </c>
      <c r="L127" s="1667">
        <f t="shared" si="14"/>
        <v>5365088</v>
      </c>
    </row>
    <row r="128" spans="1:14" ht="12.75" customHeight="1" thickTop="1" x14ac:dyDescent="0.2">
      <c r="A128" s="1511"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2298382</v>
      </c>
      <c r="D129" s="1674">
        <f t="shared" ref="D129:L129" si="15">SUM(D120,D127,D128)</f>
        <v>425591</v>
      </c>
      <c r="E129" s="1674">
        <f t="shared" si="15"/>
        <v>1314605</v>
      </c>
      <c r="F129" s="1674">
        <f t="shared" si="15"/>
        <v>1238744</v>
      </c>
      <c r="G129" s="1674">
        <f t="shared" si="15"/>
        <v>53850</v>
      </c>
      <c r="H129" s="1674">
        <f t="shared" si="15"/>
        <v>0</v>
      </c>
      <c r="I129" s="1674">
        <f t="shared" si="15"/>
        <v>10246</v>
      </c>
      <c r="J129" s="1674">
        <f t="shared" si="15"/>
        <v>0</v>
      </c>
      <c r="K129" s="1674">
        <f t="shared" si="15"/>
        <v>5341418</v>
      </c>
      <c r="L129" s="1674">
        <f t="shared" si="15"/>
        <v>5365088</v>
      </c>
    </row>
    <row r="130" spans="1:14" ht="15.75" customHeight="1" thickTop="1" thickBot="1" x14ac:dyDescent="0.25">
      <c r="A130" s="1610" t="s">
        <v>1036</v>
      </c>
      <c r="B130" s="1611" t="s">
        <v>575</v>
      </c>
      <c r="C130" s="576"/>
      <c r="D130" s="576"/>
      <c r="E130" s="576"/>
      <c r="F130" s="576"/>
      <c r="G130" s="576"/>
      <c r="H130" s="576"/>
      <c r="I130" s="531"/>
      <c r="J130" s="531"/>
      <c r="K130" s="1667">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7" t="s">
        <v>1841</v>
      </c>
      <c r="C133" s="468"/>
      <c r="D133" s="468"/>
      <c r="E133" s="641"/>
      <c r="F133" s="468"/>
      <c r="G133" s="468"/>
      <c r="H133" s="641"/>
      <c r="I133" s="468"/>
      <c r="J133" s="468"/>
      <c r="K133" s="1818">
        <f>SUM(E133,H133)</f>
        <v>0</v>
      </c>
      <c r="L133" s="641"/>
      <c r="M133" s="206"/>
      <c r="N133" s="206"/>
    </row>
    <row r="134" spans="1:14" x14ac:dyDescent="0.2">
      <c r="A134" s="1504" t="s">
        <v>304</v>
      </c>
      <c r="B134" s="614">
        <v>4120</v>
      </c>
      <c r="C134" s="616"/>
      <c r="D134" s="616"/>
      <c r="E134" s="478"/>
      <c r="F134" s="616"/>
      <c r="G134" s="616"/>
      <c r="H134" s="481"/>
      <c r="I134" s="477"/>
      <c r="J134" s="616"/>
      <c r="K134" s="1669">
        <f>SUM(E134,H134)</f>
        <v>0</v>
      </c>
      <c r="L134" s="481"/>
    </row>
    <row r="135" spans="1:14" x14ac:dyDescent="0.2">
      <c r="A135" s="1504" t="s">
        <v>697</v>
      </c>
      <c r="B135" s="614">
        <v>4140</v>
      </c>
      <c r="C135" s="616"/>
      <c r="D135" s="616"/>
      <c r="E135" s="467"/>
      <c r="F135" s="616"/>
      <c r="G135" s="616"/>
      <c r="H135" s="466"/>
      <c r="I135" s="477"/>
      <c r="J135" s="616"/>
      <c r="K135" s="1669">
        <f>SUM(E135,H135)</f>
        <v>0</v>
      </c>
      <c r="L135" s="466"/>
    </row>
    <row r="136" spans="1:14" x14ac:dyDescent="0.2">
      <c r="A136" s="1508"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10"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9">
        <f>SUM(H142)</f>
        <v>0</v>
      </c>
      <c r="L142" s="481"/>
    </row>
    <row r="143" spans="1:14" x14ac:dyDescent="0.2">
      <c r="A143" s="1504" t="s">
        <v>88</v>
      </c>
      <c r="B143" s="614">
        <v>5120</v>
      </c>
      <c r="C143" s="616"/>
      <c r="D143" s="616"/>
      <c r="E143" s="616"/>
      <c r="F143" s="616"/>
      <c r="G143" s="616"/>
      <c r="H143" s="466"/>
      <c r="I143" s="468"/>
      <c r="J143" s="616"/>
      <c r="K143" s="1669">
        <f>SUM(H143)</f>
        <v>0</v>
      </c>
      <c r="L143" s="466"/>
    </row>
    <row r="144" spans="1:14" ht="12.75" customHeight="1" x14ac:dyDescent="0.2">
      <c r="A144" s="1504" t="s">
        <v>1170</v>
      </c>
      <c r="B144" s="628" t="s">
        <v>617</v>
      </c>
      <c r="C144" s="616"/>
      <c r="D144" s="616"/>
      <c r="E144" s="616"/>
      <c r="F144" s="616"/>
      <c r="G144" s="616"/>
      <c r="H144" s="466"/>
      <c r="I144" s="468"/>
      <c r="J144" s="616"/>
      <c r="K144" s="1669">
        <f>SUM(H144)</f>
        <v>0</v>
      </c>
      <c r="L144" s="466"/>
    </row>
    <row r="145" spans="1:14" x14ac:dyDescent="0.2">
      <c r="A145" s="1504" t="s">
        <v>89</v>
      </c>
      <c r="B145" s="614" t="s">
        <v>589</v>
      </c>
      <c r="C145" s="616"/>
      <c r="D145" s="616"/>
      <c r="E145" s="616"/>
      <c r="F145" s="616"/>
      <c r="G145" s="616"/>
      <c r="H145" s="466"/>
      <c r="I145" s="468"/>
      <c r="J145" s="616"/>
      <c r="K145" s="1669">
        <f>SUM(H145)</f>
        <v>0</v>
      </c>
      <c r="L145" s="466"/>
    </row>
    <row r="146" spans="1:14" ht="12.75" customHeight="1" x14ac:dyDescent="0.2">
      <c r="A146" s="1504" t="s">
        <v>619</v>
      </c>
      <c r="B146" s="614" t="s">
        <v>618</v>
      </c>
      <c r="C146" s="616"/>
      <c r="D146" s="616"/>
      <c r="E146" s="616"/>
      <c r="F146" s="616"/>
      <c r="G146" s="616"/>
      <c r="H146" s="466"/>
      <c r="I146" s="468"/>
      <c r="J146" s="616"/>
      <c r="K146" s="1669">
        <f>SUM(H146)</f>
        <v>0</v>
      </c>
      <c r="L146" s="466"/>
    </row>
    <row r="147" spans="1:14" ht="12.75" customHeight="1" thickBot="1" x14ac:dyDescent="0.25">
      <c r="A147" s="1515"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7"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4"/>
      <c r="C151" s="1667">
        <f>SUM(C129,C130,C139,C149,C150)</f>
        <v>2298382</v>
      </c>
      <c r="D151" s="1667">
        <f t="shared" ref="D151:K151" si="16">SUM(D129,D130,D139,D149,D150)</f>
        <v>425591</v>
      </c>
      <c r="E151" s="1667">
        <f t="shared" si="16"/>
        <v>1314605</v>
      </c>
      <c r="F151" s="1667">
        <f t="shared" si="16"/>
        <v>1238744</v>
      </c>
      <c r="G151" s="1667">
        <f t="shared" si="16"/>
        <v>53850</v>
      </c>
      <c r="H151" s="1667">
        <f t="shared" si="16"/>
        <v>0</v>
      </c>
      <c r="I151" s="1667">
        <f t="shared" si="16"/>
        <v>10246</v>
      </c>
      <c r="J151" s="1667">
        <f t="shared" si="16"/>
        <v>0</v>
      </c>
      <c r="K151" s="1667">
        <f t="shared" si="16"/>
        <v>5341418</v>
      </c>
      <c r="L151" s="1667">
        <f>SUM(L129,L130,L139,L149,L150)</f>
        <v>5365088</v>
      </c>
    </row>
    <row r="152" spans="1:14" ht="12.75" customHeight="1" thickTop="1" x14ac:dyDescent="0.2">
      <c r="A152" s="2177" t="s">
        <v>1178</v>
      </c>
      <c r="B152" s="2178"/>
      <c r="C152" s="618"/>
      <c r="D152" s="618"/>
      <c r="E152" s="618"/>
      <c r="F152" s="618"/>
      <c r="G152" s="618"/>
      <c r="H152" s="618"/>
      <c r="I152" s="618"/>
      <c r="J152" s="616"/>
      <c r="K152" s="1681">
        <f>'Revenues 9-14'!D268-'Expenditures 15-22'!K151</f>
        <v>176238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1842</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1841</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1843</v>
      </c>
      <c r="C158" s="616"/>
      <c r="D158" s="616"/>
      <c r="E158" s="616"/>
      <c r="F158" s="616"/>
      <c r="G158" s="616"/>
      <c r="H158" s="467"/>
      <c r="I158" s="616"/>
      <c r="J158" s="616"/>
      <c r="K158" s="1668">
        <f>H158</f>
        <v>0</v>
      </c>
      <c r="L158" s="467"/>
      <c r="M158" s="619"/>
      <c r="N158" s="619"/>
    </row>
    <row r="159" spans="1:14" s="620" customFormat="1" ht="12" x14ac:dyDescent="0.2">
      <c r="A159" s="1823" t="s">
        <v>1844</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1845</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8">
        <f>SUM(C163:J163)</f>
        <v>0</v>
      </c>
      <c r="L163" s="466"/>
    </row>
    <row r="164" spans="1:14" x14ac:dyDescent="0.2">
      <c r="A164" s="1504" t="s">
        <v>88</v>
      </c>
      <c r="B164" s="614">
        <v>5120</v>
      </c>
      <c r="C164" s="616"/>
      <c r="D164" s="616"/>
      <c r="E164" s="616"/>
      <c r="F164" s="616"/>
      <c r="G164" s="616"/>
      <c r="H164" s="466"/>
      <c r="I164" s="616"/>
      <c r="J164" s="616"/>
      <c r="K164" s="1668">
        <f>SUM(C164:J164)</f>
        <v>0</v>
      </c>
      <c r="L164" s="466"/>
    </row>
    <row r="165" spans="1:14" ht="12.75" customHeight="1" x14ac:dyDescent="0.2">
      <c r="A165" s="1504" t="s">
        <v>1170</v>
      </c>
      <c r="B165" s="614" t="s">
        <v>617</v>
      </c>
      <c r="C165" s="616"/>
      <c r="D165" s="616"/>
      <c r="E165" s="616"/>
      <c r="F165" s="616"/>
      <c r="G165" s="616"/>
      <c r="H165" s="466"/>
      <c r="I165" s="616"/>
      <c r="J165" s="616"/>
      <c r="K165" s="1668">
        <f>SUM(C165:J165)</f>
        <v>0</v>
      </c>
      <c r="L165" s="466"/>
    </row>
    <row r="166" spans="1:14" x14ac:dyDescent="0.2">
      <c r="A166" s="1504" t="s">
        <v>89</v>
      </c>
      <c r="B166" s="628" t="s">
        <v>589</v>
      </c>
      <c r="C166" s="616"/>
      <c r="D166" s="616"/>
      <c r="E166" s="616"/>
      <c r="F166" s="616"/>
      <c r="G166" s="616"/>
      <c r="H166" s="466"/>
      <c r="I166" s="616"/>
      <c r="J166" s="616"/>
      <c r="K166" s="1668">
        <f>SUM(C166:J166)</f>
        <v>0</v>
      </c>
      <c r="L166" s="466"/>
    </row>
    <row r="167" spans="1:14" ht="12.75" customHeight="1" x14ac:dyDescent="0.2">
      <c r="A167" s="1504"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1422225</v>
      </c>
      <c r="I169" s="616"/>
      <c r="J169" s="616"/>
      <c r="K169" s="1668">
        <f>SUM(C169:H169)</f>
        <v>1422225</v>
      </c>
      <c r="L169" s="656">
        <v>1350000</v>
      </c>
    </row>
    <row r="170" spans="1:14" ht="33.75" customHeight="1" x14ac:dyDescent="0.2">
      <c r="A170" s="669" t="s">
        <v>1670</v>
      </c>
      <c r="B170" s="671" t="s">
        <v>31</v>
      </c>
      <c r="C170" s="616"/>
      <c r="D170" s="616"/>
      <c r="E170" s="616"/>
      <c r="F170" s="616"/>
      <c r="G170" s="616"/>
      <c r="H170" s="569">
        <v>2110000</v>
      </c>
      <c r="I170" s="616"/>
      <c r="J170" s="616"/>
      <c r="K170" s="1668">
        <f>SUM(C170:J170)</f>
        <v>2110000</v>
      </c>
      <c r="L170" s="569">
        <v>1669509</v>
      </c>
    </row>
    <row r="171" spans="1:14" ht="15.75" customHeight="1" x14ac:dyDescent="0.2">
      <c r="A171" s="621" t="s">
        <v>766</v>
      </c>
      <c r="B171" s="672" t="s">
        <v>84</v>
      </c>
      <c r="C171" s="616"/>
      <c r="D171" s="616"/>
      <c r="E171" s="466"/>
      <c r="F171" s="616"/>
      <c r="G171" s="616"/>
      <c r="H171" s="569"/>
      <c r="I171" s="477"/>
      <c r="J171" s="616"/>
      <c r="K171" s="1668">
        <f>SUM(C171:J171)</f>
        <v>0</v>
      </c>
      <c r="L171" s="569"/>
    </row>
    <row r="172" spans="1:14" ht="12.75" customHeight="1" thickBot="1" x14ac:dyDescent="0.25">
      <c r="A172" s="1665" t="s">
        <v>638</v>
      </c>
      <c r="B172" s="1666" t="s">
        <v>492</v>
      </c>
      <c r="C172" s="616"/>
      <c r="D172" s="616"/>
      <c r="E172" s="1674">
        <f>SUM(E168,E169,E170,E171)</f>
        <v>0</v>
      </c>
      <c r="F172" s="616"/>
      <c r="G172" s="616"/>
      <c r="H172" s="1674">
        <f>SUM(H168,H169,H170,H171)</f>
        <v>3532225</v>
      </c>
      <c r="I172" s="638"/>
      <c r="J172" s="616"/>
      <c r="K172" s="1674">
        <f>SUM(K168,K169,K170,K171)</f>
        <v>3532225</v>
      </c>
      <c r="L172" s="1674">
        <f>SUM(L168,L169,L170,L171)</f>
        <v>3019509</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3532225</v>
      </c>
      <c r="I174" s="638"/>
      <c r="J174" s="616"/>
      <c r="K174" s="1674">
        <f>SUM(K160,K172,K173)</f>
        <v>3532225</v>
      </c>
      <c r="L174" s="1674">
        <f>SUM(L160,L172,L173)</f>
        <v>3019509</v>
      </c>
    </row>
    <row r="175" spans="1:14" ht="13.5" thickTop="1" x14ac:dyDescent="0.2">
      <c r="A175" s="2157" t="s">
        <v>996</v>
      </c>
      <c r="B175" s="2158"/>
      <c r="C175" s="616"/>
      <c r="D175" s="616"/>
      <c r="E175" s="616"/>
      <c r="F175" s="616"/>
      <c r="G175" s="616"/>
      <c r="H175" s="618"/>
      <c r="I175" s="616"/>
      <c r="J175" s="616"/>
      <c r="K175" s="1681">
        <f>'Revenues 9-14'!E268-'Expenditures 15-22'!K174</f>
        <v>-355631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8415</v>
      </c>
      <c r="D182" s="466">
        <v>396</v>
      </c>
      <c r="E182" s="466">
        <v>1608921</v>
      </c>
      <c r="F182" s="466"/>
      <c r="G182" s="466"/>
      <c r="H182" s="466"/>
      <c r="I182" s="467"/>
      <c r="J182" s="467"/>
      <c r="K182" s="1668">
        <f>SUM(C182:J182)</f>
        <v>1617732</v>
      </c>
      <c r="L182" s="466">
        <v>1769775</v>
      </c>
    </row>
    <row r="183" spans="1:14" ht="12.75" customHeight="1" thickBot="1" x14ac:dyDescent="0.25">
      <c r="A183" s="1509" t="s">
        <v>980</v>
      </c>
      <c r="B183" s="677">
        <v>2900</v>
      </c>
      <c r="C183" s="573"/>
      <c r="D183" s="573"/>
      <c r="E183" s="573"/>
      <c r="F183" s="573"/>
      <c r="G183" s="573"/>
      <c r="H183" s="573"/>
      <c r="I183" s="532"/>
      <c r="J183" s="532"/>
      <c r="K183" s="1674">
        <f>SUM(C183:J183)</f>
        <v>0</v>
      </c>
      <c r="L183" s="573"/>
    </row>
    <row r="184" spans="1:14" ht="12.75" customHeight="1" thickTop="1" thickBot="1" x14ac:dyDescent="0.25">
      <c r="A184" s="1688" t="s">
        <v>811</v>
      </c>
      <c r="B184" s="1666" t="s">
        <v>569</v>
      </c>
      <c r="C184" s="1674">
        <f>SUM(C180,C182,C183)</f>
        <v>8415</v>
      </c>
      <c r="D184" s="1674">
        <f t="shared" ref="D184:J184" si="17">SUM(D180,D182,D183)</f>
        <v>396</v>
      </c>
      <c r="E184" s="1674">
        <f t="shared" si="17"/>
        <v>1608921</v>
      </c>
      <c r="F184" s="1674">
        <f t="shared" si="17"/>
        <v>0</v>
      </c>
      <c r="G184" s="1674">
        <f t="shared" si="17"/>
        <v>0</v>
      </c>
      <c r="H184" s="1674">
        <f t="shared" si="17"/>
        <v>0</v>
      </c>
      <c r="I184" s="1674">
        <f t="shared" si="17"/>
        <v>0</v>
      </c>
      <c r="J184" s="1674">
        <f t="shared" si="17"/>
        <v>0</v>
      </c>
      <c r="K184" s="1674">
        <f>SUM(K180,K182,K183)</f>
        <v>1617732</v>
      </c>
      <c r="L184" s="1674">
        <f>SUM(L180, L182:L183)</f>
        <v>1769775</v>
      </c>
    </row>
    <row r="185" spans="1:14" ht="15.75" customHeight="1" thickTop="1" thickBot="1" x14ac:dyDescent="0.25">
      <c r="A185" s="1622" t="s">
        <v>939</v>
      </c>
      <c r="B185" s="1611">
        <v>3000</v>
      </c>
      <c r="C185" s="576"/>
      <c r="D185" s="576"/>
      <c r="E185" s="576"/>
      <c r="F185" s="576"/>
      <c r="G185" s="576"/>
      <c r="H185" s="576"/>
      <c r="I185" s="531"/>
      <c r="J185" s="531"/>
      <c r="K185" s="1667">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8">
        <f t="shared" ref="K188:K193" si="18">SUM(E188,H188)</f>
        <v>0</v>
      </c>
      <c r="L188" s="466"/>
    </row>
    <row r="189" spans="1:14" x14ac:dyDescent="0.2">
      <c r="A189" s="1504" t="s">
        <v>304</v>
      </c>
      <c r="B189" s="614">
        <v>4120</v>
      </c>
      <c r="C189" s="616"/>
      <c r="D189" s="616"/>
      <c r="E189" s="466"/>
      <c r="F189" s="616"/>
      <c r="G189" s="616"/>
      <c r="H189" s="466"/>
      <c r="I189" s="477"/>
      <c r="J189" s="616"/>
      <c r="K189" s="1668">
        <f t="shared" si="18"/>
        <v>0</v>
      </c>
      <c r="L189" s="466"/>
    </row>
    <row r="190" spans="1:14" x14ac:dyDescent="0.2">
      <c r="A190" s="1504" t="s">
        <v>305</v>
      </c>
      <c r="B190" s="628">
        <v>4130</v>
      </c>
      <c r="C190" s="616"/>
      <c r="D190" s="616"/>
      <c r="E190" s="466"/>
      <c r="F190" s="616"/>
      <c r="G190" s="616"/>
      <c r="H190" s="466"/>
      <c r="I190" s="477"/>
      <c r="J190" s="616"/>
      <c r="K190" s="1668">
        <f t="shared" si="18"/>
        <v>0</v>
      </c>
      <c r="L190" s="466"/>
    </row>
    <row r="191" spans="1:14" x14ac:dyDescent="0.2">
      <c r="A191" s="1504" t="s">
        <v>697</v>
      </c>
      <c r="B191" s="614">
        <v>4140</v>
      </c>
      <c r="C191" s="616"/>
      <c r="D191" s="616"/>
      <c r="E191" s="466"/>
      <c r="F191" s="616"/>
      <c r="G191" s="616"/>
      <c r="H191" s="466"/>
      <c r="I191" s="477"/>
      <c r="J191" s="616"/>
      <c r="K191" s="1668">
        <f t="shared" si="18"/>
        <v>0</v>
      </c>
      <c r="L191" s="466"/>
    </row>
    <row r="192" spans="1:14" x14ac:dyDescent="0.2">
      <c r="A192" s="1504" t="s">
        <v>86</v>
      </c>
      <c r="B192" s="614">
        <v>4170</v>
      </c>
      <c r="C192" s="616"/>
      <c r="D192" s="616"/>
      <c r="E192" s="466"/>
      <c r="F192" s="616"/>
      <c r="G192" s="616"/>
      <c r="H192" s="466"/>
      <c r="I192" s="477"/>
      <c r="J192" s="616"/>
      <c r="K192" s="1668">
        <f t="shared" si="18"/>
        <v>0</v>
      </c>
      <c r="L192" s="466"/>
    </row>
    <row r="193" spans="1:14" x14ac:dyDescent="0.2">
      <c r="A193" s="1508"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8">
        <f>SUM(H199)</f>
        <v>0</v>
      </c>
      <c r="L199" s="466"/>
    </row>
    <row r="200" spans="1:14" x14ac:dyDescent="0.2">
      <c r="A200" s="1504" t="s">
        <v>88</v>
      </c>
      <c r="B200" s="614">
        <v>5120</v>
      </c>
      <c r="C200" s="616"/>
      <c r="D200" s="616"/>
      <c r="E200" s="616"/>
      <c r="F200" s="616"/>
      <c r="G200" s="616"/>
      <c r="H200" s="466"/>
      <c r="I200" s="616"/>
      <c r="J200" s="616"/>
      <c r="K200" s="1668">
        <f>SUM(H200)</f>
        <v>0</v>
      </c>
      <c r="L200" s="466"/>
    </row>
    <row r="201" spans="1:14" ht="12.75" customHeight="1" x14ac:dyDescent="0.2">
      <c r="A201" s="1504" t="s">
        <v>1170</v>
      </c>
      <c r="B201" s="628" t="s">
        <v>617</v>
      </c>
      <c r="C201" s="616"/>
      <c r="D201" s="616"/>
      <c r="E201" s="616"/>
      <c r="F201" s="616"/>
      <c r="G201" s="616"/>
      <c r="H201" s="466"/>
      <c r="I201" s="616"/>
      <c r="J201" s="616"/>
      <c r="K201" s="1668">
        <f>SUM(H201)</f>
        <v>0</v>
      </c>
      <c r="L201" s="466"/>
    </row>
    <row r="202" spans="1:14" x14ac:dyDescent="0.2">
      <c r="A202" s="1504" t="s">
        <v>89</v>
      </c>
      <c r="B202" s="614" t="s">
        <v>589</v>
      </c>
      <c r="C202" s="616"/>
      <c r="D202" s="616"/>
      <c r="E202" s="616"/>
      <c r="F202" s="616"/>
      <c r="G202" s="616"/>
      <c r="H202" s="466"/>
      <c r="I202" s="616"/>
      <c r="J202" s="616"/>
      <c r="K202" s="1668">
        <f>SUM(H202)</f>
        <v>0</v>
      </c>
      <c r="L202" s="466"/>
    </row>
    <row r="203" spans="1:14" x14ac:dyDescent="0.2">
      <c r="A203" s="1516"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8415</v>
      </c>
      <c r="D210" s="1667">
        <f>SUM(D184,D185)</f>
        <v>396</v>
      </c>
      <c r="E210" s="1667">
        <f>SUM(E184,E185,E196)</f>
        <v>1608921</v>
      </c>
      <c r="F210" s="1667">
        <f>SUM(F184,F185)</f>
        <v>0</v>
      </c>
      <c r="G210" s="1667">
        <f>SUM(G184,G185)</f>
        <v>0</v>
      </c>
      <c r="H210" s="1667">
        <f>SUM(H184,H185,H196,H208,H209)</f>
        <v>0</v>
      </c>
      <c r="I210" s="1667">
        <f>SUM(I184,I185)</f>
        <v>0</v>
      </c>
      <c r="J210" s="1667">
        <f>SUM(J184,J185)</f>
        <v>0</v>
      </c>
      <c r="K210" s="1668">
        <f>SUM(K184,K185,K196,K208,K209)</f>
        <v>1617732</v>
      </c>
      <c r="L210" s="1667">
        <f>SUM(L184,L185,L196,L208,L209)</f>
        <v>1769775</v>
      </c>
    </row>
    <row r="211" spans="1:14" ht="13.5" thickTop="1" x14ac:dyDescent="0.2">
      <c r="A211" s="2157" t="s">
        <v>996</v>
      </c>
      <c r="B211" s="2158"/>
      <c r="C211" s="618"/>
      <c r="D211" s="618"/>
      <c r="E211" s="618"/>
      <c r="F211" s="618"/>
      <c r="G211" s="618"/>
      <c r="H211" s="618"/>
      <c r="I211" s="616"/>
      <c r="J211" s="616"/>
      <c r="K211" s="1681">
        <f>'Revenues 9-14'!F268-'Expenditures 15-22'!K210</f>
        <v>493268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261095</v>
      </c>
      <c r="E215" s="616"/>
      <c r="F215" s="616"/>
      <c r="G215" s="616"/>
      <c r="H215" s="616"/>
      <c r="I215" s="616"/>
      <c r="J215" s="616"/>
      <c r="K215" s="1668">
        <f>D215</f>
        <v>261095</v>
      </c>
      <c r="L215" s="466">
        <v>333061</v>
      </c>
    </row>
    <row r="216" spans="1:14" x14ac:dyDescent="0.2">
      <c r="A216" s="1504" t="s">
        <v>163</v>
      </c>
      <c r="B216" s="614" t="s">
        <v>967</v>
      </c>
      <c r="C216" s="616"/>
      <c r="D216" s="467">
        <v>72811</v>
      </c>
      <c r="E216" s="616"/>
      <c r="F216" s="616"/>
      <c r="G216" s="616"/>
      <c r="H216" s="616"/>
      <c r="I216" s="616"/>
      <c r="J216" s="616"/>
      <c r="K216" s="1668">
        <f t="shared" ref="K216:K228" si="19">D216</f>
        <v>72811</v>
      </c>
      <c r="L216" s="466">
        <v>32831</v>
      </c>
    </row>
    <row r="217" spans="1:14" x14ac:dyDescent="0.2">
      <c r="A217" s="1504" t="s">
        <v>164</v>
      </c>
      <c r="B217" s="614">
        <v>1200</v>
      </c>
      <c r="C217" s="616"/>
      <c r="D217" s="466">
        <v>404994</v>
      </c>
      <c r="E217" s="616"/>
      <c r="F217" s="616"/>
      <c r="G217" s="616"/>
      <c r="H217" s="616"/>
      <c r="I217" s="616"/>
      <c r="J217" s="616"/>
      <c r="K217" s="1668">
        <f t="shared" si="19"/>
        <v>404994</v>
      </c>
      <c r="L217" s="466">
        <v>398008</v>
      </c>
    </row>
    <row r="218" spans="1:14" x14ac:dyDescent="0.2">
      <c r="A218" s="1504" t="s">
        <v>278</v>
      </c>
      <c r="B218" s="614" t="s">
        <v>968</v>
      </c>
      <c r="C218" s="616"/>
      <c r="D218" s="467">
        <v>34125</v>
      </c>
      <c r="E218" s="616"/>
      <c r="F218" s="616"/>
      <c r="G218" s="616"/>
      <c r="H218" s="616"/>
      <c r="I218" s="616"/>
      <c r="J218" s="616"/>
      <c r="K218" s="1668">
        <f t="shared" si="19"/>
        <v>34125</v>
      </c>
      <c r="L218" s="466">
        <v>3368</v>
      </c>
    </row>
    <row r="219" spans="1:14" x14ac:dyDescent="0.2">
      <c r="A219" s="1504" t="s">
        <v>279</v>
      </c>
      <c r="B219" s="614">
        <v>1250</v>
      </c>
      <c r="C219" s="616"/>
      <c r="D219" s="466"/>
      <c r="E219" s="616"/>
      <c r="F219" s="616"/>
      <c r="G219" s="616"/>
      <c r="H219" s="616"/>
      <c r="I219" s="616"/>
      <c r="J219" s="616"/>
      <c r="K219" s="1668">
        <f t="shared" si="19"/>
        <v>0</v>
      </c>
      <c r="L219" s="466"/>
    </row>
    <row r="220" spans="1:14" x14ac:dyDescent="0.2">
      <c r="A220" s="1504" t="s">
        <v>280</v>
      </c>
      <c r="B220" s="614" t="s">
        <v>161</v>
      </c>
      <c r="C220" s="616"/>
      <c r="D220" s="467"/>
      <c r="E220" s="616"/>
      <c r="F220" s="616"/>
      <c r="G220" s="616"/>
      <c r="H220" s="616"/>
      <c r="I220" s="616"/>
      <c r="J220" s="616"/>
      <c r="K220" s="1668">
        <f t="shared" si="19"/>
        <v>0</v>
      </c>
      <c r="L220" s="466"/>
    </row>
    <row r="221" spans="1:14" x14ac:dyDescent="0.2">
      <c r="A221" s="1504" t="s">
        <v>962</v>
      </c>
      <c r="B221" s="614">
        <v>1300</v>
      </c>
      <c r="C221" s="616"/>
      <c r="D221" s="466"/>
      <c r="E221" s="616"/>
      <c r="F221" s="616"/>
      <c r="G221" s="616"/>
      <c r="H221" s="616"/>
      <c r="I221" s="616"/>
      <c r="J221" s="616"/>
      <c r="K221" s="1668">
        <f t="shared" si="19"/>
        <v>0</v>
      </c>
      <c r="L221" s="466"/>
    </row>
    <row r="222" spans="1:14" x14ac:dyDescent="0.2">
      <c r="A222" s="1504" t="s">
        <v>723</v>
      </c>
      <c r="B222" s="614">
        <v>1400</v>
      </c>
      <c r="C222" s="616"/>
      <c r="D222" s="466">
        <v>8726</v>
      </c>
      <c r="E222" s="616"/>
      <c r="F222" s="616"/>
      <c r="G222" s="616"/>
      <c r="H222" s="616"/>
      <c r="I222" s="616"/>
      <c r="J222" s="616"/>
      <c r="K222" s="1668">
        <f t="shared" si="19"/>
        <v>8726</v>
      </c>
      <c r="L222" s="466">
        <v>9270</v>
      </c>
    </row>
    <row r="223" spans="1:14" x14ac:dyDescent="0.2">
      <c r="A223" s="1504" t="s">
        <v>963</v>
      </c>
      <c r="B223" s="614">
        <v>1500</v>
      </c>
      <c r="C223" s="616"/>
      <c r="D223" s="466">
        <v>60148</v>
      </c>
      <c r="E223" s="616"/>
      <c r="F223" s="616"/>
      <c r="G223" s="616"/>
      <c r="H223" s="616"/>
      <c r="I223" s="616"/>
      <c r="J223" s="616"/>
      <c r="K223" s="1668">
        <f t="shared" si="19"/>
        <v>60148</v>
      </c>
      <c r="L223" s="466">
        <v>74111</v>
      </c>
    </row>
    <row r="224" spans="1:14" x14ac:dyDescent="0.2">
      <c r="A224" s="1504" t="s">
        <v>964</v>
      </c>
      <c r="B224" s="614">
        <v>1600</v>
      </c>
      <c r="C224" s="616"/>
      <c r="D224" s="466">
        <v>1605</v>
      </c>
      <c r="E224" s="616"/>
      <c r="F224" s="616"/>
      <c r="G224" s="616"/>
      <c r="H224" s="616"/>
      <c r="I224" s="616"/>
      <c r="J224" s="616"/>
      <c r="K224" s="1668">
        <f t="shared" si="19"/>
        <v>1605</v>
      </c>
      <c r="L224" s="466">
        <v>2681</v>
      </c>
    </row>
    <row r="225" spans="1:12" x14ac:dyDescent="0.2">
      <c r="A225" s="1504" t="s">
        <v>987</v>
      </c>
      <c r="B225" s="614">
        <v>1650</v>
      </c>
      <c r="C225" s="616"/>
      <c r="D225" s="466">
        <v>3662</v>
      </c>
      <c r="E225" s="616"/>
      <c r="F225" s="616"/>
      <c r="G225" s="616"/>
      <c r="H225" s="616"/>
      <c r="I225" s="616"/>
      <c r="J225" s="616"/>
      <c r="K225" s="1668">
        <f t="shared" si="19"/>
        <v>3662</v>
      </c>
      <c r="L225" s="466">
        <v>3790</v>
      </c>
    </row>
    <row r="226" spans="1:12" x14ac:dyDescent="0.2">
      <c r="A226" s="1504" t="s">
        <v>724</v>
      </c>
      <c r="B226" s="614" t="s">
        <v>162</v>
      </c>
      <c r="C226" s="616"/>
      <c r="D226" s="467">
        <v>26012</v>
      </c>
      <c r="E226" s="616"/>
      <c r="F226" s="616"/>
      <c r="G226" s="616"/>
      <c r="H226" s="616"/>
      <c r="I226" s="616"/>
      <c r="J226" s="616"/>
      <c r="K226" s="1668">
        <f t="shared" si="19"/>
        <v>26012</v>
      </c>
      <c r="L226" s="466">
        <v>24327</v>
      </c>
    </row>
    <row r="227" spans="1:12" x14ac:dyDescent="0.2">
      <c r="A227" s="1504" t="s">
        <v>1087</v>
      </c>
      <c r="B227" s="614">
        <v>1800</v>
      </c>
      <c r="C227" s="616"/>
      <c r="D227" s="466"/>
      <c r="E227" s="616"/>
      <c r="F227" s="616"/>
      <c r="G227" s="616"/>
      <c r="H227" s="616"/>
      <c r="I227" s="616"/>
      <c r="J227" s="616"/>
      <c r="K227" s="1668">
        <f t="shared" si="19"/>
        <v>0</v>
      </c>
      <c r="L227" s="466"/>
    </row>
    <row r="228" spans="1:12" x14ac:dyDescent="0.2">
      <c r="A228" s="1504" t="s">
        <v>1088</v>
      </c>
      <c r="B228" s="614">
        <v>1900</v>
      </c>
      <c r="C228" s="616"/>
      <c r="D228" s="466"/>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873178</v>
      </c>
      <c r="E229" s="616"/>
      <c r="F229" s="616"/>
      <c r="G229" s="616"/>
      <c r="H229" s="616"/>
      <c r="I229" s="616"/>
      <c r="J229" s="616"/>
      <c r="K229" s="1667">
        <f>SUM(K215:K228)</f>
        <v>873178</v>
      </c>
      <c r="L229" s="1667">
        <f>SUM(L215:L228)</f>
        <v>881447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40512</v>
      </c>
      <c r="E232" s="616"/>
      <c r="F232" s="616"/>
      <c r="G232" s="616"/>
      <c r="H232" s="616"/>
      <c r="I232" s="616"/>
      <c r="J232" s="616"/>
      <c r="K232" s="1668">
        <f t="shared" ref="K232:K237" si="20">D232</f>
        <v>40512</v>
      </c>
      <c r="L232" s="466">
        <v>48501</v>
      </c>
    </row>
    <row r="233" spans="1:12" x14ac:dyDescent="0.2">
      <c r="A233" s="1504" t="s">
        <v>1090</v>
      </c>
      <c r="B233" s="614">
        <v>2120</v>
      </c>
      <c r="C233" s="616"/>
      <c r="D233" s="466">
        <v>55340</v>
      </c>
      <c r="E233" s="616"/>
      <c r="F233" s="616"/>
      <c r="G233" s="616"/>
      <c r="H233" s="616"/>
      <c r="I233" s="616"/>
      <c r="J233" s="616"/>
      <c r="K233" s="1668">
        <f t="shared" si="20"/>
        <v>55340</v>
      </c>
      <c r="L233" s="466">
        <v>56919</v>
      </c>
    </row>
    <row r="234" spans="1:12" x14ac:dyDescent="0.2">
      <c r="A234" s="1504" t="s">
        <v>198</v>
      </c>
      <c r="B234" s="614">
        <v>2130</v>
      </c>
      <c r="C234" s="616"/>
      <c r="D234" s="466">
        <v>89571</v>
      </c>
      <c r="E234" s="616"/>
      <c r="F234" s="616"/>
      <c r="G234" s="616"/>
      <c r="H234" s="616"/>
      <c r="I234" s="616"/>
      <c r="J234" s="616"/>
      <c r="K234" s="1668">
        <f t="shared" si="20"/>
        <v>89571</v>
      </c>
      <c r="L234" s="466">
        <v>98462</v>
      </c>
    </row>
    <row r="235" spans="1:12" x14ac:dyDescent="0.2">
      <c r="A235" s="1504" t="s">
        <v>199</v>
      </c>
      <c r="B235" s="614">
        <v>2140</v>
      </c>
      <c r="C235" s="616"/>
      <c r="D235" s="466">
        <v>12398</v>
      </c>
      <c r="E235" s="616"/>
      <c r="F235" s="616"/>
      <c r="G235" s="616"/>
      <c r="H235" s="616"/>
      <c r="I235" s="616"/>
      <c r="J235" s="616"/>
      <c r="K235" s="1668">
        <f t="shared" si="20"/>
        <v>12398</v>
      </c>
      <c r="L235" s="466">
        <v>10290</v>
      </c>
    </row>
    <row r="236" spans="1:12" x14ac:dyDescent="0.2">
      <c r="A236" s="1504" t="s">
        <v>200</v>
      </c>
      <c r="B236" s="614">
        <v>2150</v>
      </c>
      <c r="C236" s="616"/>
      <c r="D236" s="466">
        <v>10372</v>
      </c>
      <c r="E236" s="616"/>
      <c r="F236" s="616"/>
      <c r="G236" s="616"/>
      <c r="H236" s="616"/>
      <c r="I236" s="616"/>
      <c r="J236" s="616"/>
      <c r="K236" s="1668">
        <f t="shared" si="20"/>
        <v>10372</v>
      </c>
      <c r="L236" s="466">
        <v>10283</v>
      </c>
    </row>
    <row r="237" spans="1:12" x14ac:dyDescent="0.2">
      <c r="A237" s="1504" t="s">
        <v>165</v>
      </c>
      <c r="B237" s="614">
        <v>2190</v>
      </c>
      <c r="C237" s="616"/>
      <c r="D237" s="466">
        <v>9161</v>
      </c>
      <c r="E237" s="616"/>
      <c r="F237" s="616"/>
      <c r="G237" s="616"/>
      <c r="H237" s="616"/>
      <c r="I237" s="616"/>
      <c r="J237" s="616"/>
      <c r="K237" s="1668">
        <f t="shared" si="20"/>
        <v>9161</v>
      </c>
      <c r="L237" s="466">
        <v>5981</v>
      </c>
    </row>
    <row r="238" spans="1:12" ht="12.75" customHeight="1" thickBot="1" x14ac:dyDescent="0.25">
      <c r="A238" s="1665" t="s">
        <v>560</v>
      </c>
      <c r="B238" s="1672" t="s">
        <v>716</v>
      </c>
      <c r="C238" s="616"/>
      <c r="D238" s="1667">
        <f>SUM(D232:D237)</f>
        <v>217354</v>
      </c>
      <c r="E238" s="616"/>
      <c r="F238" s="616"/>
      <c r="G238" s="616"/>
      <c r="H238" s="616"/>
      <c r="I238" s="616"/>
      <c r="J238" s="616"/>
      <c r="K238" s="1667">
        <f>SUM(K232:K237)</f>
        <v>217354</v>
      </c>
      <c r="L238" s="1667">
        <f>SUM(L232:L237)</f>
        <v>230436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7460</v>
      </c>
      <c r="E240" s="616"/>
      <c r="F240" s="616"/>
      <c r="G240" s="616"/>
      <c r="H240" s="616"/>
      <c r="I240" s="616"/>
      <c r="J240" s="616"/>
      <c r="K240" s="1669">
        <f>D240</f>
        <v>7460</v>
      </c>
      <c r="L240" s="481">
        <v>6979</v>
      </c>
    </row>
    <row r="241" spans="1:12" x14ac:dyDescent="0.2">
      <c r="A241" s="1504" t="s">
        <v>815</v>
      </c>
      <c r="B241" s="614">
        <v>2220</v>
      </c>
      <c r="C241" s="616"/>
      <c r="D241" s="466">
        <v>31280</v>
      </c>
      <c r="E241" s="616"/>
      <c r="F241" s="616"/>
      <c r="G241" s="616"/>
      <c r="H241" s="616"/>
      <c r="I241" s="616"/>
      <c r="J241" s="616"/>
      <c r="K241" s="1669">
        <f>D241</f>
        <v>31280</v>
      </c>
      <c r="L241" s="466">
        <v>40876</v>
      </c>
    </row>
    <row r="242" spans="1:12" x14ac:dyDescent="0.2">
      <c r="A242" s="1504" t="s">
        <v>816</v>
      </c>
      <c r="B242" s="614">
        <v>2230</v>
      </c>
      <c r="C242" s="616"/>
      <c r="D242" s="466">
        <v>248</v>
      </c>
      <c r="E242" s="616"/>
      <c r="F242" s="616"/>
      <c r="G242" s="616"/>
      <c r="H242" s="616"/>
      <c r="I242" s="616"/>
      <c r="J242" s="616"/>
      <c r="K242" s="1669">
        <f>D242</f>
        <v>248</v>
      </c>
      <c r="L242" s="466">
        <v>324</v>
      </c>
    </row>
    <row r="243" spans="1:12" ht="12.75" customHeight="1" thickBot="1" x14ac:dyDescent="0.25">
      <c r="A243" s="1691" t="s">
        <v>561</v>
      </c>
      <c r="B243" s="1692">
        <v>2200</v>
      </c>
      <c r="C243" s="616"/>
      <c r="D243" s="1667">
        <f>SUM(D240:D242)</f>
        <v>38988</v>
      </c>
      <c r="E243" s="616"/>
      <c r="F243" s="616"/>
      <c r="G243" s="616"/>
      <c r="H243" s="616"/>
      <c r="I243" s="616"/>
      <c r="J243" s="616"/>
      <c r="K243" s="1667">
        <f>SUM(K240:K242)</f>
        <v>38988</v>
      </c>
      <c r="L243" s="1667">
        <f>SUM(L240:L242)</f>
        <v>48179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69">
        <f>D245</f>
        <v>0</v>
      </c>
      <c r="L245" s="481">
        <v>76</v>
      </c>
    </row>
    <row r="246" spans="1:12" x14ac:dyDescent="0.2">
      <c r="A246" s="1504" t="s">
        <v>818</v>
      </c>
      <c r="B246" s="614">
        <v>2320</v>
      </c>
      <c r="C246" s="616"/>
      <c r="D246" s="466">
        <v>11212</v>
      </c>
      <c r="E246" s="616"/>
      <c r="F246" s="616"/>
      <c r="G246" s="616"/>
      <c r="H246" s="616"/>
      <c r="I246" s="616"/>
      <c r="J246" s="616"/>
      <c r="K246" s="1669">
        <f t="shared" ref="K246:K256" si="21">D246</f>
        <v>11212</v>
      </c>
      <c r="L246" s="466">
        <v>15285</v>
      </c>
    </row>
    <row r="247" spans="1:12" x14ac:dyDescent="0.2">
      <c r="A247" s="1504" t="s">
        <v>819</v>
      </c>
      <c r="B247" s="614">
        <v>2330</v>
      </c>
      <c r="C247" s="616"/>
      <c r="D247" s="466">
        <v>295</v>
      </c>
      <c r="E247" s="616"/>
      <c r="F247" s="616"/>
      <c r="G247" s="616"/>
      <c r="H247" s="616"/>
      <c r="I247" s="616"/>
      <c r="J247" s="616"/>
      <c r="K247" s="1669">
        <f t="shared" si="21"/>
        <v>295</v>
      </c>
      <c r="L247" s="466">
        <v>265</v>
      </c>
    </row>
    <row r="248" spans="1:12" x14ac:dyDescent="0.2">
      <c r="A248" s="1505" t="s">
        <v>299</v>
      </c>
      <c r="B248" s="602" t="s">
        <v>281</v>
      </c>
      <c r="C248" s="616"/>
      <c r="D248" s="474"/>
      <c r="E248" s="616"/>
      <c r="F248" s="616"/>
      <c r="G248" s="616"/>
      <c r="H248" s="616"/>
      <c r="I248" s="616"/>
      <c r="J248" s="616"/>
      <c r="K248" s="1669">
        <f t="shared" si="21"/>
        <v>0</v>
      </c>
      <c r="L248" s="466"/>
    </row>
    <row r="249" spans="1:12" x14ac:dyDescent="0.2">
      <c r="A249" s="1506" t="s">
        <v>1802</v>
      </c>
      <c r="B249" s="683" t="s">
        <v>282</v>
      </c>
      <c r="C249" s="616"/>
      <c r="D249" s="474"/>
      <c r="E249" s="616"/>
      <c r="F249" s="616"/>
      <c r="G249" s="616"/>
      <c r="H249" s="616"/>
      <c r="I249" s="616"/>
      <c r="J249" s="616"/>
      <c r="K249" s="1669">
        <f t="shared" si="21"/>
        <v>0</v>
      </c>
      <c r="L249" s="466"/>
    </row>
    <row r="250" spans="1:12" x14ac:dyDescent="0.2">
      <c r="A250" s="1505" t="s">
        <v>1803</v>
      </c>
      <c r="B250" s="602" t="s">
        <v>283</v>
      </c>
      <c r="C250" s="616"/>
      <c r="D250" s="474"/>
      <c r="E250" s="616"/>
      <c r="F250" s="616"/>
      <c r="G250" s="616"/>
      <c r="H250" s="616"/>
      <c r="I250" s="616"/>
      <c r="J250" s="616"/>
      <c r="K250" s="1669">
        <f t="shared" si="21"/>
        <v>0</v>
      </c>
      <c r="L250" s="466"/>
    </row>
    <row r="251" spans="1:12" x14ac:dyDescent="0.2">
      <c r="A251" s="1505" t="s">
        <v>238</v>
      </c>
      <c r="B251" s="602" t="s">
        <v>284</v>
      </c>
      <c r="C251" s="616"/>
      <c r="D251" s="474"/>
      <c r="E251" s="616"/>
      <c r="F251" s="616"/>
      <c r="G251" s="616"/>
      <c r="H251" s="616"/>
      <c r="I251" s="616"/>
      <c r="J251" s="616"/>
      <c r="K251" s="1669">
        <f t="shared" si="21"/>
        <v>0</v>
      </c>
      <c r="L251" s="466"/>
    </row>
    <row r="252" spans="1:12" x14ac:dyDescent="0.2">
      <c r="A252" s="1505" t="s">
        <v>702</v>
      </c>
      <c r="B252" s="602" t="s">
        <v>285</v>
      </c>
      <c r="C252" s="616"/>
      <c r="D252" s="474"/>
      <c r="E252" s="616"/>
      <c r="F252" s="616"/>
      <c r="G252" s="616"/>
      <c r="H252" s="616"/>
      <c r="I252" s="616"/>
      <c r="J252" s="616"/>
      <c r="K252" s="1669">
        <f t="shared" si="21"/>
        <v>0</v>
      </c>
      <c r="L252" s="466"/>
    </row>
    <row r="253" spans="1:12" x14ac:dyDescent="0.2">
      <c r="A253" s="1505" t="s">
        <v>239</v>
      </c>
      <c r="B253" s="602" t="s">
        <v>286</v>
      </c>
      <c r="C253" s="616"/>
      <c r="D253" s="474"/>
      <c r="E253" s="616"/>
      <c r="F253" s="616"/>
      <c r="G253" s="616"/>
      <c r="H253" s="616"/>
      <c r="I253" s="616"/>
      <c r="J253" s="616"/>
      <c r="K253" s="1669">
        <f t="shared" si="21"/>
        <v>0</v>
      </c>
      <c r="L253" s="466"/>
    </row>
    <row r="254" spans="1:12" ht="22.5" x14ac:dyDescent="0.2">
      <c r="A254" s="1505" t="s">
        <v>1029</v>
      </c>
      <c r="B254" s="683" t="s">
        <v>287</v>
      </c>
      <c r="C254" s="616"/>
      <c r="D254" s="474"/>
      <c r="E254" s="616"/>
      <c r="F254" s="616"/>
      <c r="G254" s="616"/>
      <c r="H254" s="616"/>
      <c r="I254" s="616"/>
      <c r="J254" s="616"/>
      <c r="K254" s="1669">
        <f t="shared" si="21"/>
        <v>0</v>
      </c>
      <c r="L254" s="466"/>
    </row>
    <row r="255" spans="1:12" x14ac:dyDescent="0.2">
      <c r="A255" s="1505" t="s">
        <v>1030</v>
      </c>
      <c r="B255" s="602" t="s">
        <v>288</v>
      </c>
      <c r="C255" s="616"/>
      <c r="D255" s="474"/>
      <c r="E255" s="616"/>
      <c r="F255" s="616"/>
      <c r="G255" s="616"/>
      <c r="H255" s="616"/>
      <c r="I255" s="616"/>
      <c r="J255" s="616"/>
      <c r="K255" s="1669">
        <f t="shared" si="21"/>
        <v>0</v>
      </c>
      <c r="L255" s="466"/>
    </row>
    <row r="256" spans="1:12" x14ac:dyDescent="0.2">
      <c r="A256" s="1505"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11507</v>
      </c>
      <c r="E257" s="616"/>
      <c r="F257" s="616"/>
      <c r="G257" s="616"/>
      <c r="H257" s="616"/>
      <c r="I257" s="616"/>
      <c r="J257" s="616"/>
      <c r="K257" s="1667">
        <f>SUM(K245:K256)</f>
        <v>11507</v>
      </c>
      <c r="L257" s="1667">
        <f>SUM(L245:L256)</f>
        <v>15626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162533</v>
      </c>
      <c r="E259" s="616"/>
      <c r="F259" s="616"/>
      <c r="G259" s="616"/>
      <c r="H259" s="616"/>
      <c r="I259" s="616"/>
      <c r="J259" s="616"/>
      <c r="K259" s="1669">
        <f>D259</f>
        <v>162533</v>
      </c>
      <c r="L259" s="481">
        <v>190660</v>
      </c>
    </row>
    <row r="260" spans="1:14" s="597" customFormat="1" x14ac:dyDescent="0.2">
      <c r="A260" s="1522" t="s">
        <v>1801</v>
      </c>
      <c r="B260" s="628">
        <v>2490</v>
      </c>
      <c r="C260" s="616"/>
      <c r="D260" s="466"/>
      <c r="E260" s="616"/>
      <c r="F260" s="616"/>
      <c r="G260" s="616"/>
      <c r="H260" s="616"/>
      <c r="I260" s="616"/>
      <c r="J260" s="616"/>
      <c r="K260" s="1669">
        <f>D260</f>
        <v>0</v>
      </c>
      <c r="L260" s="466"/>
      <c r="M260" s="210"/>
      <c r="N260" s="210"/>
    </row>
    <row r="261" spans="1:14" ht="12.75" customHeight="1" thickBot="1" x14ac:dyDescent="0.25">
      <c r="A261" s="1689" t="s">
        <v>263</v>
      </c>
      <c r="B261" s="1694" t="s">
        <v>34</v>
      </c>
      <c r="C261" s="616"/>
      <c r="D261" s="1667">
        <f>SUM(D259:D260)</f>
        <v>162533</v>
      </c>
      <c r="E261" s="616"/>
      <c r="F261" s="616"/>
      <c r="G261" s="616"/>
      <c r="H261" s="616"/>
      <c r="I261" s="616"/>
      <c r="J261" s="616"/>
      <c r="K261" s="1667">
        <f>SUM(K259:K260)</f>
        <v>162533</v>
      </c>
      <c r="L261" s="1667">
        <f>SUM(L259:L260)</f>
        <v>190660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7515</v>
      </c>
      <c r="E263" s="616"/>
      <c r="F263" s="616"/>
      <c r="G263" s="616"/>
      <c r="H263" s="616"/>
      <c r="I263" s="616"/>
      <c r="J263" s="616"/>
      <c r="K263" s="1669">
        <f>D263</f>
        <v>7515</v>
      </c>
      <c r="L263" s="481">
        <v>8120</v>
      </c>
    </row>
    <row r="264" spans="1:14" x14ac:dyDescent="0.2">
      <c r="A264" s="1504" t="s">
        <v>463</v>
      </c>
      <c r="B264" s="685">
        <v>2520</v>
      </c>
      <c r="C264" s="616"/>
      <c r="D264" s="466">
        <v>41056</v>
      </c>
      <c r="E264" s="616"/>
      <c r="F264" s="616"/>
      <c r="G264" s="616"/>
      <c r="H264" s="616"/>
      <c r="I264" s="616"/>
      <c r="J264" s="616"/>
      <c r="K264" s="1669">
        <f t="shared" ref="K264:K269" si="22">D264</f>
        <v>41056</v>
      </c>
      <c r="L264" s="466">
        <v>45593</v>
      </c>
    </row>
    <row r="265" spans="1:14" x14ac:dyDescent="0.2">
      <c r="A265" s="1504" t="s">
        <v>4</v>
      </c>
      <c r="B265" s="614">
        <v>2530</v>
      </c>
      <c r="C265" s="616"/>
      <c r="D265" s="466"/>
      <c r="E265" s="616"/>
      <c r="F265" s="616"/>
      <c r="G265" s="616"/>
      <c r="H265" s="616"/>
      <c r="I265" s="616"/>
      <c r="J265" s="616"/>
      <c r="K265" s="1669">
        <f t="shared" si="22"/>
        <v>0</v>
      </c>
      <c r="L265" s="466"/>
    </row>
    <row r="266" spans="1:14" x14ac:dyDescent="0.2">
      <c r="A266" s="1504" t="s">
        <v>197</v>
      </c>
      <c r="B266" s="614">
        <v>2540</v>
      </c>
      <c r="C266" s="616"/>
      <c r="D266" s="466">
        <v>447905</v>
      </c>
      <c r="E266" s="616"/>
      <c r="F266" s="616"/>
      <c r="G266" s="616"/>
      <c r="H266" s="616"/>
      <c r="I266" s="616"/>
      <c r="J266" s="616"/>
      <c r="K266" s="1669">
        <f t="shared" si="22"/>
        <v>447905</v>
      </c>
      <c r="L266" s="466">
        <v>517751</v>
      </c>
    </row>
    <row r="267" spans="1:14" x14ac:dyDescent="0.2">
      <c r="A267" s="1504" t="s">
        <v>953</v>
      </c>
      <c r="B267" s="614">
        <v>2550</v>
      </c>
      <c r="C267" s="616"/>
      <c r="D267" s="466">
        <v>1511</v>
      </c>
      <c r="E267" s="616"/>
      <c r="F267" s="616"/>
      <c r="G267" s="616"/>
      <c r="H267" s="616"/>
      <c r="I267" s="616"/>
      <c r="J267" s="616"/>
      <c r="K267" s="1669">
        <f t="shared" si="22"/>
        <v>1511</v>
      </c>
      <c r="L267" s="466">
        <v>1017</v>
      </c>
    </row>
    <row r="268" spans="1:14" x14ac:dyDescent="0.2">
      <c r="A268" s="1504" t="s">
        <v>100</v>
      </c>
      <c r="B268" s="614">
        <v>2560</v>
      </c>
      <c r="C268" s="616"/>
      <c r="D268" s="466">
        <v>169727</v>
      </c>
      <c r="E268" s="616"/>
      <c r="F268" s="616"/>
      <c r="G268" s="616"/>
      <c r="H268" s="616"/>
      <c r="I268" s="616"/>
      <c r="J268" s="616"/>
      <c r="K268" s="1669">
        <f t="shared" si="22"/>
        <v>169727</v>
      </c>
      <c r="L268" s="466">
        <v>225994</v>
      </c>
    </row>
    <row r="269" spans="1:14" x14ac:dyDescent="0.2">
      <c r="A269" s="1504" t="s">
        <v>101</v>
      </c>
      <c r="B269" s="614">
        <v>2570</v>
      </c>
      <c r="C269" s="616"/>
      <c r="D269" s="466">
        <v>10386</v>
      </c>
      <c r="E269" s="616"/>
      <c r="F269" s="616"/>
      <c r="G269" s="616"/>
      <c r="H269" s="616"/>
      <c r="I269" s="616"/>
      <c r="J269" s="616"/>
      <c r="K269" s="1669">
        <f t="shared" si="22"/>
        <v>10386</v>
      </c>
      <c r="L269" s="466">
        <v>10172</v>
      </c>
    </row>
    <row r="270" spans="1:14" ht="12.75" customHeight="1" thickBot="1" x14ac:dyDescent="0.25">
      <c r="A270" s="1665" t="s">
        <v>719</v>
      </c>
      <c r="B270" s="1672" t="s">
        <v>35</v>
      </c>
      <c r="C270" s="616"/>
      <c r="D270" s="1667">
        <f>SUM(D263:D269)</f>
        <v>678100</v>
      </c>
      <c r="E270" s="616"/>
      <c r="F270" s="616"/>
      <c r="G270" s="616"/>
      <c r="H270" s="616"/>
      <c r="I270" s="616"/>
      <c r="J270" s="616"/>
      <c r="K270" s="1667">
        <f>SUM(K263:K269)</f>
        <v>678100</v>
      </c>
      <c r="L270" s="1667">
        <f>SUM(L263:L269)</f>
        <v>808647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69">
        <f>D272</f>
        <v>0</v>
      </c>
      <c r="L272" s="481"/>
    </row>
    <row r="273" spans="1:12" x14ac:dyDescent="0.2">
      <c r="A273" s="1504" t="s">
        <v>607</v>
      </c>
      <c r="B273" s="628">
        <v>2620</v>
      </c>
      <c r="C273" s="616"/>
      <c r="D273" s="466"/>
      <c r="E273" s="616"/>
      <c r="F273" s="616"/>
      <c r="G273" s="616"/>
      <c r="H273" s="616"/>
      <c r="I273" s="616"/>
      <c r="J273" s="616"/>
      <c r="K273" s="1669">
        <f>D273</f>
        <v>0</v>
      </c>
      <c r="L273" s="466"/>
    </row>
    <row r="274" spans="1:12" ht="12" customHeight="1" x14ac:dyDescent="0.2">
      <c r="A274" s="1504" t="s">
        <v>1061</v>
      </c>
      <c r="B274" s="614">
        <v>2630</v>
      </c>
      <c r="C274" s="616"/>
      <c r="D274" s="466">
        <v>12933</v>
      </c>
      <c r="E274" s="616"/>
      <c r="F274" s="616"/>
      <c r="G274" s="616"/>
      <c r="H274" s="616"/>
      <c r="I274" s="616"/>
      <c r="J274" s="616"/>
      <c r="K274" s="1669">
        <f>D274</f>
        <v>12933</v>
      </c>
      <c r="L274" s="466">
        <v>13274</v>
      </c>
    </row>
    <row r="275" spans="1:12" x14ac:dyDescent="0.2">
      <c r="A275" s="1504" t="s">
        <v>403</v>
      </c>
      <c r="B275" s="614">
        <v>2640</v>
      </c>
      <c r="C275" s="616"/>
      <c r="D275" s="466">
        <v>26078</v>
      </c>
      <c r="E275" s="616"/>
      <c r="F275" s="616"/>
      <c r="G275" s="616"/>
      <c r="H275" s="616"/>
      <c r="I275" s="616"/>
      <c r="J275" s="616"/>
      <c r="K275" s="1669">
        <f>D275</f>
        <v>26078</v>
      </c>
      <c r="L275" s="466">
        <v>17381</v>
      </c>
    </row>
    <row r="276" spans="1:12" x14ac:dyDescent="0.2">
      <c r="A276" s="1504" t="s">
        <v>404</v>
      </c>
      <c r="B276" s="614">
        <v>2660</v>
      </c>
      <c r="C276" s="616"/>
      <c r="D276" s="466">
        <v>67158</v>
      </c>
      <c r="E276" s="616"/>
      <c r="F276" s="616"/>
      <c r="G276" s="616"/>
      <c r="H276" s="616"/>
      <c r="I276" s="616"/>
      <c r="J276" s="616"/>
      <c r="K276" s="1669">
        <f>D276</f>
        <v>67158</v>
      </c>
      <c r="L276" s="466">
        <v>65418</v>
      </c>
    </row>
    <row r="277" spans="1:12" ht="12.75" customHeight="1" thickBot="1" x14ac:dyDescent="0.25">
      <c r="A277" s="1688" t="s">
        <v>37</v>
      </c>
      <c r="B277" s="1666" t="s">
        <v>36</v>
      </c>
      <c r="C277" s="616"/>
      <c r="D277" s="1667">
        <f>SUM(D272:D276)</f>
        <v>106169</v>
      </c>
      <c r="E277" s="616"/>
      <c r="F277" s="616"/>
      <c r="G277" s="616"/>
      <c r="H277" s="616"/>
      <c r="I277" s="616"/>
      <c r="J277" s="616"/>
      <c r="K277" s="1667">
        <f>SUM(K272:K276)</f>
        <v>106169</v>
      </c>
      <c r="L277" s="1667">
        <f>SUM(L272:L276)</f>
        <v>96073</v>
      </c>
    </row>
    <row r="278" spans="1:12" ht="13.5" customHeight="1" thickTop="1" x14ac:dyDescent="0.2">
      <c r="A278" s="1510" t="s">
        <v>980</v>
      </c>
      <c r="B278" s="655" t="s">
        <v>574</v>
      </c>
      <c r="C278" s="616"/>
      <c r="D278" s="656"/>
      <c r="E278" s="616"/>
      <c r="F278" s="616"/>
      <c r="G278" s="616"/>
      <c r="H278" s="616"/>
      <c r="I278" s="616"/>
      <c r="J278" s="616"/>
      <c r="K278" s="1682">
        <f>D278</f>
        <v>0</v>
      </c>
      <c r="L278" s="656">
        <v>3717</v>
      </c>
    </row>
    <row r="279" spans="1:12" ht="12.75" customHeight="1" thickBot="1" x14ac:dyDescent="0.25">
      <c r="A279" s="1695" t="s">
        <v>811</v>
      </c>
      <c r="B279" s="1678">
        <v>2000</v>
      </c>
      <c r="C279" s="616"/>
      <c r="D279" s="1674">
        <f>SUM(D238,D243,D257,D261,D270,D277,D278)</f>
        <v>1214651</v>
      </c>
      <c r="E279" s="616"/>
      <c r="F279" s="616"/>
      <c r="G279" s="616"/>
      <c r="H279" s="616"/>
      <c r="I279" s="616"/>
      <c r="J279" s="616"/>
      <c r="K279" s="1674">
        <f>SUM(K238,K243,K257,K261,K270,K277,K278)</f>
        <v>1214651</v>
      </c>
      <c r="L279" s="1674">
        <f>SUM(L238,L243,L257,L261,L270,L277,L278)</f>
        <v>1393338</v>
      </c>
    </row>
    <row r="280" spans="1:12" ht="15.75" customHeight="1" thickTop="1" thickBot="1" x14ac:dyDescent="0.25">
      <c r="A280" s="1624" t="s">
        <v>875</v>
      </c>
      <c r="B280" s="1613">
        <v>3000</v>
      </c>
      <c r="C280" s="616"/>
      <c r="D280" s="576">
        <v>9035</v>
      </c>
      <c r="E280" s="616"/>
      <c r="F280" s="616"/>
      <c r="G280" s="616"/>
      <c r="H280" s="616"/>
      <c r="I280" s="616"/>
      <c r="J280" s="616"/>
      <c r="K280" s="1676">
        <f>D280</f>
        <v>9035</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7" t="s">
        <v>496</v>
      </c>
      <c r="B282" s="690" t="s">
        <v>1841</v>
      </c>
      <c r="C282" s="616"/>
      <c r="D282" s="467"/>
      <c r="E282" s="616"/>
      <c r="F282" s="616"/>
      <c r="G282" s="616"/>
      <c r="H282" s="616"/>
      <c r="I282" s="616"/>
      <c r="J282" s="616"/>
      <c r="K282" s="1668">
        <f>D282</f>
        <v>0</v>
      </c>
      <c r="L282" s="467"/>
    </row>
    <row r="283" spans="1:12" x14ac:dyDescent="0.2">
      <c r="A283" s="1504" t="s">
        <v>304</v>
      </c>
      <c r="B283" s="614">
        <v>4120</v>
      </c>
      <c r="C283" s="616"/>
      <c r="D283" s="466"/>
      <c r="E283" s="616"/>
      <c r="F283" s="616"/>
      <c r="G283" s="616"/>
      <c r="H283" s="616"/>
      <c r="I283" s="616"/>
      <c r="J283" s="616"/>
      <c r="K283" s="1668">
        <f>D283</f>
        <v>0</v>
      </c>
      <c r="L283" s="466"/>
    </row>
    <row r="284" spans="1:12" x14ac:dyDescent="0.2">
      <c r="A284" s="1504"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8">
        <f>H288</f>
        <v>0</v>
      </c>
      <c r="L288" s="466"/>
    </row>
    <row r="289" spans="1:14" x14ac:dyDescent="0.2">
      <c r="A289" s="1504" t="s">
        <v>88</v>
      </c>
      <c r="B289" s="614">
        <v>5120</v>
      </c>
      <c r="C289" s="616"/>
      <c r="D289" s="616"/>
      <c r="E289" s="616"/>
      <c r="F289" s="616"/>
      <c r="G289" s="616"/>
      <c r="H289" s="466"/>
      <c r="I289" s="616"/>
      <c r="J289" s="616"/>
      <c r="K289" s="1668">
        <f>H289</f>
        <v>0</v>
      </c>
      <c r="L289" s="466"/>
    </row>
    <row r="290" spans="1:14" ht="12.75" customHeight="1" x14ac:dyDescent="0.2">
      <c r="A290" s="1504" t="s">
        <v>1170</v>
      </c>
      <c r="B290" s="628" t="s">
        <v>617</v>
      </c>
      <c r="C290" s="616"/>
      <c r="D290" s="616"/>
      <c r="E290" s="616"/>
      <c r="F290" s="616"/>
      <c r="G290" s="616"/>
      <c r="H290" s="466"/>
      <c r="I290" s="616"/>
      <c r="J290" s="616"/>
      <c r="K290" s="1668">
        <f>H290</f>
        <v>0</v>
      </c>
      <c r="L290" s="466"/>
    </row>
    <row r="291" spans="1:14" x14ac:dyDescent="0.2">
      <c r="A291" s="1504" t="s">
        <v>89</v>
      </c>
      <c r="B291" s="614" t="s">
        <v>589</v>
      </c>
      <c r="C291" s="616"/>
      <c r="D291" s="616"/>
      <c r="E291" s="616"/>
      <c r="F291" s="616"/>
      <c r="G291" s="616"/>
      <c r="H291" s="466"/>
      <c r="I291" s="616"/>
      <c r="J291" s="616"/>
      <c r="K291" s="1668">
        <f>H291</f>
        <v>0</v>
      </c>
      <c r="L291" s="466"/>
    </row>
    <row r="292" spans="1:14" x14ac:dyDescent="0.2">
      <c r="A292" s="1504"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67">
        <f>SUM(D229,D279,D280,D285)</f>
        <v>2096864</v>
      </c>
      <c r="E295" s="616"/>
      <c r="F295" s="616"/>
      <c r="G295" s="616"/>
      <c r="H295" s="1667">
        <f>H293</f>
        <v>0</v>
      </c>
      <c r="I295" s="616"/>
      <c r="J295" s="616"/>
      <c r="K295" s="1667">
        <f>SUM(K229,K279,K280,K285,K293,K294)</f>
        <v>2096864</v>
      </c>
      <c r="L295" s="1667">
        <f>SUM(L229,L279,L280,L285,L293,L294)</f>
        <v>2274785</v>
      </c>
    </row>
    <row r="296" spans="1:14" ht="13.5" thickTop="1" x14ac:dyDescent="0.2">
      <c r="A296" s="2157" t="s">
        <v>996</v>
      </c>
      <c r="B296" s="2158"/>
      <c r="C296" s="616"/>
      <c r="D296" s="618"/>
      <c r="E296" s="616"/>
      <c r="F296" s="616"/>
      <c r="G296" s="616"/>
      <c r="H296" s="687"/>
      <c r="I296" s="616"/>
      <c r="J296" s="616"/>
      <c r="K296" s="1681">
        <f>'Revenues 9-14'!G268-'Expenditures 15-22'!K295</f>
        <v>258265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2092353</v>
      </c>
      <c r="H301" s="466"/>
      <c r="I301" s="467"/>
      <c r="J301" s="467"/>
      <c r="K301" s="1668">
        <f>SUM(C301:J301)</f>
        <v>2092353</v>
      </c>
      <c r="L301" s="467">
        <v>1721155</v>
      </c>
    </row>
    <row r="302" spans="1:14" ht="13.5" customHeight="1" x14ac:dyDescent="0.2">
      <c r="A302" s="1517"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2092353</v>
      </c>
      <c r="H303" s="1674">
        <f t="shared" si="23"/>
        <v>0</v>
      </c>
      <c r="I303" s="1674">
        <f t="shared" si="23"/>
        <v>0</v>
      </c>
      <c r="J303" s="1674">
        <f t="shared" si="23"/>
        <v>0</v>
      </c>
      <c r="K303" s="1674">
        <f t="shared" si="23"/>
        <v>2092353</v>
      </c>
      <c r="L303" s="1674">
        <f t="shared" si="23"/>
        <v>1721155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68">
        <f>SUM(E306,H306)</f>
        <v>0</v>
      </c>
      <c r="L306" s="467"/>
    </row>
    <row r="307" spans="1:14" x14ac:dyDescent="0.2">
      <c r="A307" s="1504" t="s">
        <v>304</v>
      </c>
      <c r="B307" s="614">
        <v>4120</v>
      </c>
      <c r="C307" s="616"/>
      <c r="D307" s="616"/>
      <c r="E307" s="467"/>
      <c r="F307" s="616"/>
      <c r="G307" s="616"/>
      <c r="H307" s="467"/>
      <c r="I307" s="477"/>
      <c r="J307" s="616"/>
      <c r="K307" s="1668">
        <f>SUM(E307,H307)</f>
        <v>0</v>
      </c>
      <c r="L307" s="466"/>
    </row>
    <row r="308" spans="1:14" x14ac:dyDescent="0.2">
      <c r="A308" s="1504" t="s">
        <v>697</v>
      </c>
      <c r="B308" s="614">
        <v>4140</v>
      </c>
      <c r="C308" s="616"/>
      <c r="D308" s="616"/>
      <c r="E308" s="467"/>
      <c r="F308" s="616"/>
      <c r="G308" s="616"/>
      <c r="H308" s="467"/>
      <c r="I308" s="477"/>
      <c r="J308" s="616"/>
      <c r="K308" s="1668">
        <f>SUM(E308,H308)</f>
        <v>0</v>
      </c>
      <c r="L308" s="466"/>
    </row>
    <row r="309" spans="1:14" ht="12.75" customHeight="1" x14ac:dyDescent="0.2">
      <c r="A309" s="1508"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67">
        <f>SUM(C303)</f>
        <v>0</v>
      </c>
      <c r="D312" s="1667">
        <f>SUM(D303)</f>
        <v>0</v>
      </c>
      <c r="E312" s="1667">
        <f>SUM(E303,E310)</f>
        <v>0</v>
      </c>
      <c r="F312" s="1667">
        <f>SUM(F303)</f>
        <v>0</v>
      </c>
      <c r="G312" s="1667">
        <f>SUM(G303)</f>
        <v>2092353</v>
      </c>
      <c r="H312" s="1667">
        <f>SUM(H303,H310)</f>
        <v>0</v>
      </c>
      <c r="I312" s="1667">
        <f>SUM(I303)</f>
        <v>0</v>
      </c>
      <c r="J312" s="1667">
        <f>SUM(J303)</f>
        <v>0</v>
      </c>
      <c r="K312" s="1667">
        <f>SUM(K303,K310,K311)</f>
        <v>2092353</v>
      </c>
      <c r="L312" s="1667">
        <f>SUM(L303,L310,L311)</f>
        <v>1721155</v>
      </c>
      <c r="M312" s="665"/>
      <c r="N312" s="665"/>
    </row>
    <row r="313" spans="1:14" ht="13.5" thickTop="1" x14ac:dyDescent="0.2">
      <c r="A313" s="2168" t="s">
        <v>996</v>
      </c>
      <c r="B313" s="2169"/>
      <c r="C313" s="626"/>
      <c r="D313" s="626"/>
      <c r="E313" s="626"/>
      <c r="F313" s="626"/>
      <c r="G313" s="626"/>
      <c r="H313" s="626"/>
      <c r="I313" s="626"/>
      <c r="J313" s="626"/>
      <c r="K313" s="1682">
        <f>'Revenues 9-14'!H268-'Expenditures 15-22'!K312</f>
        <v>1314612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3" t="s">
        <v>1802</v>
      </c>
      <c r="B320" s="698" t="s">
        <v>282</v>
      </c>
      <c r="C320" s="467"/>
      <c r="D320" s="467"/>
      <c r="E320" s="467">
        <v>501675</v>
      </c>
      <c r="F320" s="467"/>
      <c r="G320" s="467"/>
      <c r="H320" s="467"/>
      <c r="I320" s="467"/>
      <c r="J320" s="467"/>
      <c r="K320" s="1668">
        <f t="shared" ref="K320:K327" si="24">SUM(C320:J320)</f>
        <v>501675</v>
      </c>
      <c r="L320" s="467">
        <v>450555</v>
      </c>
      <c r="M320" s="665"/>
      <c r="N320" s="665"/>
    </row>
    <row r="321" spans="1:14" s="674" customFormat="1" x14ac:dyDescent="0.2">
      <c r="A321" s="1519" t="s">
        <v>300</v>
      </c>
      <c r="B321" s="697" t="s">
        <v>283</v>
      </c>
      <c r="C321" s="467"/>
      <c r="D321" s="467"/>
      <c r="E321" s="467">
        <v>10030</v>
      </c>
      <c r="F321" s="467"/>
      <c r="G321" s="467"/>
      <c r="H321" s="467"/>
      <c r="I321" s="467"/>
      <c r="J321" s="467"/>
      <c r="K321" s="1668">
        <f t="shared" si="24"/>
        <v>10030</v>
      </c>
      <c r="L321" s="467">
        <v>89640</v>
      </c>
      <c r="M321" s="665"/>
      <c r="N321" s="665"/>
    </row>
    <row r="322" spans="1:14" s="674" customFormat="1" x14ac:dyDescent="0.2">
      <c r="A322" s="1519" t="s">
        <v>238</v>
      </c>
      <c r="B322" s="697" t="s">
        <v>284</v>
      </c>
      <c r="C322" s="467"/>
      <c r="D322" s="467"/>
      <c r="E322" s="467"/>
      <c r="F322" s="467"/>
      <c r="G322" s="467"/>
      <c r="H322" s="467"/>
      <c r="I322" s="467"/>
      <c r="J322" s="467"/>
      <c r="K322" s="1668">
        <f t="shared" si="24"/>
        <v>0</v>
      </c>
      <c r="L322" s="467"/>
      <c r="M322" s="665"/>
      <c r="N322" s="665"/>
    </row>
    <row r="323" spans="1:14" s="674" customFormat="1" x14ac:dyDescent="0.2">
      <c r="A323" s="1519" t="s">
        <v>702</v>
      </c>
      <c r="B323" s="697" t="s">
        <v>285</v>
      </c>
      <c r="C323" s="467"/>
      <c r="D323" s="467"/>
      <c r="E323" s="467">
        <f>244958</f>
        <v>244958</v>
      </c>
      <c r="F323" s="467"/>
      <c r="G323" s="467"/>
      <c r="H323" s="467"/>
      <c r="I323" s="467"/>
      <c r="J323" s="467"/>
      <c r="K323" s="1668">
        <f t="shared" si="24"/>
        <v>244958</v>
      </c>
      <c r="L323" s="467">
        <v>17000</v>
      </c>
      <c r="M323" s="665"/>
      <c r="N323" s="665"/>
    </row>
    <row r="324" spans="1:14" s="674" customFormat="1" x14ac:dyDescent="0.2">
      <c r="A324" s="1519" t="s">
        <v>239</v>
      </c>
      <c r="B324" s="697" t="s">
        <v>286</v>
      </c>
      <c r="C324" s="467"/>
      <c r="D324" s="467"/>
      <c r="E324" s="467"/>
      <c r="F324" s="467"/>
      <c r="G324" s="467"/>
      <c r="H324" s="467">
        <v>3000</v>
      </c>
      <c r="I324" s="467"/>
      <c r="J324" s="467"/>
      <c r="K324" s="1668">
        <f t="shared" si="24"/>
        <v>3000</v>
      </c>
      <c r="L324" s="467"/>
      <c r="M324" s="665"/>
      <c r="N324" s="665"/>
    </row>
    <row r="325" spans="1:14" s="674" customFormat="1" ht="22.5" x14ac:dyDescent="0.2">
      <c r="A325" s="1519" t="s">
        <v>1029</v>
      </c>
      <c r="B325" s="698" t="s">
        <v>287</v>
      </c>
      <c r="C325" s="467"/>
      <c r="D325" s="467"/>
      <c r="E325" s="467">
        <v>4750</v>
      </c>
      <c r="F325" s="467">
        <v>4046</v>
      </c>
      <c r="G325" s="467"/>
      <c r="H325" s="467"/>
      <c r="I325" s="467"/>
      <c r="J325" s="467"/>
      <c r="K325" s="1668">
        <f t="shared" si="24"/>
        <v>8796</v>
      </c>
      <c r="L325" s="467">
        <v>9500</v>
      </c>
      <c r="M325" s="665"/>
      <c r="N325" s="665"/>
    </row>
    <row r="326" spans="1:14" s="674" customFormat="1" x14ac:dyDescent="0.2">
      <c r="A326" s="1519"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9" t="s">
        <v>971</v>
      </c>
      <c r="B327" s="697" t="s">
        <v>289</v>
      </c>
      <c r="C327" s="467"/>
      <c r="D327" s="467"/>
      <c r="E327" s="467">
        <v>52577</v>
      </c>
      <c r="F327" s="467"/>
      <c r="G327" s="467"/>
      <c r="H327" s="467"/>
      <c r="I327" s="467"/>
      <c r="J327" s="467"/>
      <c r="K327" s="1668">
        <f t="shared" si="24"/>
        <v>52577</v>
      </c>
      <c r="L327" s="467">
        <v>45000</v>
      </c>
      <c r="M327" s="665"/>
      <c r="N327" s="665"/>
    </row>
    <row r="328" spans="1:14" s="674" customFormat="1" x14ac:dyDescent="0.2">
      <c r="A328" s="1520" t="s">
        <v>472</v>
      </c>
      <c r="B328" s="690" t="s">
        <v>1132</v>
      </c>
      <c r="C328" s="474"/>
      <c r="D328" s="474"/>
      <c r="E328" s="474"/>
      <c r="F328" s="474"/>
      <c r="G328" s="474"/>
      <c r="H328" s="474"/>
      <c r="I328" s="474"/>
      <c r="J328" s="474"/>
      <c r="K328" s="1696">
        <f>SUM(C328:J328)</f>
        <v>0</v>
      </c>
      <c r="L328" s="474">
        <v>210000</v>
      </c>
      <c r="M328" s="665"/>
      <c r="N328" s="665"/>
    </row>
    <row r="329" spans="1:14" s="674" customFormat="1" x14ac:dyDescent="0.2">
      <c r="A329" s="1520" t="s">
        <v>1133</v>
      </c>
      <c r="B329" s="690" t="s">
        <v>1134</v>
      </c>
      <c r="C329" s="474"/>
      <c r="D329" s="474"/>
      <c r="E329" s="474"/>
      <c r="F329" s="474"/>
      <c r="G329" s="474"/>
      <c r="H329" s="474"/>
      <c r="I329" s="474"/>
      <c r="J329" s="474"/>
      <c r="K329" s="1696">
        <f>SUM(C329:J329)</f>
        <v>0</v>
      </c>
      <c r="L329" s="474"/>
      <c r="M329" s="665"/>
      <c r="N329" s="665"/>
    </row>
    <row r="330" spans="1:14" s="674" customFormat="1" ht="12.75" customHeight="1" thickBot="1" x14ac:dyDescent="0.25">
      <c r="A330" s="1697" t="s">
        <v>717</v>
      </c>
      <c r="B330" s="1666" t="s">
        <v>569</v>
      </c>
      <c r="C330" s="1667">
        <f>SUM(C319:C329)</f>
        <v>0</v>
      </c>
      <c r="D330" s="1667">
        <f t="shared" ref="D330:J330" si="25">SUM(D319:D329)</f>
        <v>0</v>
      </c>
      <c r="E330" s="1667">
        <f t="shared" si="25"/>
        <v>813990</v>
      </c>
      <c r="F330" s="1667">
        <f t="shared" si="25"/>
        <v>4046</v>
      </c>
      <c r="G330" s="1667">
        <f t="shared" si="25"/>
        <v>0</v>
      </c>
      <c r="H330" s="1667">
        <f t="shared" si="25"/>
        <v>3000</v>
      </c>
      <c r="I330" s="1667">
        <f t="shared" si="25"/>
        <v>0</v>
      </c>
      <c r="J330" s="1667">
        <f t="shared" si="25"/>
        <v>0</v>
      </c>
      <c r="K330" s="1667">
        <f>SUM(K319:K329)</f>
        <v>821036</v>
      </c>
      <c r="L330" s="1667">
        <f>SUM(L319:L329)</f>
        <v>821695</v>
      </c>
      <c r="M330" s="665"/>
      <c r="N330" s="665"/>
    </row>
    <row r="331" spans="1:14" s="674" customFormat="1" ht="12.75" customHeight="1" thickTop="1" x14ac:dyDescent="0.2">
      <c r="A331" s="1828" t="s">
        <v>1847</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1841</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1843</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1848</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8">
        <f>H337</f>
        <v>0</v>
      </c>
      <c r="L337" s="478"/>
    </row>
    <row r="338" spans="1:14" ht="12.75" customHeight="1" x14ac:dyDescent="0.2">
      <c r="A338" s="1518" t="s">
        <v>1170</v>
      </c>
      <c r="B338" s="690" t="s">
        <v>617</v>
      </c>
      <c r="C338" s="638"/>
      <c r="D338" s="638"/>
      <c r="E338" s="638"/>
      <c r="F338" s="638"/>
      <c r="G338" s="638"/>
      <c r="H338" s="478"/>
      <c r="I338" s="638"/>
      <c r="J338" s="638"/>
      <c r="K338" s="1668">
        <f>H338</f>
        <v>0</v>
      </c>
      <c r="L338" s="478"/>
    </row>
    <row r="339" spans="1:14" x14ac:dyDescent="0.2">
      <c r="A339" s="1504"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0</v>
      </c>
      <c r="D342" s="1667">
        <f>SUM(D330)</f>
        <v>0</v>
      </c>
      <c r="E342" s="1667">
        <f>SUM(E330)</f>
        <v>813990</v>
      </c>
      <c r="F342" s="1667">
        <f>SUM(F330)</f>
        <v>4046</v>
      </c>
      <c r="G342" s="1667">
        <f>SUM(G330)</f>
        <v>0</v>
      </c>
      <c r="H342" s="1667">
        <f>SUM(H330,H334,H340)</f>
        <v>3000</v>
      </c>
      <c r="I342" s="1667">
        <f>SUM(I330)</f>
        <v>0</v>
      </c>
      <c r="J342" s="1667">
        <f>SUM(J330)</f>
        <v>0</v>
      </c>
      <c r="K342" s="1667">
        <f>SUM(K330,K334,K340)</f>
        <v>821036</v>
      </c>
      <c r="L342" s="1674">
        <f>SUM(L330,L334,L340,L341)</f>
        <v>821695</v>
      </c>
    </row>
    <row r="343" spans="1:14" ht="12.75" customHeight="1" thickTop="1" x14ac:dyDescent="0.2">
      <c r="A343" s="2170" t="s">
        <v>996</v>
      </c>
      <c r="B343" s="2171"/>
      <c r="C343" s="616"/>
      <c r="D343" s="616"/>
      <c r="E343" s="616"/>
      <c r="F343" s="616"/>
      <c r="G343" s="616"/>
      <c r="H343" s="616"/>
      <c r="I343" s="616"/>
      <c r="J343" s="616"/>
      <c r="K343" s="1681">
        <f>'Revenues 9-14'!J268-'Expenditures 15-22'!K342</f>
        <v>16300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8">
        <f>SUM(C348:J348)</f>
        <v>0</v>
      </c>
      <c r="L348" s="466"/>
    </row>
    <row r="349" spans="1:14" x14ac:dyDescent="0.2">
      <c r="A349" s="1504" t="s">
        <v>197</v>
      </c>
      <c r="B349" s="614">
        <v>2540</v>
      </c>
      <c r="C349" s="466"/>
      <c r="D349" s="466"/>
      <c r="E349" s="466"/>
      <c r="F349" s="466"/>
      <c r="G349" s="466">
        <v>35316</v>
      </c>
      <c r="H349" s="466"/>
      <c r="I349" s="467"/>
      <c r="J349" s="467"/>
      <c r="K349" s="1668">
        <f>SUM(C349:J349)</f>
        <v>35316</v>
      </c>
      <c r="L349" s="466"/>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35316</v>
      </c>
      <c r="H350" s="1667">
        <f t="shared" si="26"/>
        <v>0</v>
      </c>
      <c r="I350" s="1667">
        <f t="shared" si="26"/>
        <v>0</v>
      </c>
      <c r="J350" s="1667">
        <f t="shared" si="26"/>
        <v>0</v>
      </c>
      <c r="K350" s="1667">
        <f t="shared" si="26"/>
        <v>35316</v>
      </c>
      <c r="L350" s="1667">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35316</v>
      </c>
      <c r="H352" s="1667">
        <f t="shared" si="27"/>
        <v>0</v>
      </c>
      <c r="I352" s="1667">
        <f t="shared" si="27"/>
        <v>0</v>
      </c>
      <c r="J352" s="1667">
        <f t="shared" si="27"/>
        <v>0</v>
      </c>
      <c r="K352" s="1667">
        <f t="shared" si="27"/>
        <v>35316</v>
      </c>
      <c r="L352" s="1667">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1" t="s">
        <v>1849</v>
      </c>
      <c r="B354" s="683" t="s">
        <v>1841</v>
      </c>
      <c r="C354" s="616"/>
      <c r="D354" s="616"/>
      <c r="E354" s="616"/>
      <c r="F354" s="616"/>
      <c r="G354" s="616"/>
      <c r="H354" s="474"/>
      <c r="I354" s="701"/>
      <c r="J354" s="616"/>
      <c r="K354" s="1696">
        <f>H354</f>
        <v>0</v>
      </c>
      <c r="L354" s="471"/>
    </row>
    <row r="355" spans="1:14" ht="12.75" customHeight="1" x14ac:dyDescent="0.2">
      <c r="A355" s="1513" t="s">
        <v>1850</v>
      </c>
      <c r="B355" s="690" t="s">
        <v>1843</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8">
        <f>SUM(C360:J360)</f>
        <v>0</v>
      </c>
      <c r="L360" s="466"/>
    </row>
    <row r="361" spans="1:14" ht="12.75" customHeight="1" x14ac:dyDescent="0.2">
      <c r="A361" s="1505"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21"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35316</v>
      </c>
      <c r="H367" s="1667">
        <f t="shared" si="28"/>
        <v>0</v>
      </c>
      <c r="I367" s="1667">
        <f t="shared" si="28"/>
        <v>0</v>
      </c>
      <c r="J367" s="1667">
        <f t="shared" si="28"/>
        <v>0</v>
      </c>
      <c r="K367" s="1667">
        <f t="shared" si="28"/>
        <v>35316</v>
      </c>
      <c r="L367" s="1667">
        <f t="shared" si="28"/>
        <v>0</v>
      </c>
    </row>
    <row r="368" spans="1:14" ht="13.5" thickTop="1" x14ac:dyDescent="0.2">
      <c r="A368" s="2157" t="s">
        <v>996</v>
      </c>
      <c r="B368" s="2158"/>
      <c r="C368" s="654"/>
      <c r="D368" s="654"/>
      <c r="E368" s="626"/>
      <c r="F368" s="626"/>
      <c r="G368" s="626"/>
      <c r="H368" s="626"/>
      <c r="I368" s="626"/>
      <c r="J368" s="623"/>
      <c r="K368" s="1668">
        <f>'Revenues 9-14'!K268-'Expenditures 15-22'!K367</f>
        <v>-31583</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F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84" t="s">
        <v>1799</v>
      </c>
      <c r="B2" s="1528" t="s">
        <v>1946</v>
      </c>
      <c r="C2" s="714" t="s">
        <v>1947</v>
      </c>
      <c r="D2" s="714" t="s">
        <v>1948</v>
      </c>
      <c r="E2" s="714" t="s">
        <v>1949</v>
      </c>
      <c r="F2" s="714" t="s">
        <v>1950</v>
      </c>
    </row>
    <row r="3" spans="1:6" ht="12" customHeight="1" x14ac:dyDescent="0.2">
      <c r="A3" s="2185"/>
      <c r="B3" s="1525"/>
      <c r="C3" s="1526"/>
      <c r="D3" s="1527" t="s">
        <v>256</v>
      </c>
      <c r="E3" s="1526"/>
      <c r="F3" s="1527" t="s">
        <v>257</v>
      </c>
    </row>
    <row r="4" spans="1:6" ht="13.7" customHeight="1" x14ac:dyDescent="0.2">
      <c r="A4" s="715" t="s">
        <v>1155</v>
      </c>
      <c r="B4" s="1746">
        <f>'Revenues 9-14'!C5</f>
        <v>18774588</v>
      </c>
      <c r="C4" s="1524">
        <v>4082179</v>
      </c>
      <c r="D4" s="1749">
        <f>B4-C4</f>
        <v>14692409</v>
      </c>
      <c r="E4" s="1524">
        <v>17708907</v>
      </c>
      <c r="F4" s="1749">
        <f>E4-C4</f>
        <v>13626728</v>
      </c>
    </row>
    <row r="5" spans="1:6" ht="13.7" customHeight="1" x14ac:dyDescent="0.2">
      <c r="A5" s="715" t="s">
        <v>870</v>
      </c>
      <c r="B5" s="1747">
        <f>'Revenues 9-14'!D5</f>
        <v>4167915</v>
      </c>
      <c r="C5" s="585">
        <v>956761</v>
      </c>
      <c r="D5" s="1750">
        <f t="shared" ref="D5:D18" si="0">B5-C5</f>
        <v>3211154</v>
      </c>
      <c r="E5" s="585">
        <v>4150525</v>
      </c>
      <c r="F5" s="1750">
        <f>E5-C5</f>
        <v>3193764</v>
      </c>
    </row>
    <row r="6" spans="1:6" ht="13.7" customHeight="1" x14ac:dyDescent="0.2">
      <c r="A6" s="715" t="s">
        <v>411</v>
      </c>
      <c r="B6" s="1747">
        <f>'Revenues 9-14'!E5</f>
        <v>3142088</v>
      </c>
      <c r="C6" s="585">
        <v>736578</v>
      </c>
      <c r="D6" s="1750">
        <f t="shared" si="0"/>
        <v>2405510</v>
      </c>
      <c r="E6" s="585">
        <v>3195351</v>
      </c>
      <c r="F6" s="1750">
        <f t="shared" ref="F6:F18" si="1">E6-C6</f>
        <v>2458773</v>
      </c>
    </row>
    <row r="7" spans="1:6" ht="13.7" customHeight="1" x14ac:dyDescent="0.2">
      <c r="A7" s="715" t="s">
        <v>155</v>
      </c>
      <c r="B7" s="1747">
        <f>'Revenues 9-14'!F5</f>
        <v>1093248</v>
      </c>
      <c r="C7" s="585">
        <v>247482</v>
      </c>
      <c r="D7" s="1750">
        <f t="shared" si="0"/>
        <v>845766</v>
      </c>
      <c r="E7" s="585">
        <v>1073603</v>
      </c>
      <c r="F7" s="1750">
        <f t="shared" si="1"/>
        <v>826121</v>
      </c>
    </row>
    <row r="8" spans="1:6" ht="13.7" customHeight="1" x14ac:dyDescent="0.2">
      <c r="A8" s="715" t="s">
        <v>1179</v>
      </c>
      <c r="B8" s="1747">
        <f>'Revenues 9-14'!G5</f>
        <v>1038600</v>
      </c>
      <c r="C8" s="585">
        <v>240848</v>
      </c>
      <c r="D8" s="1750">
        <f t="shared" si="0"/>
        <v>797752</v>
      </c>
      <c r="E8" s="585">
        <v>1044825</v>
      </c>
      <c r="F8" s="1750">
        <f t="shared" si="1"/>
        <v>803977</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277861</v>
      </c>
      <c r="C10" s="585">
        <v>63784</v>
      </c>
      <c r="D10" s="1750">
        <f t="shared" si="0"/>
        <v>214077</v>
      </c>
      <c r="E10" s="585">
        <v>276702</v>
      </c>
      <c r="F10" s="1750">
        <f t="shared" si="1"/>
        <v>212918</v>
      </c>
    </row>
    <row r="11" spans="1:6" x14ac:dyDescent="0.2">
      <c r="A11" s="715" t="s">
        <v>409</v>
      </c>
      <c r="B11" s="1747">
        <f>'Revenues 9-14'!J5</f>
        <v>825095</v>
      </c>
      <c r="C11" s="585">
        <v>189056</v>
      </c>
      <c r="D11" s="1750">
        <f t="shared" si="0"/>
        <v>636039</v>
      </c>
      <c r="E11" s="585">
        <v>820144</v>
      </c>
      <c r="F11" s="1750">
        <f t="shared" si="1"/>
        <v>631088</v>
      </c>
    </row>
    <row r="12" spans="1:6" ht="13.7" customHeight="1" x14ac:dyDescent="0.2">
      <c r="A12" s="715" t="s">
        <v>157</v>
      </c>
      <c r="B12" s="1747">
        <f>'Revenues 9-14'!K5</f>
        <v>0</v>
      </c>
      <c r="C12" s="585"/>
      <c r="D12" s="1750">
        <f t="shared" si="0"/>
        <v>0</v>
      </c>
      <c r="E12" s="585"/>
      <c r="F12" s="1750">
        <f t="shared" si="1"/>
        <v>0</v>
      </c>
    </row>
    <row r="13" spans="1:6" ht="13.7" customHeight="1" x14ac:dyDescent="0.2">
      <c r="A13" s="715" t="s">
        <v>936</v>
      </c>
      <c r="B13" s="1747">
        <f>SUM('Revenues 9-14'!C6:D6)</f>
        <v>0</v>
      </c>
      <c r="C13" s="585"/>
      <c r="D13" s="1750">
        <f t="shared" si="0"/>
        <v>0</v>
      </c>
      <c r="E13" s="585"/>
      <c r="F13" s="1750">
        <f t="shared" si="1"/>
        <v>0</v>
      </c>
    </row>
    <row r="14" spans="1:6" ht="13.7" customHeight="1" x14ac:dyDescent="0.2">
      <c r="A14" s="715" t="s">
        <v>410</v>
      </c>
      <c r="B14" s="1747">
        <f>SUM('Revenues 9-14'!C7:D7,'Revenues 9-14'!F7:H7)</f>
        <v>222289</v>
      </c>
      <c r="C14" s="585">
        <v>51027</v>
      </c>
      <c r="D14" s="1750">
        <f t="shared" si="0"/>
        <v>171262</v>
      </c>
      <c r="E14" s="585">
        <v>221361</v>
      </c>
      <c r="F14" s="1750">
        <f t="shared" si="1"/>
        <v>170334</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1225531</v>
      </c>
      <c r="C16" s="585">
        <v>286773</v>
      </c>
      <c r="D16" s="1750">
        <f t="shared" si="0"/>
        <v>938758</v>
      </c>
      <c r="E16" s="585">
        <v>1244051</v>
      </c>
      <c r="F16" s="1750">
        <f t="shared" si="1"/>
        <v>957278</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30767215</v>
      </c>
      <c r="C19" s="1748">
        <f>SUM(C4:C18)</f>
        <v>6854488</v>
      </c>
      <c r="D19" s="1748">
        <f>SUM(D4:D18)</f>
        <v>23912727</v>
      </c>
      <c r="E19" s="1748">
        <f>SUM(E4:E18)</f>
        <v>29735469</v>
      </c>
      <c r="F19" s="1748">
        <f>SUM(F4:F18)</f>
        <v>22880981</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K59"/>
  <sheetViews>
    <sheetView showGridLines="0" defaultGridColor="0" topLeftCell="A31" colorId="8" zoomScale="110" zoomScaleNormal="110" workbookViewId="0">
      <selection activeCell="J24" sqref="J2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4"/>
      <c r="C1" s="721"/>
    </row>
    <row r="2" spans="1:7" ht="33.75" x14ac:dyDescent="0.2">
      <c r="A2" s="2211" t="s">
        <v>1799</v>
      </c>
      <c r="B2" s="2212"/>
      <c r="C2" s="1880" t="s">
        <v>1951</v>
      </c>
      <c r="D2" s="723" t="s">
        <v>1952</v>
      </c>
      <c r="E2" s="723" t="s">
        <v>1953</v>
      </c>
      <c r="F2" s="1880" t="s">
        <v>1954</v>
      </c>
    </row>
    <row r="3" spans="1:7" ht="15.75" customHeight="1" x14ac:dyDescent="0.2">
      <c r="A3" s="2213" t="s">
        <v>1114</v>
      </c>
      <c r="B3" s="2214"/>
      <c r="C3" s="2207"/>
      <c r="D3" s="2208"/>
      <c r="E3" s="2208"/>
      <c r="F3" s="2209"/>
    </row>
    <row r="4" spans="1:7" ht="12.75" customHeight="1" thickBot="1" x14ac:dyDescent="0.25">
      <c r="A4" s="2201" t="s">
        <v>630</v>
      </c>
      <c r="B4" s="2202"/>
      <c r="C4" s="581"/>
      <c r="D4" s="581"/>
      <c r="E4" s="581"/>
      <c r="F4" s="1752">
        <f>SUM(C4+D4)-E4</f>
        <v>0</v>
      </c>
    </row>
    <row r="5" spans="1:7" ht="15.75" customHeight="1" thickTop="1" x14ac:dyDescent="0.2">
      <c r="A5" s="2205" t="s">
        <v>1110</v>
      </c>
      <c r="B5" s="2200"/>
      <c r="C5" s="2194"/>
      <c r="D5" s="2195"/>
      <c r="E5" s="2195"/>
      <c r="F5" s="2196"/>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197" t="s">
        <v>631</v>
      </c>
      <c r="B15" s="2198"/>
      <c r="C15" s="1752">
        <f>SUM(C6:C14)</f>
        <v>0</v>
      </c>
      <c r="D15" s="1752">
        <f>SUM(D6:D14)</f>
        <v>0</v>
      </c>
      <c r="E15" s="1752">
        <f>SUM(E6:E14)</f>
        <v>0</v>
      </c>
      <c r="F15" s="1752">
        <f>SUM(F6:F14)</f>
        <v>0</v>
      </c>
      <c r="G15" s="552"/>
    </row>
    <row r="16" spans="1:7" s="202" customFormat="1" ht="15.75" customHeight="1" thickTop="1" x14ac:dyDescent="0.2">
      <c r="A16" s="2210" t="s">
        <v>1111</v>
      </c>
      <c r="B16" s="2200"/>
      <c r="C16" s="2194"/>
      <c r="D16" s="2195"/>
      <c r="E16" s="2195"/>
      <c r="F16" s="2196"/>
    </row>
    <row r="17" spans="1:11" ht="12.75" customHeight="1" thickBot="1" x14ac:dyDescent="0.25">
      <c r="A17" s="2192" t="s">
        <v>64</v>
      </c>
      <c r="B17" s="2193"/>
      <c r="C17" s="726"/>
      <c r="D17" s="585"/>
      <c r="E17" s="726"/>
      <c r="F17" s="1752">
        <f>SUM(C17+D17)-E17</f>
        <v>0</v>
      </c>
    </row>
    <row r="18" spans="1:11" ht="12.75" customHeight="1" thickTop="1" thickBot="1" x14ac:dyDescent="0.25">
      <c r="A18" s="2192" t="s">
        <v>6</v>
      </c>
      <c r="B18" s="2193"/>
      <c r="C18" s="726"/>
      <c r="D18" s="585"/>
      <c r="E18" s="726"/>
      <c r="F18" s="1752">
        <f>SUM(C18+D18)-E18</f>
        <v>0</v>
      </c>
    </row>
    <row r="19" spans="1:11" ht="12.75" customHeight="1" thickTop="1" thickBot="1" x14ac:dyDescent="0.25">
      <c r="A19" s="2192" t="s">
        <v>388</v>
      </c>
      <c r="B19" s="2193"/>
      <c r="C19" s="726"/>
      <c r="D19" s="585"/>
      <c r="E19" s="726"/>
      <c r="F19" s="1752">
        <f>SUM(C19+D19)-E19</f>
        <v>0</v>
      </c>
    </row>
    <row r="20" spans="1:11" ht="12.75" customHeight="1" thickTop="1" thickBot="1" x14ac:dyDescent="0.25">
      <c r="A20" s="2192" t="s">
        <v>448</v>
      </c>
      <c r="B20" s="2193"/>
      <c r="C20" s="726"/>
      <c r="D20" s="585"/>
      <c r="E20" s="726"/>
      <c r="F20" s="1752">
        <f>SUM(C20+D20)-E20</f>
        <v>0</v>
      </c>
    </row>
    <row r="21" spans="1:11" ht="14.25" thickTop="1" thickBot="1" x14ac:dyDescent="0.25">
      <c r="A21" s="2197" t="s">
        <v>632</v>
      </c>
      <c r="B21" s="2198"/>
      <c r="C21" s="1752">
        <f>SUM(C17:C20)</f>
        <v>0</v>
      </c>
      <c r="D21" s="1752">
        <f>SUM(D17:D20)</f>
        <v>0</v>
      </c>
      <c r="E21" s="1752">
        <f>SUM(E17:E20)</f>
        <v>0</v>
      </c>
      <c r="F21" s="1752">
        <f>SUM(F17:F20)</f>
        <v>0</v>
      </c>
      <c r="G21" s="552"/>
    </row>
    <row r="22" spans="1:11" ht="15.75" customHeight="1" thickTop="1" x14ac:dyDescent="0.2">
      <c r="A22" s="2199" t="s">
        <v>1112</v>
      </c>
      <c r="B22" s="2200"/>
      <c r="C22" s="2194"/>
      <c r="D22" s="2195"/>
      <c r="E22" s="2195"/>
      <c r="F22" s="2196"/>
    </row>
    <row r="23" spans="1:11" ht="13.5" thickBot="1" x14ac:dyDescent="0.25">
      <c r="A23" s="2201" t="s">
        <v>633</v>
      </c>
      <c r="B23" s="2202"/>
      <c r="C23" s="581"/>
      <c r="D23" s="581"/>
      <c r="E23" s="581"/>
      <c r="F23" s="1752">
        <f>SUM(C23+D23)-E23</f>
        <v>0</v>
      </c>
      <c r="G23" s="552"/>
    </row>
    <row r="24" spans="1:11" ht="15.75" customHeight="1" thickTop="1" x14ac:dyDescent="0.2">
      <c r="A24" s="2199" t="s">
        <v>1113</v>
      </c>
      <c r="B24" s="2200"/>
      <c r="C24" s="2194"/>
      <c r="D24" s="2195"/>
      <c r="E24" s="2195"/>
      <c r="F24" s="2196"/>
    </row>
    <row r="25" spans="1:11" ht="13.5" thickBot="1" x14ac:dyDescent="0.25">
      <c r="A25" s="2201" t="s">
        <v>634</v>
      </c>
      <c r="B25" s="2202"/>
      <c r="C25" s="581"/>
      <c r="D25" s="581"/>
      <c r="E25" s="581"/>
      <c r="F25" s="1752">
        <f>SUM(C25+D25)-E25</f>
        <v>0</v>
      </c>
      <c r="G25" s="552"/>
    </row>
    <row r="26" spans="1:11" ht="15.75" customHeight="1" thickTop="1" x14ac:dyDescent="0.2">
      <c r="A26" s="2205" t="s">
        <v>657</v>
      </c>
      <c r="B26" s="2200"/>
      <c r="C26" s="727"/>
      <c r="D26" s="727"/>
      <c r="E26" s="727"/>
      <c r="F26" s="728"/>
    </row>
    <row r="27" spans="1:11" ht="13.5" thickBot="1" x14ac:dyDescent="0.25">
      <c r="A27" s="2197" t="s">
        <v>1070</v>
      </c>
      <c r="B27" s="2198"/>
      <c r="C27" s="585"/>
      <c r="D27" s="585"/>
      <c r="E27" s="585"/>
      <c r="F27" s="1752">
        <f>SUM(C27+D27)-E27</f>
        <v>0</v>
      </c>
      <c r="G27" s="552"/>
    </row>
    <row r="28" spans="1:11" ht="7.5" customHeight="1" thickTop="1" x14ac:dyDescent="0.2">
      <c r="A28" s="593"/>
    </row>
    <row r="29" spans="1:11" ht="23.25" customHeight="1" x14ac:dyDescent="0.2">
      <c r="A29" s="2203" t="s">
        <v>582</v>
      </c>
      <c r="B29" s="2204"/>
      <c r="C29" s="729"/>
      <c r="D29" s="729"/>
      <c r="E29" s="729"/>
      <c r="F29" s="729"/>
      <c r="G29" s="729"/>
      <c r="H29" s="729"/>
      <c r="I29" s="729"/>
      <c r="J29" s="729"/>
    </row>
    <row r="30" spans="1:11" ht="33.75" x14ac:dyDescent="0.2">
      <c r="A30" s="1529" t="s">
        <v>1071</v>
      </c>
      <c r="B30" s="730" t="s">
        <v>1124</v>
      </c>
      <c r="C30" s="1881" t="s">
        <v>583</v>
      </c>
      <c r="D30" s="1881" t="s">
        <v>1673</v>
      </c>
      <c r="E30" s="1881" t="s">
        <v>1955</v>
      </c>
      <c r="F30" s="1881" t="s">
        <v>1956</v>
      </c>
      <c r="G30" s="1881" t="s">
        <v>1907</v>
      </c>
      <c r="H30" s="1881" t="s">
        <v>1957</v>
      </c>
      <c r="I30" s="1881" t="s">
        <v>1958</v>
      </c>
      <c r="J30" s="1882" t="s">
        <v>2</v>
      </c>
      <c r="K30" s="731"/>
    </row>
    <row r="31" spans="1:11" ht="12" customHeight="1" x14ac:dyDescent="0.2">
      <c r="A31" s="732" t="s">
        <v>2161</v>
      </c>
      <c r="B31" s="733">
        <v>43137</v>
      </c>
      <c r="C31" s="734">
        <v>27730000</v>
      </c>
      <c r="D31" s="735">
        <v>3</v>
      </c>
      <c r="E31" s="734">
        <v>27730000</v>
      </c>
      <c r="F31" s="734"/>
      <c r="G31" s="734"/>
      <c r="H31" s="734">
        <v>2110000</v>
      </c>
      <c r="I31" s="1753">
        <f>((E31+F31)-H31)+G31</f>
        <v>25620000</v>
      </c>
      <c r="J31" s="734">
        <v>23824392</v>
      </c>
      <c r="K31" s="736"/>
    </row>
    <row r="32" spans="1:11" ht="12" customHeight="1" x14ac:dyDescent="0.2">
      <c r="A32" s="732"/>
      <c r="B32" s="733"/>
      <c r="C32" s="734"/>
      <c r="D32" s="735"/>
      <c r="E32" s="734"/>
      <c r="F32" s="734"/>
      <c r="G32" s="734"/>
      <c r="H32" s="734"/>
      <c r="I32" s="1753">
        <f>((E32+F32)-H32)+G32</f>
        <v>0</v>
      </c>
      <c r="J32" s="734"/>
      <c r="K32" s="736"/>
    </row>
    <row r="33" spans="1:11" ht="12" customHeight="1" x14ac:dyDescent="0.2">
      <c r="A33" s="732"/>
      <c r="B33" s="733"/>
      <c r="C33" s="734"/>
      <c r="D33" s="735"/>
      <c r="E33" s="734"/>
      <c r="F33" s="734"/>
      <c r="G33" s="734"/>
      <c r="H33" s="734"/>
      <c r="I33" s="1753">
        <f t="shared" ref="I33:I48" si="1">((E33+F33)-H33)+G33</f>
        <v>0</v>
      </c>
      <c r="J33" s="734"/>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27730000</v>
      </c>
      <c r="D49" s="745"/>
      <c r="E49" s="1753">
        <f t="shared" ref="E49:J49" si="2">SUM(E31:E48)</f>
        <v>27730000</v>
      </c>
      <c r="F49" s="1753">
        <f t="shared" si="2"/>
        <v>0</v>
      </c>
      <c r="G49" s="1753">
        <f t="shared" si="2"/>
        <v>0</v>
      </c>
      <c r="H49" s="1753">
        <f t="shared" si="2"/>
        <v>2110000</v>
      </c>
      <c r="I49" s="1753">
        <f t="shared" si="2"/>
        <v>25620000</v>
      </c>
      <c r="J49" s="1753">
        <f t="shared" si="2"/>
        <v>23824392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6" t="s">
        <v>584</v>
      </c>
      <c r="C52" s="2187"/>
      <c r="D52" s="2187"/>
      <c r="E52" s="749" t="s">
        <v>845</v>
      </c>
      <c r="F52" s="2188"/>
      <c r="G52" s="2189"/>
      <c r="H52" s="736"/>
      <c r="I52" s="736"/>
      <c r="J52" s="746"/>
    </row>
    <row r="53" spans="1:11" ht="11.25" customHeight="1" x14ac:dyDescent="0.2">
      <c r="A53" s="750" t="s">
        <v>913</v>
      </c>
      <c r="B53" s="751" t="s">
        <v>951</v>
      </c>
      <c r="C53" s="746"/>
      <c r="D53" s="737"/>
      <c r="E53" s="749" t="s">
        <v>497</v>
      </c>
      <c r="F53" s="2190"/>
      <c r="G53" s="2191"/>
      <c r="H53" s="736"/>
      <c r="I53" s="736"/>
      <c r="J53" s="746"/>
    </row>
    <row r="54" spans="1:11" ht="11.25" customHeight="1" x14ac:dyDescent="0.2">
      <c r="A54" s="752" t="s">
        <v>914</v>
      </c>
      <c r="B54" s="747" t="s">
        <v>952</v>
      </c>
      <c r="C54" s="746"/>
      <c r="D54" s="737"/>
      <c r="E54" s="749" t="s">
        <v>498</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K48"/>
  <sheetViews>
    <sheetView showGridLines="0" defaultGridColor="0" topLeftCell="A16"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856</v>
      </c>
      <c r="B1" s="2216"/>
      <c r="C1" s="2216"/>
      <c r="D1" s="2216"/>
      <c r="E1" s="2216"/>
      <c r="F1" s="2216"/>
      <c r="G1" s="2217"/>
      <c r="H1" s="1530"/>
      <c r="I1" s="760"/>
      <c r="J1" s="433"/>
    </row>
    <row r="2" spans="1:11" ht="26.25" x14ac:dyDescent="0.2">
      <c r="A2" s="2234" t="s">
        <v>1677</v>
      </c>
      <c r="B2" s="2235"/>
      <c r="C2" s="2235"/>
      <c r="D2" s="2235"/>
      <c r="E2" s="2236"/>
      <c r="F2" s="761" t="s">
        <v>904</v>
      </c>
      <c r="G2" s="762" t="s">
        <v>1674</v>
      </c>
      <c r="H2" s="762" t="s">
        <v>410</v>
      </c>
      <c r="I2" s="762" t="s">
        <v>1158</v>
      </c>
      <c r="J2" s="762" t="s">
        <v>1809</v>
      </c>
      <c r="K2" s="762" t="s">
        <v>138</v>
      </c>
    </row>
    <row r="3" spans="1:11" x14ac:dyDescent="0.2">
      <c r="A3" s="2237" t="s">
        <v>1959</v>
      </c>
      <c r="B3" s="2238"/>
      <c r="C3" s="2238"/>
      <c r="D3" s="2238"/>
      <c r="E3" s="2239"/>
      <c r="F3" s="763"/>
      <c r="G3" s="764"/>
      <c r="H3" s="764"/>
      <c r="I3" s="764"/>
      <c r="J3" s="765">
        <v>666588</v>
      </c>
      <c r="K3" s="765"/>
    </row>
    <row r="4" spans="1:11" x14ac:dyDescent="0.2">
      <c r="A4" s="2240" t="s">
        <v>369</v>
      </c>
      <c r="B4" s="2241"/>
      <c r="C4" s="2241"/>
      <c r="D4" s="2241"/>
      <c r="E4" s="2187"/>
      <c r="F4" s="766"/>
      <c r="G4" s="767"/>
      <c r="H4" s="768"/>
      <c r="I4" s="767"/>
      <c r="J4" s="769"/>
      <c r="K4" s="769"/>
    </row>
    <row r="5" spans="1:11" x14ac:dyDescent="0.2">
      <c r="A5" s="2218" t="s">
        <v>1069</v>
      </c>
      <c r="B5" s="2219"/>
      <c r="C5" s="2219"/>
      <c r="D5" s="2219"/>
      <c r="E5" s="2220"/>
      <c r="F5" s="770" t="s">
        <v>848</v>
      </c>
      <c r="G5" s="771"/>
      <c r="H5" s="764">
        <v>222289</v>
      </c>
      <c r="I5" s="772"/>
      <c r="J5" s="773"/>
      <c r="K5" s="773"/>
    </row>
    <row r="6" spans="1:11" x14ac:dyDescent="0.2">
      <c r="A6" s="774" t="s">
        <v>720</v>
      </c>
      <c r="B6" s="775"/>
      <c r="C6" s="775"/>
      <c r="D6" s="775"/>
      <c r="E6" s="776"/>
      <c r="F6" s="777" t="s">
        <v>849</v>
      </c>
      <c r="G6" s="764"/>
      <c r="H6" s="764"/>
      <c r="I6" s="764"/>
      <c r="J6" s="765">
        <v>35035</v>
      </c>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3371930</v>
      </c>
      <c r="K8" s="769"/>
    </row>
    <row r="9" spans="1:11" x14ac:dyDescent="0.2">
      <c r="A9" s="778" t="s">
        <v>138</v>
      </c>
      <c r="B9" s="779"/>
      <c r="C9" s="779"/>
      <c r="D9" s="779"/>
      <c r="E9" s="780"/>
      <c r="F9" s="777" t="s">
        <v>853</v>
      </c>
      <c r="G9" s="782"/>
      <c r="H9" s="771"/>
      <c r="I9" s="771"/>
      <c r="J9" s="781"/>
      <c r="K9" s="765">
        <v>60055</v>
      </c>
    </row>
    <row r="10" spans="1:11" x14ac:dyDescent="0.2">
      <c r="A10" s="2218" t="s">
        <v>1810</v>
      </c>
      <c r="B10" s="2219"/>
      <c r="C10" s="2219"/>
      <c r="D10" s="2219"/>
      <c r="E10" s="2221"/>
      <c r="F10" s="783" t="s">
        <v>862</v>
      </c>
      <c r="G10" s="782"/>
      <c r="H10" s="784"/>
      <c r="I10" s="764"/>
      <c r="J10" s="765"/>
      <c r="K10" s="765"/>
    </row>
    <row r="11" spans="1:11" x14ac:dyDescent="0.2">
      <c r="A11" s="2218" t="s">
        <v>160</v>
      </c>
      <c r="B11" s="2219"/>
      <c r="C11" s="2219"/>
      <c r="D11" s="2219"/>
      <c r="E11" s="2220"/>
      <c r="F11" s="770" t="s">
        <v>852</v>
      </c>
      <c r="G11" s="771"/>
      <c r="H11" s="764"/>
      <c r="I11" s="764"/>
      <c r="J11" s="765"/>
      <c r="K11" s="773"/>
    </row>
    <row r="12" spans="1:11" ht="13.5" thickBot="1" x14ac:dyDescent="0.25">
      <c r="A12" s="2245" t="s">
        <v>905</v>
      </c>
      <c r="B12" s="2246"/>
      <c r="C12" s="2246"/>
      <c r="D12" s="2246"/>
      <c r="E12" s="2247"/>
      <c r="F12" s="1754"/>
      <c r="G12" s="1755">
        <f>SUM(G5:G11)</f>
        <v>0</v>
      </c>
      <c r="H12" s="1755">
        <f>SUM(H5:H11)</f>
        <v>222289</v>
      </c>
      <c r="I12" s="1755">
        <f>SUM(I5:I11)</f>
        <v>0</v>
      </c>
      <c r="J12" s="1755">
        <f>SUM(J5:J11)</f>
        <v>3406965</v>
      </c>
      <c r="K12" s="1755">
        <f>SUM(K5:K11)</f>
        <v>60055</v>
      </c>
    </row>
    <row r="13" spans="1:11" ht="13.5" thickTop="1" x14ac:dyDescent="0.2">
      <c r="A13" s="2242" t="s">
        <v>370</v>
      </c>
      <c r="B13" s="2243"/>
      <c r="C13" s="2243"/>
      <c r="D13" s="2243"/>
      <c r="E13" s="2244"/>
      <c r="F13" s="785"/>
      <c r="G13" s="786"/>
      <c r="H13" s="787"/>
      <c r="I13" s="788"/>
      <c r="J13" s="788"/>
      <c r="K13" s="788"/>
    </row>
    <row r="14" spans="1:11" x14ac:dyDescent="0.2">
      <c r="A14" s="2225" t="s">
        <v>456</v>
      </c>
      <c r="B14" s="2225"/>
      <c r="C14" s="2225"/>
      <c r="D14" s="2225"/>
      <c r="E14" s="2226"/>
      <c r="F14" s="789" t="s">
        <v>854</v>
      </c>
      <c r="G14" s="782"/>
      <c r="H14" s="764">
        <v>222289</v>
      </c>
      <c r="I14" s="771"/>
      <c r="J14" s="773"/>
      <c r="K14" s="765">
        <v>60055</v>
      </c>
    </row>
    <row r="15" spans="1:11" x14ac:dyDescent="0.2">
      <c r="A15" s="2219" t="s">
        <v>4</v>
      </c>
      <c r="B15" s="2219"/>
      <c r="C15" s="2219"/>
      <c r="D15" s="2219"/>
      <c r="E15" s="2220"/>
      <c r="F15" s="789" t="s">
        <v>855</v>
      </c>
      <c r="G15" s="771"/>
      <c r="H15" s="764"/>
      <c r="I15" s="764"/>
      <c r="J15" s="765">
        <v>2092353</v>
      </c>
      <c r="K15" s="765"/>
    </row>
    <row r="16" spans="1:11" x14ac:dyDescent="0.2">
      <c r="A16" s="2219" t="s">
        <v>298</v>
      </c>
      <c r="B16" s="2219"/>
      <c r="C16" s="2219"/>
      <c r="D16" s="2219"/>
      <c r="E16" s="2220"/>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27" t="s">
        <v>1806</v>
      </c>
      <c r="B19" s="2227"/>
      <c r="C19" s="2227"/>
      <c r="D19" s="2227"/>
      <c r="E19" s="2228"/>
      <c r="F19" s="789" t="s">
        <v>933</v>
      </c>
      <c r="G19" s="782"/>
      <c r="H19" s="782"/>
      <c r="I19" s="782"/>
      <c r="J19" s="765"/>
      <c r="K19" s="795"/>
    </row>
    <row r="20" spans="1:11" x14ac:dyDescent="0.2">
      <c r="A20" s="2229" t="s">
        <v>1811</v>
      </c>
      <c r="B20" s="2230"/>
      <c r="C20" s="2230"/>
      <c r="D20" s="2230"/>
      <c r="E20" s="2231"/>
      <c r="F20" s="789" t="s">
        <v>934</v>
      </c>
      <c r="G20" s="782"/>
      <c r="H20" s="782"/>
      <c r="I20" s="782"/>
      <c r="J20" s="765"/>
      <c r="K20" s="795"/>
    </row>
    <row r="21" spans="1:11" ht="13.5" thickBot="1" x14ac:dyDescent="0.25">
      <c r="A21" s="2248" t="s">
        <v>638</v>
      </c>
      <c r="B21" s="2248"/>
      <c r="C21" s="2248"/>
      <c r="D21" s="2248"/>
      <c r="E21" s="2248"/>
      <c r="F21" s="1756"/>
      <c r="G21" s="792"/>
      <c r="H21" s="796"/>
      <c r="I21" s="796"/>
      <c r="J21" s="1757">
        <f>SUM(J18:J20)</f>
        <v>0</v>
      </c>
      <c r="K21" s="793"/>
    </row>
    <row r="22" spans="1:11" ht="13.5" thickTop="1" x14ac:dyDescent="0.2">
      <c r="A22" s="2219" t="s">
        <v>1812</v>
      </c>
      <c r="B22" s="2219"/>
      <c r="C22" s="2219"/>
      <c r="D22" s="2219"/>
      <c r="E22" s="2220"/>
      <c r="F22" s="789" t="s">
        <v>862</v>
      </c>
      <c r="G22" s="782"/>
      <c r="H22" s="764"/>
      <c r="I22" s="764"/>
      <c r="J22" s="797"/>
      <c r="K22" s="765"/>
    </row>
    <row r="23" spans="1:11" ht="13.5" thickBot="1" x14ac:dyDescent="0.25">
      <c r="A23" s="2249" t="s">
        <v>906</v>
      </c>
      <c r="B23" s="2248"/>
      <c r="C23" s="2248"/>
      <c r="D23" s="2248"/>
      <c r="E23" s="2248"/>
      <c r="F23" s="1758"/>
      <c r="G23" s="1755">
        <f>SUM(G14:G16,G21,G22)</f>
        <v>0</v>
      </c>
      <c r="H23" s="1755">
        <f>SUM(H14:H16,H21,H22)</f>
        <v>222289</v>
      </c>
      <c r="I23" s="1755">
        <f>SUM(I14:I16,I21,I22)</f>
        <v>0</v>
      </c>
      <c r="J23" s="1755">
        <f>SUM(J14:J16,J21,J22)</f>
        <v>2092353</v>
      </c>
      <c r="K23" s="1755">
        <f>SUM(K14:K16,K21,K22)</f>
        <v>60055</v>
      </c>
    </row>
    <row r="24" spans="1:11" ht="14.25" thickTop="1" thickBot="1" x14ac:dyDescent="0.25">
      <c r="A24" s="2249" t="s">
        <v>1960</v>
      </c>
      <c r="B24" s="2248"/>
      <c r="C24" s="2248"/>
      <c r="D24" s="2248"/>
      <c r="E24" s="2248"/>
      <c r="F24" s="1759"/>
      <c r="G24" s="1760">
        <f>SUM(G3,G12)-G23</f>
        <v>0</v>
      </c>
      <c r="H24" s="1760">
        <f>SUM(H3,H12)-H23</f>
        <v>0</v>
      </c>
      <c r="I24" s="1760">
        <f>SUM(I3,I12)-I23</f>
        <v>0</v>
      </c>
      <c r="J24" s="1760">
        <f>SUM(J3,J12)-J23</f>
        <v>1981200</v>
      </c>
      <c r="K24" s="1760">
        <f>SUM(K3,K12)-K23</f>
        <v>0</v>
      </c>
    </row>
    <row r="25" spans="1:11" ht="13.5" thickTop="1" x14ac:dyDescent="0.2">
      <c r="A25" s="798" t="s">
        <v>420</v>
      </c>
      <c r="B25" s="799"/>
      <c r="C25" s="799"/>
      <c r="D25" s="799"/>
      <c r="E25" s="800"/>
      <c r="F25" s="801">
        <v>714</v>
      </c>
      <c r="G25" s="802"/>
      <c r="H25" s="802"/>
      <c r="I25" s="802"/>
      <c r="J25" s="797">
        <v>1981200</v>
      </c>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1906</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70C0"/>
  </sheetPr>
  <dimension ref="A1:N27"/>
  <sheetViews>
    <sheetView showGridLines="0" defaultGridColor="0" colorId="8" zoomScale="110" zoomScaleNormal="110" workbookViewId="0">
      <selection activeCell="K12" sqref="K12:K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1905</v>
      </c>
      <c r="B1" s="2255"/>
      <c r="C1" s="2256"/>
      <c r="D1" s="826"/>
      <c r="E1" s="827"/>
      <c r="F1" s="827"/>
      <c r="G1" s="828"/>
      <c r="H1" s="829"/>
      <c r="I1" s="830"/>
      <c r="J1" s="2252"/>
      <c r="K1" s="2253"/>
      <c r="L1" s="2253"/>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57">
        <f>(C3+D3)-E3</f>
        <v>0</v>
      </c>
      <c r="G3" s="836"/>
      <c r="H3" s="835"/>
      <c r="I3" s="835"/>
      <c r="J3" s="835"/>
      <c r="K3" s="1766">
        <f>(H3+I3)-J3</f>
        <v>0</v>
      </c>
      <c r="L3" s="1766">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2438741</v>
      </c>
      <c r="D5" s="841">
        <v>525</v>
      </c>
      <c r="E5" s="841"/>
      <c r="F5" s="1757">
        <f>(C5+D5)-E5</f>
        <v>2439266</v>
      </c>
      <c r="G5" s="837"/>
      <c r="H5" s="842"/>
      <c r="I5" s="842"/>
      <c r="J5" s="842"/>
      <c r="K5" s="793"/>
      <c r="L5" s="1766">
        <f>F5-K5</f>
        <v>2439266</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76372483</v>
      </c>
      <c r="D8" s="844">
        <v>2683090</v>
      </c>
      <c r="E8" s="844"/>
      <c r="F8" s="1757">
        <f>(C8+D8)-E8</f>
        <v>79055573</v>
      </c>
      <c r="G8" s="843">
        <v>50</v>
      </c>
      <c r="H8" s="765">
        <v>29874252</v>
      </c>
      <c r="I8" s="765">
        <v>1374536</v>
      </c>
      <c r="J8" s="765"/>
      <c r="K8" s="1766">
        <f>(H8+I8)-J8</f>
        <v>31248788</v>
      </c>
      <c r="L8" s="1766">
        <f>F8-K8</f>
        <v>47806785</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3452602</v>
      </c>
      <c r="D10" s="846"/>
      <c r="E10" s="846"/>
      <c r="F10" s="1761">
        <f>(C10+D10)-E10</f>
        <v>3452602</v>
      </c>
      <c r="G10" s="843">
        <v>20</v>
      </c>
      <c r="H10" s="847">
        <v>2243471</v>
      </c>
      <c r="I10" s="847">
        <v>126125</v>
      </c>
      <c r="J10" s="847"/>
      <c r="K10" s="1766">
        <f>(H10+I10)-J10</f>
        <v>2369596</v>
      </c>
      <c r="L10" s="1766">
        <f>F10-K10</f>
        <v>1083006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f>2791634+5045</f>
        <v>2796679</v>
      </c>
      <c r="D12" s="844">
        <v>368090</v>
      </c>
      <c r="E12" s="844"/>
      <c r="F12" s="1757">
        <f>(C12+D12)-E12</f>
        <v>3164769</v>
      </c>
      <c r="G12" s="843">
        <v>10</v>
      </c>
      <c r="H12" s="765">
        <v>2197393</v>
      </c>
      <c r="I12" s="765">
        <f>120141+2782</f>
        <v>122923</v>
      </c>
      <c r="J12" s="765"/>
      <c r="K12" s="1766">
        <f>(H12+I12)-J12</f>
        <v>2320316</v>
      </c>
      <c r="L12" s="1766">
        <f>F12-K12</f>
        <v>844453</v>
      </c>
    </row>
    <row r="13" spans="1:14" ht="14.25" thickTop="1" thickBot="1" x14ac:dyDescent="0.25">
      <c r="A13" s="848" t="s">
        <v>1122</v>
      </c>
      <c r="B13" s="840">
        <v>252</v>
      </c>
      <c r="C13" s="844">
        <v>626609</v>
      </c>
      <c r="D13" s="844"/>
      <c r="E13" s="844"/>
      <c r="F13" s="1757">
        <f>(C13+D13)-E13</f>
        <v>626609</v>
      </c>
      <c r="G13" s="843">
        <v>5</v>
      </c>
      <c r="H13" s="765">
        <v>544345</v>
      </c>
      <c r="I13" s="765">
        <v>37848</v>
      </c>
      <c r="J13" s="765"/>
      <c r="K13" s="1766">
        <f>(H13+I13)-J13</f>
        <v>582193</v>
      </c>
      <c r="L13" s="1766">
        <f>F13-K13</f>
        <v>44416</v>
      </c>
    </row>
    <row r="14" spans="1:14" ht="14.25" thickTop="1" thickBot="1" x14ac:dyDescent="0.25">
      <c r="A14" s="848" t="s">
        <v>1123</v>
      </c>
      <c r="B14" s="840">
        <v>253</v>
      </c>
      <c r="C14" s="765">
        <v>394902</v>
      </c>
      <c r="D14" s="765">
        <v>9705</v>
      </c>
      <c r="E14" s="765"/>
      <c r="F14" s="1757">
        <f>(C14+D14)-E14</f>
        <v>404607</v>
      </c>
      <c r="G14" s="843">
        <v>3</v>
      </c>
      <c r="H14" s="765">
        <v>394902</v>
      </c>
      <c r="I14" s="765">
        <v>3235</v>
      </c>
      <c r="J14" s="765"/>
      <c r="K14" s="1766">
        <f>(H14+I14)-J14</f>
        <v>398137</v>
      </c>
      <c r="L14" s="1766">
        <f>F14-K14</f>
        <v>6470</v>
      </c>
    </row>
    <row r="15" spans="1:14" ht="15" customHeight="1" thickTop="1" thickBot="1" x14ac:dyDescent="0.25">
      <c r="A15" s="1631" t="s">
        <v>528</v>
      </c>
      <c r="B15" s="1630">
        <v>260</v>
      </c>
      <c r="C15" s="844">
        <v>1362747</v>
      </c>
      <c r="D15" s="844">
        <v>889812</v>
      </c>
      <c r="E15" s="844">
        <v>1336681</v>
      </c>
      <c r="F15" s="1757">
        <f>(C15+D15)-E15</f>
        <v>915878</v>
      </c>
      <c r="G15" s="849" t="s">
        <v>862</v>
      </c>
      <c r="H15" s="781"/>
      <c r="I15" s="781"/>
      <c r="J15" s="781"/>
      <c r="K15" s="781"/>
      <c r="L15" s="1766">
        <f>F15-K15</f>
        <v>915878</v>
      </c>
    </row>
    <row r="16" spans="1:14" ht="15" customHeight="1" thickTop="1" thickBot="1" x14ac:dyDescent="0.25">
      <c r="A16" s="1762" t="s">
        <v>643</v>
      </c>
      <c r="B16" s="1763">
        <v>200</v>
      </c>
      <c r="C16" s="1757">
        <f>SUM(C3,C5:C6,C8:C10,C12:C15)</f>
        <v>87444763</v>
      </c>
      <c r="D16" s="1757">
        <f>SUM(D3,D5:D6,D8:D10,D12:D15)</f>
        <v>3951222</v>
      </c>
      <c r="E16" s="1757">
        <f>SUM(E3,E5:E6,E8:E10,E12:E15)</f>
        <v>1336681</v>
      </c>
      <c r="F16" s="1757">
        <f>SUM(F3,F5:F6,F8:F10,F12:F15)</f>
        <v>90059304</v>
      </c>
      <c r="G16" s="843"/>
      <c r="H16" s="1757">
        <f>SUM(H3,H6,H8:H10,H12:H14,)</f>
        <v>35254363</v>
      </c>
      <c r="I16" s="1757">
        <f>SUM(I3,I6,I8:I10,I12:I14,)</f>
        <v>1664667</v>
      </c>
      <c r="J16" s="1757">
        <f>SUM(J3,J6,J8:J10,J12:J14,)</f>
        <v>0</v>
      </c>
      <c r="K16" s="1757">
        <f>(H16+I16)-J16</f>
        <v>36919030</v>
      </c>
      <c r="L16" s="1757">
        <f>F16-K16</f>
        <v>53140274</v>
      </c>
    </row>
    <row r="17" spans="1:12" ht="15" customHeight="1" thickTop="1" thickBot="1" x14ac:dyDescent="0.25">
      <c r="A17" s="1633" t="s">
        <v>291</v>
      </c>
      <c r="B17" s="1630">
        <v>700</v>
      </c>
      <c r="C17" s="769"/>
      <c r="D17" s="769"/>
      <c r="E17" s="769"/>
      <c r="F17" s="1757">
        <f>SUM('Expenditures 15-22'!I114,'Expenditures 15-22'!I151,'Expenditures 15-22'!I210,'Expenditures 15-22'!I312,'Expenditures 15-22'!I342,'Expenditures 15-22'!I367)</f>
        <v>361396</v>
      </c>
      <c r="G17" s="837">
        <v>10</v>
      </c>
      <c r="H17" s="769"/>
      <c r="I17" s="1766">
        <f>F17/G17</f>
        <v>36139.599999999999</v>
      </c>
      <c r="J17" s="769"/>
      <c r="K17" s="795"/>
      <c r="L17" s="795"/>
    </row>
    <row r="18" spans="1:12" ht="14.25" thickTop="1" thickBot="1" x14ac:dyDescent="0.25">
      <c r="A18" s="1764" t="s">
        <v>685</v>
      </c>
      <c r="B18" s="1765"/>
      <c r="C18" s="771"/>
      <c r="D18" s="771"/>
      <c r="E18" s="771"/>
      <c r="F18" s="850"/>
      <c r="G18" s="851"/>
      <c r="H18" s="773"/>
      <c r="I18" s="1757">
        <f>SUM(I16,I17)</f>
        <v>1700806.6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70C0"/>
  </sheetPr>
  <dimension ref="A1:H202"/>
  <sheetViews>
    <sheetView showGridLines="0" defaultGridColor="0" colorId="8" zoomScale="110" zoomScaleNormal="110" workbookViewId="0">
      <pane ySplit="5" topLeftCell="A6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1970</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65920742</v>
      </c>
      <c r="G8" s="865"/>
    </row>
    <row r="9" spans="1:7" x14ac:dyDescent="0.2">
      <c r="A9" s="869" t="s">
        <v>460</v>
      </c>
      <c r="B9" s="870" t="s">
        <v>1873</v>
      </c>
      <c r="C9" s="871"/>
      <c r="D9" s="869" t="s">
        <v>501</v>
      </c>
      <c r="E9" s="868"/>
      <c r="F9" s="1905">
        <f>'Expenditures 15-22'!K151</f>
        <v>5341418</v>
      </c>
      <c r="G9" s="872"/>
    </row>
    <row r="10" spans="1:7" x14ac:dyDescent="0.2">
      <c r="A10" s="869" t="s">
        <v>499</v>
      </c>
      <c r="B10" s="870" t="s">
        <v>1874</v>
      </c>
      <c r="C10" s="871"/>
      <c r="D10" s="869" t="s">
        <v>501</v>
      </c>
      <c r="E10" s="868"/>
      <c r="F10" s="1905">
        <f>'Expenditures 15-22'!K174</f>
        <v>3532225</v>
      </c>
      <c r="G10" s="872"/>
    </row>
    <row r="11" spans="1:7" x14ac:dyDescent="0.2">
      <c r="A11" s="869" t="s">
        <v>461</v>
      </c>
      <c r="B11" s="870" t="s">
        <v>1875</v>
      </c>
      <c r="C11" s="871"/>
      <c r="D11" s="869" t="s">
        <v>501</v>
      </c>
      <c r="E11" s="868"/>
      <c r="F11" s="1905">
        <f>'Expenditures 15-22'!K210</f>
        <v>1617732</v>
      </c>
      <c r="G11" s="872"/>
    </row>
    <row r="12" spans="1:7" x14ac:dyDescent="0.2">
      <c r="A12" s="869" t="s">
        <v>462</v>
      </c>
      <c r="B12" s="870" t="s">
        <v>1876</v>
      </c>
      <c r="C12" s="871"/>
      <c r="D12" s="869" t="s">
        <v>501</v>
      </c>
      <c r="E12" s="868"/>
      <c r="F12" s="1905">
        <f>'Expenditures 15-22'!K295</f>
        <v>2096864</v>
      </c>
      <c r="G12" s="872"/>
    </row>
    <row r="13" spans="1:7" x14ac:dyDescent="0.2">
      <c r="A13" s="869" t="s">
        <v>106</v>
      </c>
      <c r="B13" s="870" t="s">
        <v>1877</v>
      </c>
      <c r="C13" s="871"/>
      <c r="D13" s="869" t="s">
        <v>501</v>
      </c>
      <c r="E13" s="868"/>
      <c r="F13" s="1905">
        <f>'Expenditures 15-22'!K342</f>
        <v>821036</v>
      </c>
      <c r="G13" s="873"/>
    </row>
    <row r="14" spans="1:7" ht="12" customHeight="1" thickBot="1" x14ac:dyDescent="0.25">
      <c r="A14" s="1767"/>
      <c r="B14" s="1768"/>
      <c r="C14" s="1769"/>
      <c r="D14" s="1770" t="s">
        <v>501</v>
      </c>
      <c r="E14" s="1771" t="s">
        <v>958</v>
      </c>
      <c r="F14" s="1772">
        <f>SUM(F8:F13)</f>
        <v>79330017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0">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1997</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341924</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630581</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100742</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3448992</v>
      </c>
      <c r="G52" s="865"/>
    </row>
    <row r="53" spans="1:7" x14ac:dyDescent="0.2">
      <c r="A53" s="869" t="s">
        <v>459</v>
      </c>
      <c r="B53" s="869" t="s">
        <v>1475</v>
      </c>
      <c r="C53" s="889">
        <f>'Expenditures 15-22'!B102</f>
        <v>4000</v>
      </c>
      <c r="D53" s="888" t="str">
        <f>'Expenditures 15-22'!A102</f>
        <v>Total Payments to Other Govt Units</v>
      </c>
      <c r="E53" s="868"/>
      <c r="F53" s="1909">
        <f>'Expenditures 15-22'!K102</f>
        <v>2129792</v>
      </c>
      <c r="G53" s="865"/>
    </row>
    <row r="54" spans="1:7" x14ac:dyDescent="0.2">
      <c r="A54" s="869" t="s">
        <v>459</v>
      </c>
      <c r="B54" s="869" t="s">
        <v>1476</v>
      </c>
      <c r="C54" s="889" t="s">
        <v>982</v>
      </c>
      <c r="D54" s="885" t="s">
        <v>1095</v>
      </c>
      <c r="E54" s="868"/>
      <c r="F54" s="1909">
        <f>'Expenditures 15-22'!G114</f>
        <v>438157</v>
      </c>
      <c r="G54" s="865"/>
    </row>
    <row r="55" spans="1:7" x14ac:dyDescent="0.2">
      <c r="A55" s="869" t="s">
        <v>459</v>
      </c>
      <c r="B55" s="869" t="s">
        <v>1477</v>
      </c>
      <c r="C55" s="889" t="s">
        <v>982</v>
      </c>
      <c r="D55" s="885" t="s">
        <v>291</v>
      </c>
      <c r="E55" s="868"/>
      <c r="F55" s="1909">
        <f>'Expenditures 15-22'!I114</f>
        <v>351150</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9">
        <f>'Expenditures 15-22'!K139</f>
        <v>0</v>
      </c>
      <c r="G57" s="865"/>
    </row>
    <row r="58" spans="1:7" x14ac:dyDescent="0.2">
      <c r="A58" s="869" t="s">
        <v>460</v>
      </c>
      <c r="B58" s="869" t="s">
        <v>1879</v>
      </c>
      <c r="C58" s="886" t="s">
        <v>982</v>
      </c>
      <c r="D58" s="885" t="s">
        <v>1095</v>
      </c>
      <c r="E58" s="868"/>
      <c r="F58" s="1911">
        <f>'Expenditures 15-22'!G151</f>
        <v>53850</v>
      </c>
      <c r="G58" s="865"/>
    </row>
    <row r="59" spans="1:7" x14ac:dyDescent="0.2">
      <c r="A59" s="893" t="s">
        <v>460</v>
      </c>
      <c r="B59" s="856" t="s">
        <v>1880</v>
      </c>
      <c r="C59" s="894" t="s">
        <v>982</v>
      </c>
      <c r="D59" s="856" t="s">
        <v>291</v>
      </c>
      <c r="F59" s="1912">
        <f>'Expenditures 15-22'!I151</f>
        <v>10246</v>
      </c>
      <c r="G59" s="865"/>
    </row>
    <row r="60" spans="1:7" x14ac:dyDescent="0.2">
      <c r="A60" s="893" t="s">
        <v>499</v>
      </c>
      <c r="B60" s="856" t="s">
        <v>1881</v>
      </c>
      <c r="C60" s="894">
        <v>4000</v>
      </c>
      <c r="D60" s="856" t="s">
        <v>312</v>
      </c>
      <c r="F60" s="1910">
        <f>'Expenditures 15-22'!K160</f>
        <v>0</v>
      </c>
      <c r="G60" s="865"/>
    </row>
    <row r="61" spans="1:7" x14ac:dyDescent="0.2">
      <c r="A61" s="895" t="s">
        <v>499</v>
      </c>
      <c r="B61" s="895" t="s">
        <v>1882</v>
      </c>
      <c r="C61" s="896" t="str">
        <f>'Expenditures 15-22'!B170</f>
        <v>5300</v>
      </c>
      <c r="D61" s="897" t="s">
        <v>311</v>
      </c>
      <c r="E61" s="879"/>
      <c r="F61" s="1909">
        <f>'Expenditures 15-22'!K170</f>
        <v>2110000</v>
      </c>
      <c r="G61" s="865"/>
    </row>
    <row r="62" spans="1:7" x14ac:dyDescent="0.2">
      <c r="A62" s="869" t="s">
        <v>461</v>
      </c>
      <c r="B62" s="869" t="s">
        <v>1883</v>
      </c>
      <c r="C62" s="886">
        <f>'Expenditures 15-22'!B185</f>
        <v>3000</v>
      </c>
      <c r="D62" s="876" t="s">
        <v>449</v>
      </c>
      <c r="E62" s="868"/>
      <c r="F62" s="1909">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1885</v>
      </c>
      <c r="C64" s="896" t="str">
        <f>'Expenditures 15-22'!B206</f>
        <v>5300</v>
      </c>
      <c r="D64" s="892" t="s">
        <v>311</v>
      </c>
      <c r="E64" s="868"/>
      <c r="F64" s="1909">
        <f>'Expenditures 15-22'!K206</f>
        <v>0</v>
      </c>
      <c r="G64" s="865"/>
    </row>
    <row r="65" spans="1:8" x14ac:dyDescent="0.2">
      <c r="A65" s="869" t="s">
        <v>461</v>
      </c>
      <c r="B65" s="869" t="s">
        <v>1886</v>
      </c>
      <c r="C65" s="886" t="s">
        <v>982</v>
      </c>
      <c r="D65" s="885" t="s">
        <v>1095</v>
      </c>
      <c r="E65" s="868"/>
      <c r="F65" s="1909">
        <f>'Expenditures 15-22'!G210</f>
        <v>0</v>
      </c>
      <c r="G65" s="865"/>
    </row>
    <row r="66" spans="1:8" x14ac:dyDescent="0.2">
      <c r="A66" s="869" t="s">
        <v>461</v>
      </c>
      <c r="B66" s="869" t="s">
        <v>1887</v>
      </c>
      <c r="C66" s="886" t="s">
        <v>982</v>
      </c>
      <c r="D66" s="885" t="s">
        <v>291</v>
      </c>
      <c r="E66" s="868"/>
      <c r="F66" s="1909">
        <f>'Expenditures 15-22'!I210</f>
        <v>0</v>
      </c>
      <c r="G66" s="865"/>
    </row>
    <row r="67" spans="1:8" x14ac:dyDescent="0.2">
      <c r="A67" s="869" t="s">
        <v>462</v>
      </c>
      <c r="B67" s="869" t="s">
        <v>1888</v>
      </c>
      <c r="C67" s="886" t="str">
        <f>'Expenditures 15-22'!B216</f>
        <v>1125</v>
      </c>
      <c r="D67" s="892" t="str">
        <f>'Expenditures 15-22'!A216</f>
        <v>Pre-K Programs</v>
      </c>
      <c r="E67" s="868"/>
      <c r="F67" s="1909">
        <f>'Expenditures 15-22'!K216</f>
        <v>72811</v>
      </c>
      <c r="G67" s="865"/>
    </row>
    <row r="68" spans="1:8" x14ac:dyDescent="0.2">
      <c r="A68" s="869" t="s">
        <v>462</v>
      </c>
      <c r="B68" s="869" t="s">
        <v>1479</v>
      </c>
      <c r="C68" s="886" t="str">
        <f>'Expenditures 15-22'!B218</f>
        <v>1225</v>
      </c>
      <c r="D68" s="892" t="str">
        <f>'Expenditures 15-22'!A218</f>
        <v>Special Education Programs - Pre-K</v>
      </c>
      <c r="E68" s="868"/>
      <c r="F68" s="1909">
        <f>'Expenditures 15-22'!K218</f>
        <v>34125</v>
      </c>
      <c r="G68" s="865"/>
    </row>
    <row r="69" spans="1:8" x14ac:dyDescent="0.2">
      <c r="A69" s="869" t="s">
        <v>462</v>
      </c>
      <c r="B69" s="869" t="s">
        <v>1889</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1890</v>
      </c>
      <c r="C70" s="886">
        <f>'Expenditures 15-22'!B221</f>
        <v>1300</v>
      </c>
      <c r="D70" s="887" t="str">
        <f>'Expenditures 15-22'!A221</f>
        <v>Adult/Continuing Education Programs</v>
      </c>
      <c r="E70" s="868"/>
      <c r="F70" s="1909">
        <f>'Expenditures 15-22'!K221</f>
        <v>0</v>
      </c>
      <c r="G70" s="865"/>
    </row>
    <row r="71" spans="1:8" x14ac:dyDescent="0.2">
      <c r="A71" s="869" t="s">
        <v>462</v>
      </c>
      <c r="B71" s="869" t="s">
        <v>1891</v>
      </c>
      <c r="C71" s="886">
        <f>'Expenditures 15-22'!B224</f>
        <v>1600</v>
      </c>
      <c r="D71" s="887" t="str">
        <f>'Expenditures 15-22'!A224</f>
        <v>Summer School Programs</v>
      </c>
      <c r="E71" s="868"/>
      <c r="F71" s="1909">
        <f>'Expenditures 15-22'!K224</f>
        <v>1605</v>
      </c>
      <c r="G71" s="865"/>
    </row>
    <row r="72" spans="1:8" x14ac:dyDescent="0.2">
      <c r="A72" s="869" t="s">
        <v>462</v>
      </c>
      <c r="B72" s="869" t="s">
        <v>1892</v>
      </c>
      <c r="C72" s="886">
        <f>'Expenditures 15-22'!B280</f>
        <v>3000</v>
      </c>
      <c r="D72" s="876" t="s">
        <v>449</v>
      </c>
      <c r="E72" s="868"/>
      <c r="F72" s="1909">
        <f>'Expenditures 15-22'!K280</f>
        <v>9035</v>
      </c>
      <c r="G72" s="865"/>
    </row>
    <row r="73" spans="1:8" x14ac:dyDescent="0.2">
      <c r="A73" s="869" t="s">
        <v>462</v>
      </c>
      <c r="B73" s="869" t="s">
        <v>1893</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1894</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1895</v>
      </c>
      <c r="E76" s="1771" t="s">
        <v>958</v>
      </c>
      <c r="F76" s="1775">
        <f>SUM(F18:F74)</f>
        <v>9733010</v>
      </c>
      <c r="G76" s="865"/>
    </row>
    <row r="77" spans="1:8" s="893" customFormat="1" ht="12" customHeight="1" thickTop="1" thickBot="1" x14ac:dyDescent="0.25">
      <c r="A77" s="1776"/>
      <c r="B77" s="1773"/>
      <c r="C77" s="1769"/>
      <c r="D77" s="1774" t="s">
        <v>1896</v>
      </c>
      <c r="E77" s="1771"/>
      <c r="F77" s="1777">
        <f>(F14-F76)</f>
        <v>69597007</v>
      </c>
      <c r="G77" s="869"/>
    </row>
    <row r="78" spans="1:8" s="893" customFormat="1" ht="12" customHeight="1" thickTop="1" x14ac:dyDescent="0.2">
      <c r="A78" s="1778"/>
      <c r="B78" s="1773"/>
      <c r="C78" s="1769"/>
      <c r="D78" s="1774" t="s">
        <v>2057</v>
      </c>
      <c r="E78" s="1771"/>
      <c r="F78" s="898">
        <v>5695.54</v>
      </c>
      <c r="G78" s="899"/>
      <c r="H78" s="869"/>
    </row>
    <row r="79" spans="1:8" s="893" customFormat="1" ht="12" customHeight="1" thickBot="1" x14ac:dyDescent="0.25">
      <c r="A79" s="1779"/>
      <c r="B79" s="1773"/>
      <c r="C79" s="1769"/>
      <c r="D79" s="1774" t="s">
        <v>1897</v>
      </c>
      <c r="E79" s="1771" t="s">
        <v>958</v>
      </c>
      <c r="F79" s="1780">
        <f>IF(F78&gt;0,F77/F78," Complete Line 78")</f>
        <v>12219.56249978053</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92055</v>
      </c>
      <c r="G94" s="912"/>
    </row>
    <row r="95" spans="1:7" x14ac:dyDescent="0.2">
      <c r="A95" s="908" t="s">
        <v>140</v>
      </c>
      <c r="B95" s="908" t="s">
        <v>175</v>
      </c>
      <c r="C95" s="910">
        <v>1700</v>
      </c>
      <c r="D95" s="918" t="str">
        <f>'Revenues 9-14'!A82</f>
        <v>Total District/School Activity Income</v>
      </c>
      <c r="E95" s="906"/>
      <c r="F95" s="1786">
        <f>SUM('Revenues 9-14'!C82,'Revenues 9-14'!D82)</f>
        <v>164306</v>
      </c>
      <c r="G95" s="912"/>
    </row>
    <row r="96" spans="1:7" x14ac:dyDescent="0.2">
      <c r="A96" s="908" t="s">
        <v>459</v>
      </c>
      <c r="B96" s="908" t="s">
        <v>176</v>
      </c>
      <c r="C96" s="910">
        <f>'Revenues 9-14'!B84</f>
        <v>1811</v>
      </c>
      <c r="D96" s="911" t="str">
        <f>'Revenues 9-14'!A84</f>
        <v>Rentals - Regular Textbooks</v>
      </c>
      <c r="E96" s="906"/>
      <c r="F96" s="1786">
        <f>'Revenues 9-14'!C84</f>
        <v>113413</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274220</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119750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1998</v>
      </c>
      <c r="C105" s="913">
        <v>3100</v>
      </c>
      <c r="D105" s="919" t="str">
        <f>'Revenues 9-14'!A132</f>
        <v>Total Special Education</v>
      </c>
      <c r="E105" s="906"/>
      <c r="F105" s="1786">
        <f>SUM('Revenues 9-14'!C132:D132,'Revenues 9-14'!F132)</f>
        <v>68880</v>
      </c>
      <c r="G105" s="912"/>
    </row>
    <row r="106" spans="1:7" x14ac:dyDescent="0.2">
      <c r="A106" s="908" t="s">
        <v>673</v>
      </c>
      <c r="B106" s="908" t="s">
        <v>1999</v>
      </c>
      <c r="C106" s="920">
        <v>3200</v>
      </c>
      <c r="D106" s="911" t="str">
        <f>'Revenues 9-14'!A141</f>
        <v>Total Career and Technical Education</v>
      </c>
      <c r="E106" s="906"/>
      <c r="F106" s="1786">
        <f>SUM('Revenues 9-14'!C141,'Revenues 9-14'!D141,'Revenues 9-14'!G141)</f>
        <v>121588</v>
      </c>
      <c r="G106" s="912"/>
    </row>
    <row r="107" spans="1:7" x14ac:dyDescent="0.2">
      <c r="A107" s="921" t="s">
        <v>664</v>
      </c>
      <c r="B107" s="908" t="s">
        <v>2000</v>
      </c>
      <c r="C107" s="920">
        <v>3300</v>
      </c>
      <c r="D107" s="911" t="str">
        <f>'Revenues 9-14'!A145</f>
        <v>Total Bilingual Ed</v>
      </c>
      <c r="E107" s="906"/>
      <c r="F107" s="1786">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6">
        <f>'Revenues 9-14'!C146</f>
        <v>66835</v>
      </c>
      <c r="G108" s="912"/>
    </row>
    <row r="109" spans="1:7" x14ac:dyDescent="0.2">
      <c r="A109" s="908" t="s">
        <v>673</v>
      </c>
      <c r="B109" s="908" t="s">
        <v>2002</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6">
        <f>SUM('Revenues 9-14'!C148,'Revenues 9-14'!D148)</f>
        <v>60055</v>
      </c>
      <c r="G110" s="912"/>
    </row>
    <row r="111" spans="1:7" x14ac:dyDescent="0.2">
      <c r="A111" s="908" t="s">
        <v>668</v>
      </c>
      <c r="B111" s="908" t="s">
        <v>2004</v>
      </c>
      <c r="C111" s="922">
        <v>3500</v>
      </c>
      <c r="D111" s="911" t="str">
        <f>'Revenues 9-14'!A155</f>
        <v>Total Transportation</v>
      </c>
      <c r="E111" s="906"/>
      <c r="F111" s="1786">
        <f>SUM('Revenues 9-14'!C155,'Revenues 9-14'!D155,'Revenues 9-14'!F155,'Revenues 9-14'!G155)</f>
        <v>965330</v>
      </c>
      <c r="G111" s="912"/>
    </row>
    <row r="112" spans="1:7" x14ac:dyDescent="0.2">
      <c r="A112" s="908" t="s">
        <v>459</v>
      </c>
      <c r="B112" s="908" t="s">
        <v>2005</v>
      </c>
      <c r="C112" s="920">
        <f>'Revenues 9-14'!B156</f>
        <v>3610</v>
      </c>
      <c r="D112" s="911" t="str">
        <f>'Revenues 9-14'!A156</f>
        <v>Learning Improvement - Change Grants</v>
      </c>
      <c r="E112" s="906"/>
      <c r="F112" s="1786">
        <f>'Revenues 9-14'!C156</f>
        <v>0</v>
      </c>
      <c r="G112" s="912"/>
    </row>
    <row r="113" spans="1:7" x14ac:dyDescent="0.2">
      <c r="A113" s="908" t="s">
        <v>668</v>
      </c>
      <c r="B113" s="908" t="s">
        <v>2006</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3">
        <f>SUM('Revenues 9-14'!C163:G163)</f>
        <v>0</v>
      </c>
      <c r="G118" s="912"/>
    </row>
    <row r="119" spans="1:7" x14ac:dyDescent="0.2">
      <c r="A119" s="923" t="s">
        <v>504</v>
      </c>
      <c r="B119" s="923" t="s">
        <v>2012</v>
      </c>
      <c r="C119" s="924">
        <f>'Revenues 9-14'!B164</f>
        <v>3815</v>
      </c>
      <c r="D119" s="925" t="str">
        <f>'Revenues 9-14'!A164</f>
        <v>State Charter Schools</v>
      </c>
      <c r="E119" s="906"/>
      <c r="F119" s="1903">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6">
        <f>'Revenues 9-14'!D167</f>
        <v>0</v>
      </c>
      <c r="G120" s="930"/>
    </row>
    <row r="121" spans="1:7" x14ac:dyDescent="0.2">
      <c r="A121" s="927" t="s">
        <v>500</v>
      </c>
      <c r="B121" s="927" t="s">
        <v>2014</v>
      </c>
      <c r="C121" s="928">
        <f>'Revenues 9-14'!B168</f>
        <v>3999</v>
      </c>
      <c r="D121" s="929" t="s">
        <v>543</v>
      </c>
      <c r="E121" s="931"/>
      <c r="F121" s="1786">
        <f>SUM('Revenues 9-14'!C168:G168,'Revenues 9-14'!J168)</f>
        <v>135193</v>
      </c>
      <c r="G121" s="930"/>
    </row>
    <row r="122" spans="1:7" x14ac:dyDescent="0.2">
      <c r="A122" s="927" t="s">
        <v>459</v>
      </c>
      <c r="B122" s="927" t="s">
        <v>2015</v>
      </c>
      <c r="C122" s="932">
        <f>'Revenues 9-14'!B177</f>
        <v>4045</v>
      </c>
      <c r="D122" s="929" t="str">
        <f>'Revenues 9-14'!A177 &amp; " (Subtract)"</f>
        <v>Head Start (Subtract)</v>
      </c>
      <c r="E122" s="906"/>
      <c r="F122" s="1786">
        <f>SUM(-'Revenues 9-14'!C177)</f>
        <v>-2446378</v>
      </c>
      <c r="G122" s="930"/>
    </row>
    <row r="123" spans="1:7" x14ac:dyDescent="0.2">
      <c r="A123" s="927" t="s">
        <v>668</v>
      </c>
      <c r="B123" s="927" t="s">
        <v>2016</v>
      </c>
      <c r="C123" s="932" t="s">
        <v>982</v>
      </c>
      <c r="D123" s="929" t="str">
        <f>('Revenues 9-14'!A181)</f>
        <v>Total Restricted Grants-In-Aid Received Directly from Federal Govt</v>
      </c>
      <c r="E123" s="906"/>
      <c r="F123" s="1786">
        <f>SUM('Revenues 9-14'!C181,'Revenues 9-14'!D181,'Revenues 9-14'!F181,'Revenues 9-14'!G181)</f>
        <v>2446378</v>
      </c>
      <c r="G123" s="930"/>
    </row>
    <row r="124" spans="1:7" x14ac:dyDescent="0.2">
      <c r="A124" s="927" t="s">
        <v>668</v>
      </c>
      <c r="B124" s="927" t="s">
        <v>2017</v>
      </c>
      <c r="C124" s="932">
        <v>4100</v>
      </c>
      <c r="D124" s="933" t="str">
        <f>'Revenues 9-14'!A188</f>
        <v>Total Title V</v>
      </c>
      <c r="E124" s="906"/>
      <c r="F124" s="1786">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6">
        <f>SUM('Revenues 9-14'!C198,'Revenues 9-14'!G198)</f>
        <v>3663197</v>
      </c>
      <c r="G125" s="930"/>
    </row>
    <row r="126" spans="1:7" x14ac:dyDescent="0.2">
      <c r="A126" s="927" t="s">
        <v>668</v>
      </c>
      <c r="B126" s="927" t="s">
        <v>2019</v>
      </c>
      <c r="C126" s="932">
        <v>4300</v>
      </c>
      <c r="D126" s="933" t="str">
        <f>'Revenues 9-14'!A204</f>
        <v>Total Title I</v>
      </c>
      <c r="E126" s="906"/>
      <c r="F126" s="1786">
        <f>SUM('Revenues 9-14'!C204,'Revenues 9-14'!D204,'Revenues 9-14'!F204,'Revenues 9-14'!G204)</f>
        <v>2510251</v>
      </c>
      <c r="G126" s="930"/>
    </row>
    <row r="127" spans="1:7" x14ac:dyDescent="0.2">
      <c r="A127" s="927" t="s">
        <v>668</v>
      </c>
      <c r="B127" s="927" t="s">
        <v>2020</v>
      </c>
      <c r="C127" s="932">
        <v>4400</v>
      </c>
      <c r="D127" s="933" t="str">
        <f>'Revenues 9-14'!A209</f>
        <v>Total Title IV</v>
      </c>
      <c r="E127" s="906"/>
      <c r="F127" s="1786">
        <f>SUM('Revenues 9-14'!C209,'Revenues 9-14'!D209,'Revenues 9-14'!F209,'Revenues 9-14'!G209)</f>
        <v>318400</v>
      </c>
      <c r="G127" s="930"/>
    </row>
    <row r="128" spans="1:7" x14ac:dyDescent="0.2">
      <c r="A128" s="927" t="s">
        <v>668</v>
      </c>
      <c r="B128" s="927" t="s">
        <v>2021</v>
      </c>
      <c r="C128" s="932">
        <f>'Revenues 9-14'!B213</f>
        <v>4620</v>
      </c>
      <c r="D128" s="933" t="str">
        <f>'Revenues 9-14'!A213</f>
        <v>Fed - Spec Education - IDEA - Flow Through</v>
      </c>
      <c r="E128" s="906"/>
      <c r="F128" s="1786">
        <f>SUM('Revenues 9-14'!C213:D213,'Revenues 9-14'!F213:G213)</f>
        <v>1360663</v>
      </c>
      <c r="G128" s="930"/>
    </row>
    <row r="129" spans="1:7" x14ac:dyDescent="0.2">
      <c r="A129" s="927" t="s">
        <v>668</v>
      </c>
      <c r="B129" s="927" t="s">
        <v>2022</v>
      </c>
      <c r="C129" s="932">
        <f>'Revenues 9-14'!B214</f>
        <v>4625</v>
      </c>
      <c r="D129" s="933" t="str">
        <f>'Revenues 9-14'!A214</f>
        <v>Fed - Spec Education - IDEA - Room &amp; Board</v>
      </c>
      <c r="E129" s="906"/>
      <c r="F129" s="1786">
        <f>SUM('Revenues 9-14'!C214,'Revenues 9-14'!D214,'Revenues 9-14'!F214,'Revenues 9-14'!G214)</f>
        <v>24106</v>
      </c>
      <c r="G129" s="930"/>
    </row>
    <row r="130" spans="1:7" x14ac:dyDescent="0.2">
      <c r="A130" s="927" t="s">
        <v>668</v>
      </c>
      <c r="B130" s="927" t="s">
        <v>2023</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2024</v>
      </c>
      <c r="C132" s="932">
        <v>4700</v>
      </c>
      <c r="D132" s="929" t="str">
        <f>'Revenues 9-14'!A221</f>
        <v>Total CTE - Perkins</v>
      </c>
      <c r="E132" s="906"/>
      <c r="F132" s="1786">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6">
        <v>0</v>
      </c>
      <c r="G138" s="905"/>
    </row>
    <row r="139" spans="1:7" s="867" customFormat="1" hidden="1" x14ac:dyDescent="0.2">
      <c r="A139" s="934" t="s">
        <v>206</v>
      </c>
      <c r="B139" s="934" t="s">
        <v>2031</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2039</v>
      </c>
      <c r="C157" s="940" t="s">
        <v>841</v>
      </c>
      <c r="D157" s="941" t="s">
        <v>777</v>
      </c>
      <c r="E157" s="942"/>
      <c r="F157" s="1786">
        <f>SUM(F133:F156)</f>
        <v>0</v>
      </c>
      <c r="G157" s="905"/>
    </row>
    <row r="158" spans="1:7" s="867" customFormat="1" x14ac:dyDescent="0.2">
      <c r="A158" s="938" t="s">
        <v>459</v>
      </c>
      <c r="B158" s="939" t="s">
        <v>2040</v>
      </c>
      <c r="C158" s="940" t="s">
        <v>1427</v>
      </c>
      <c r="D158" s="941" t="s">
        <v>1428</v>
      </c>
      <c r="E158" s="942"/>
      <c r="F158" s="1786">
        <f>SUM('Revenues 9-14'!C253)</f>
        <v>0</v>
      </c>
      <c r="G158" s="905"/>
    </row>
    <row r="159" spans="1:7" s="867" customFormat="1" x14ac:dyDescent="0.2">
      <c r="A159" s="938" t="s">
        <v>500</v>
      </c>
      <c r="B159" s="939" t="s">
        <v>2041</v>
      </c>
      <c r="C159" s="940" t="s">
        <v>1466</v>
      </c>
      <c r="D159" s="941" t="s">
        <v>1467</v>
      </c>
      <c r="E159" s="942"/>
      <c r="F159" s="1786">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6">
        <f>SUM('Revenues 9-14'!C255,'Revenues 9-14'!F255,'Revenues 9-14'!G255)</f>
        <v>7732</v>
      </c>
      <c r="G160" s="943">
        <v>6306</v>
      </c>
    </row>
    <row r="161" spans="1:7" x14ac:dyDescent="0.2">
      <c r="A161" s="927" t="s">
        <v>5</v>
      </c>
      <c r="B161" s="927" t="s">
        <v>2043</v>
      </c>
      <c r="C161" s="932">
        <f>'Revenues 9-14'!B256</f>
        <v>4909</v>
      </c>
      <c r="D161" s="929" t="str">
        <f>'Revenues 9-14'!A256</f>
        <v>Title III - Language Inst Program - Limited Eng (LIPLEP)</v>
      </c>
      <c r="E161" s="906"/>
      <c r="F161" s="1786">
        <f>SUM('Revenues 9-14'!C256,'Revenues 9-14'!F256,'Revenues 9-14'!G256)</f>
        <v>65426</v>
      </c>
      <c r="G161" s="943"/>
    </row>
    <row r="162" spans="1:7" x14ac:dyDescent="0.2">
      <c r="A162" s="927" t="s">
        <v>668</v>
      </c>
      <c r="B162" s="927" t="s">
        <v>2044</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3">
        <f>SUM('Revenues 9-14'!C259,'Revenues 9-14'!D259,'Revenues 9-14'!F259,'Revenues 9-14'!G259)</f>
        <v>480378</v>
      </c>
      <c r="G164" s="930"/>
    </row>
    <row r="165" spans="1:7" x14ac:dyDescent="0.2">
      <c r="A165" s="927" t="s">
        <v>668</v>
      </c>
      <c r="B165" s="927" t="s">
        <v>2047</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6">
        <f>SUM('Revenues 9-14'!C263:D263,'Revenues 9-14'!F263:G263)</f>
        <v>253487</v>
      </c>
      <c r="G168" s="947">
        <v>6320</v>
      </c>
    </row>
    <row r="169" spans="1:7" x14ac:dyDescent="0.2">
      <c r="A169" s="927" t="s">
        <v>668</v>
      </c>
      <c r="B169" s="927" t="s">
        <v>2049</v>
      </c>
      <c r="C169" s="932">
        <f>'Revenues 9-14'!B264</f>
        <v>4992</v>
      </c>
      <c r="D169" s="933" t="str">
        <f>'Revenues 9-14'!A264</f>
        <v>Medicaid Matching Funds - Fee-for-Service Program</v>
      </c>
      <c r="E169" s="906"/>
      <c r="F169" s="1786">
        <f>SUM('Revenues 9-14'!C264:D264,'Revenues 9-14'!F264:G264)</f>
        <v>413729</v>
      </c>
      <c r="G169" s="947"/>
    </row>
    <row r="170" spans="1:7" x14ac:dyDescent="0.2">
      <c r="A170" s="948" t="s">
        <v>668</v>
      </c>
      <c r="B170" s="944" t="s">
        <v>2050</v>
      </c>
      <c r="C170" s="945">
        <f>'Revenues 9-14'!B265</f>
        <v>4999</v>
      </c>
      <c r="D170" s="946" t="str">
        <f>'Revenues 9-14'!A265</f>
        <v>Other Restricted Revenue from Federal Sources (Describe &amp; Itemize)</v>
      </c>
      <c r="E170" s="906"/>
      <c r="F170" s="1786">
        <f>SUM('Revenues 9-14'!C265:D265,'Revenues 9-14'!F265:G265)</f>
        <v>640455</v>
      </c>
      <c r="G170" s="927"/>
    </row>
    <row r="171" spans="1:7" x14ac:dyDescent="0.2">
      <c r="A171" s="1914" t="s">
        <v>5</v>
      </c>
      <c r="B171" s="1915" t="s">
        <v>1916</v>
      </c>
      <c r="C171" s="1916">
        <v>3100</v>
      </c>
      <c r="D171" s="1917" t="s">
        <v>1918</v>
      </c>
      <c r="E171" s="906"/>
      <c r="F171" s="1902"/>
      <c r="G171" s="927"/>
    </row>
    <row r="172" spans="1:7" x14ac:dyDescent="0.2">
      <c r="A172" s="1914" t="s">
        <v>664</v>
      </c>
      <c r="B172" s="1915" t="s">
        <v>1916</v>
      </c>
      <c r="C172" s="1916">
        <v>3300</v>
      </c>
      <c r="D172" s="1917" t="s">
        <v>1919</v>
      </c>
      <c r="E172" s="906"/>
      <c r="F172" s="1902"/>
      <c r="G172" s="927"/>
    </row>
    <row r="173" spans="1:7" ht="6" customHeight="1" x14ac:dyDescent="0.2">
      <c r="A173" s="927"/>
      <c r="B173" s="927"/>
      <c r="C173" s="949"/>
      <c r="D173" s="927"/>
      <c r="E173" s="906"/>
      <c r="F173" s="950"/>
      <c r="G173" s="947"/>
    </row>
    <row r="174" spans="1:7" x14ac:dyDescent="0.2">
      <c r="A174" s="1767"/>
      <c r="B174" s="1781"/>
      <c r="C174" s="1782"/>
      <c r="D174" s="1783" t="s">
        <v>2051</v>
      </c>
      <c r="E174" s="1784" t="s">
        <v>958</v>
      </c>
      <c r="F174" s="1785">
        <f>SUM(F84:F132,F157:F172)</f>
        <v>11919449</v>
      </c>
    </row>
    <row r="175" spans="1:7" ht="12" customHeight="1" x14ac:dyDescent="0.2">
      <c r="A175" s="1767"/>
      <c r="B175" s="1781"/>
      <c r="C175" s="1782"/>
      <c r="D175" s="1783" t="s">
        <v>2052</v>
      </c>
      <c r="E175" s="1784"/>
      <c r="F175" s="1786">
        <f>'PCTC-OEPP 27-28'!F77-F174</f>
        <v>57677558</v>
      </c>
    </row>
    <row r="176" spans="1:7" ht="12" customHeight="1" x14ac:dyDescent="0.2">
      <c r="A176" s="1767"/>
      <c r="B176" s="1781"/>
      <c r="C176" s="1782"/>
      <c r="D176" s="1783" t="s">
        <v>1814</v>
      </c>
      <c r="E176" s="1784"/>
      <c r="F176" s="1786">
        <f>'Cap Outlay Deprec 26'!I18</f>
        <v>1700806.6</v>
      </c>
    </row>
    <row r="177" spans="1:7" ht="12" customHeight="1" x14ac:dyDescent="0.2">
      <c r="A177" s="1767"/>
      <c r="B177" s="1781"/>
      <c r="C177" s="1782"/>
      <c r="D177" s="1783" t="s">
        <v>2053</v>
      </c>
      <c r="E177" s="1784"/>
      <c r="F177" s="1786">
        <f>F175+F176</f>
        <v>59378364.600000001</v>
      </c>
    </row>
    <row r="178" spans="1:7" ht="12" customHeight="1" x14ac:dyDescent="0.2">
      <c r="A178" s="1767"/>
      <c r="B178" s="1787"/>
      <c r="C178" s="1782"/>
      <c r="D178" s="1783" t="str">
        <f>D78</f>
        <v>9 Month ADA from District Average Daily Attendance/Prior General State Aid Inquiry 2018-2019</v>
      </c>
      <c r="E178" s="1784"/>
      <c r="F178" s="1788">
        <f>'PCTC-OEPP 27-28'!F78</f>
        <v>5695.54</v>
      </c>
      <c r="G178" s="930"/>
    </row>
    <row r="179" spans="1:7" ht="12" customHeight="1" thickBot="1" x14ac:dyDescent="0.25">
      <c r="A179" s="1767"/>
      <c r="B179" s="1787"/>
      <c r="C179" s="1782"/>
      <c r="D179" s="1783" t="s">
        <v>2054</v>
      </c>
      <c r="E179" s="1784" t="s">
        <v>1545</v>
      </c>
      <c r="F179" s="1789">
        <f>F177/F178</f>
        <v>10425.4143768633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8" customFormat="1" ht="12.2" customHeight="1" x14ac:dyDescent="0.2">
      <c r="A182" s="1918" t="s">
        <v>1989</v>
      </c>
      <c r="B182" s="1919"/>
      <c r="C182" s="1920"/>
      <c r="D182" s="1919"/>
      <c r="E182" s="1920"/>
      <c r="F182" s="1919"/>
      <c r="G182" s="1919"/>
    </row>
    <row r="183" spans="1:7" s="1918" customFormat="1" ht="12.2" customHeight="1" x14ac:dyDescent="0.2">
      <c r="A183" s="1921" t="s">
        <v>1991</v>
      </c>
      <c r="C183" s="1920"/>
      <c r="D183" s="1919"/>
      <c r="E183" s="1920"/>
      <c r="F183" s="1919"/>
      <c r="G183" s="1919"/>
    </row>
    <row r="184" spans="1:7" ht="12" customHeight="1" x14ac:dyDescent="0.2">
      <c r="C184" s="949"/>
      <c r="D184" s="930"/>
      <c r="E184" s="949"/>
      <c r="F184" s="930"/>
      <c r="G184" s="930"/>
    </row>
    <row r="185" spans="1:7" x14ac:dyDescent="0.2">
      <c r="A185" s="1922" t="s">
        <v>1921</v>
      </c>
      <c r="B185" s="1923"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8"/>
  <sheetViews>
    <sheetView showGridLines="0" topLeftCell="A112" zoomScaleNormal="100" workbookViewId="0">
      <selection activeCell="D22" sqref="D22"/>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1829</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71" t="s">
        <v>1815</v>
      </c>
      <c r="B4" s="2272"/>
      <c r="C4" s="2272"/>
      <c r="D4" s="2272"/>
      <c r="E4" s="2272"/>
      <c r="F4" s="2272"/>
      <c r="G4" s="2273"/>
    </row>
    <row r="5" spans="1:7" x14ac:dyDescent="0.25">
      <c r="A5" s="2274"/>
      <c r="B5" s="2275"/>
      <c r="C5" s="2275"/>
      <c r="D5" s="2275"/>
      <c r="E5" s="2275"/>
      <c r="F5" s="2275"/>
      <c r="G5" s="2276"/>
    </row>
    <row r="6" spans="1:7" ht="18.75" x14ac:dyDescent="0.25">
      <c r="A6" s="1931" t="s">
        <v>2061</v>
      </c>
      <c r="B6" s="1932"/>
      <c r="C6" s="1932"/>
      <c r="D6" s="1932"/>
      <c r="E6" s="1932"/>
      <c r="F6" s="1932"/>
      <c r="G6" s="1933"/>
    </row>
    <row r="7" spans="1:7" ht="18.75" x14ac:dyDescent="0.25">
      <c r="A7" s="1534" t="s">
        <v>1816</v>
      </c>
      <c r="B7" s="1535"/>
      <c r="C7" s="1535"/>
      <c r="D7" s="1535"/>
      <c r="E7" s="1535"/>
      <c r="F7" s="1535"/>
      <c r="G7" s="1536"/>
    </row>
    <row r="8" spans="1:7" ht="30.75" customHeight="1" x14ac:dyDescent="0.25">
      <c r="A8" s="2277" t="s">
        <v>1928</v>
      </c>
      <c r="B8" s="2278"/>
      <c r="C8" s="2278"/>
      <c r="D8" s="2278"/>
      <c r="E8" s="2278"/>
      <c r="F8" s="2278"/>
      <c r="G8" s="2279"/>
    </row>
    <row r="9" spans="1:7" ht="15.75" customHeight="1" x14ac:dyDescent="0.25">
      <c r="A9" s="2280" t="s">
        <v>1903</v>
      </c>
      <c r="B9" s="2281"/>
      <c r="C9" s="2281"/>
      <c r="D9" s="2281"/>
      <c r="E9" s="2281"/>
      <c r="F9" s="2281"/>
      <c r="G9" s="2282"/>
    </row>
    <row r="10" spans="1:7" ht="35.25" customHeight="1" x14ac:dyDescent="0.25">
      <c r="A10" s="2277" t="s">
        <v>2060</v>
      </c>
      <c r="B10" s="2278"/>
      <c r="C10" s="2278"/>
      <c r="D10" s="2278"/>
      <c r="E10" s="2278"/>
      <c r="F10" s="2278"/>
      <c r="G10" s="2279"/>
    </row>
    <row r="11" spans="1:7" ht="15" customHeight="1" x14ac:dyDescent="0.25">
      <c r="A11" s="1537" t="s">
        <v>1817</v>
      </c>
      <c r="B11" s="1538"/>
      <c r="C11" s="1538"/>
      <c r="D11" s="1538"/>
      <c r="E11" s="1538"/>
      <c r="F11" s="1538"/>
      <c r="G11" s="1539"/>
    </row>
    <row r="12" spans="1:7" ht="17.25" customHeight="1" x14ac:dyDescent="0.25">
      <c r="A12" s="2277" t="s">
        <v>1930</v>
      </c>
      <c r="B12" s="2278"/>
      <c r="C12" s="2278"/>
      <c r="D12" s="2278"/>
      <c r="E12" s="2278"/>
      <c r="F12" s="2278"/>
      <c r="G12" s="2279"/>
    </row>
    <row r="13" spans="1:7" ht="15" customHeight="1" x14ac:dyDescent="0.25">
      <c r="A13" s="1537" t="s">
        <v>1822</v>
      </c>
      <c r="B13" s="1538"/>
      <c r="C13" s="1538"/>
      <c r="D13" s="1538"/>
      <c r="E13" s="1538"/>
      <c r="F13" s="1538"/>
      <c r="G13" s="1539"/>
    </row>
    <row r="14" spans="1:7" ht="32.25" customHeight="1" x14ac:dyDescent="0.25">
      <c r="A14" s="2268" t="s">
        <v>1971</v>
      </c>
      <c r="B14" s="2269"/>
      <c r="C14" s="2269"/>
      <c r="D14" s="2269"/>
      <c r="E14" s="2269"/>
      <c r="F14" s="2269"/>
      <c r="G14" s="2270"/>
    </row>
    <row r="15" spans="1:7" x14ac:dyDescent="0.25">
      <c r="A15" s="1659" t="s">
        <v>1830</v>
      </c>
      <c r="B15" s="1660"/>
      <c r="C15" s="1660"/>
      <c r="D15" s="1660"/>
      <c r="E15" s="1660"/>
      <c r="F15" s="1660"/>
      <c r="G15" s="1661"/>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8" t="s">
        <v>2171</v>
      </c>
      <c r="B18" s="1939" t="s">
        <v>2173</v>
      </c>
      <c r="C18" s="1940" t="s">
        <v>2174</v>
      </c>
      <c r="D18" s="1840">
        <v>2400</v>
      </c>
      <c r="E18" s="1540">
        <f t="shared" ref="E18:E148" si="0">IF(D18&lt;=25000,D18,IF(D18&gt;25000,25000,0))</f>
        <v>2400</v>
      </c>
      <c r="F18" s="1930">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2400</v>
      </c>
      <c r="G18" s="1790">
        <f>IF(F18=0,0,D18-F18)</f>
        <v>0</v>
      </c>
      <c r="H18" s="1647"/>
    </row>
    <row r="19" spans="1:8" x14ac:dyDescent="0.25">
      <c r="A19" s="1938" t="s">
        <v>2171</v>
      </c>
      <c r="B19" s="1939" t="s">
        <v>2173</v>
      </c>
      <c r="C19" s="1940" t="s">
        <v>2175</v>
      </c>
      <c r="D19" s="1840">
        <v>24927</v>
      </c>
      <c r="E19" s="1540">
        <f t="shared" ref="E19:E147" si="2">IF(D19&lt;=25000,D19,IF(D19&gt;25000,25000,0))</f>
        <v>24927</v>
      </c>
      <c r="F19" s="1930">
        <f t="shared" si="1"/>
        <v>24927</v>
      </c>
      <c r="G19" s="1790">
        <f t="shared" ref="G19:G147" si="3">IF(F19=0,0,D19-F19)</f>
        <v>0</v>
      </c>
    </row>
    <row r="20" spans="1:8" x14ac:dyDescent="0.25">
      <c r="A20" s="1938" t="s">
        <v>2171</v>
      </c>
      <c r="B20" s="1939" t="s">
        <v>2173</v>
      </c>
      <c r="C20" s="1940" t="s">
        <v>2176</v>
      </c>
      <c r="D20" s="1840">
        <v>1700</v>
      </c>
      <c r="E20" s="1540">
        <f t="shared" si="2"/>
        <v>1700</v>
      </c>
      <c r="F20" s="1930">
        <f t="shared" si="1"/>
        <v>1700</v>
      </c>
      <c r="G20" s="1790">
        <f t="shared" si="3"/>
        <v>0</v>
      </c>
    </row>
    <row r="21" spans="1:8" x14ac:dyDescent="0.25">
      <c r="A21" s="1938" t="s">
        <v>2171</v>
      </c>
      <c r="B21" s="1939" t="s">
        <v>2173</v>
      </c>
      <c r="C21" s="1940" t="s">
        <v>2177</v>
      </c>
      <c r="D21" s="1840">
        <v>78600</v>
      </c>
      <c r="E21" s="1540">
        <f t="shared" si="2"/>
        <v>25000</v>
      </c>
      <c r="F21" s="1930">
        <f t="shared" si="1"/>
        <v>25000</v>
      </c>
      <c r="G21" s="1790">
        <f t="shared" si="3"/>
        <v>53600</v>
      </c>
    </row>
    <row r="22" spans="1:8" x14ac:dyDescent="0.25">
      <c r="A22" s="1938" t="s">
        <v>2171</v>
      </c>
      <c r="B22" s="1939" t="s">
        <v>2173</v>
      </c>
      <c r="C22" s="1940" t="s">
        <v>2175</v>
      </c>
      <c r="D22" s="1840">
        <v>8740</v>
      </c>
      <c r="E22" s="1540">
        <f t="shared" si="2"/>
        <v>8740</v>
      </c>
      <c r="F22" s="1930">
        <f t="shared" si="1"/>
        <v>8740</v>
      </c>
      <c r="G22" s="1790">
        <f t="shared" si="3"/>
        <v>0</v>
      </c>
    </row>
    <row r="23" spans="1:8" x14ac:dyDescent="0.25">
      <c r="A23" s="1938" t="s">
        <v>2171</v>
      </c>
      <c r="B23" s="1939" t="s">
        <v>2173</v>
      </c>
      <c r="C23" s="1940" t="s">
        <v>2178</v>
      </c>
      <c r="D23" s="1840">
        <v>2000</v>
      </c>
      <c r="E23" s="1540">
        <f t="shared" si="2"/>
        <v>2000</v>
      </c>
      <c r="F23" s="1930">
        <f t="shared" si="1"/>
        <v>2000</v>
      </c>
      <c r="G23" s="1790">
        <f t="shared" si="3"/>
        <v>0</v>
      </c>
    </row>
    <row r="24" spans="1:8" x14ac:dyDescent="0.25">
      <c r="A24" s="1938" t="s">
        <v>2171</v>
      </c>
      <c r="B24" s="1939" t="s">
        <v>2173</v>
      </c>
      <c r="C24" s="1940" t="s">
        <v>2179</v>
      </c>
      <c r="D24" s="1840">
        <v>53124</v>
      </c>
      <c r="E24" s="1540">
        <f t="shared" si="2"/>
        <v>25000</v>
      </c>
      <c r="F24" s="1930">
        <f t="shared" si="1"/>
        <v>25000</v>
      </c>
      <c r="G24" s="1790">
        <f t="shared" si="3"/>
        <v>28124</v>
      </c>
    </row>
    <row r="25" spans="1:8" x14ac:dyDescent="0.25">
      <c r="A25" s="1938" t="s">
        <v>2171</v>
      </c>
      <c r="B25" s="1939" t="s">
        <v>2173</v>
      </c>
      <c r="C25" s="1940" t="s">
        <v>2180</v>
      </c>
      <c r="D25" s="1840">
        <v>88750</v>
      </c>
      <c r="E25" s="1540">
        <f t="shared" si="2"/>
        <v>25000</v>
      </c>
      <c r="F25" s="1930">
        <f t="shared" si="1"/>
        <v>25000</v>
      </c>
      <c r="G25" s="1790">
        <f t="shared" si="3"/>
        <v>63750</v>
      </c>
    </row>
    <row r="26" spans="1:8" x14ac:dyDescent="0.25">
      <c r="A26" s="1938" t="s">
        <v>2171</v>
      </c>
      <c r="B26" s="1939" t="s">
        <v>2173</v>
      </c>
      <c r="C26" s="1940" t="s">
        <v>2181</v>
      </c>
      <c r="D26" s="1840">
        <v>525</v>
      </c>
      <c r="E26" s="1540">
        <f t="shared" si="2"/>
        <v>525</v>
      </c>
      <c r="F26" s="1930">
        <f t="shared" si="1"/>
        <v>525</v>
      </c>
      <c r="G26" s="1790">
        <f t="shared" si="3"/>
        <v>0</v>
      </c>
    </row>
    <row r="27" spans="1:8" x14ac:dyDescent="0.25">
      <c r="A27" s="1938" t="s">
        <v>2171</v>
      </c>
      <c r="B27" s="1939" t="s">
        <v>2173</v>
      </c>
      <c r="C27" s="1940" t="s">
        <v>2182</v>
      </c>
      <c r="D27" s="1840">
        <v>2088</v>
      </c>
      <c r="E27" s="1540">
        <f t="shared" si="2"/>
        <v>2088</v>
      </c>
      <c r="F27" s="1930">
        <f t="shared" si="1"/>
        <v>2088</v>
      </c>
      <c r="G27" s="1790">
        <f t="shared" si="3"/>
        <v>0</v>
      </c>
    </row>
    <row r="28" spans="1:8" x14ac:dyDescent="0.25">
      <c r="A28" s="1938" t="s">
        <v>2171</v>
      </c>
      <c r="B28" s="1939" t="s">
        <v>2173</v>
      </c>
      <c r="C28" s="1940" t="s">
        <v>2183</v>
      </c>
      <c r="D28" s="1840">
        <v>3553</v>
      </c>
      <c r="E28" s="1540">
        <f t="shared" si="2"/>
        <v>3553</v>
      </c>
      <c r="F28" s="1930">
        <f t="shared" si="1"/>
        <v>3553</v>
      </c>
      <c r="G28" s="1790">
        <f t="shared" si="3"/>
        <v>0</v>
      </c>
    </row>
    <row r="29" spans="1:8" x14ac:dyDescent="0.25">
      <c r="A29" s="1938" t="s">
        <v>2171</v>
      </c>
      <c r="B29" s="1939" t="s">
        <v>2173</v>
      </c>
      <c r="C29" s="1940" t="s">
        <v>2184</v>
      </c>
      <c r="D29" s="1840">
        <v>1200</v>
      </c>
      <c r="E29" s="1540">
        <f t="shared" si="2"/>
        <v>1200</v>
      </c>
      <c r="F29" s="1930">
        <f t="shared" si="1"/>
        <v>1200</v>
      </c>
      <c r="G29" s="1790">
        <f t="shared" si="3"/>
        <v>0</v>
      </c>
    </row>
    <row r="30" spans="1:8" x14ac:dyDescent="0.25">
      <c r="A30" s="1938" t="s">
        <v>2171</v>
      </c>
      <c r="B30" s="1939" t="s">
        <v>2173</v>
      </c>
      <c r="C30" s="1940" t="s">
        <v>2185</v>
      </c>
      <c r="D30" s="1840">
        <v>500</v>
      </c>
      <c r="E30" s="1540">
        <f t="shared" si="2"/>
        <v>500</v>
      </c>
      <c r="F30" s="1930">
        <f t="shared" si="1"/>
        <v>500</v>
      </c>
      <c r="G30" s="1790">
        <f t="shared" si="3"/>
        <v>0</v>
      </c>
    </row>
    <row r="31" spans="1:8" x14ac:dyDescent="0.25">
      <c r="A31" s="1938" t="s">
        <v>2171</v>
      </c>
      <c r="B31" s="1939" t="s">
        <v>2173</v>
      </c>
      <c r="C31" s="1940" t="s">
        <v>2186</v>
      </c>
      <c r="D31" s="1840">
        <v>2850</v>
      </c>
      <c r="E31" s="1540">
        <f t="shared" si="2"/>
        <v>2850</v>
      </c>
      <c r="F31" s="1930">
        <f t="shared" si="1"/>
        <v>2850</v>
      </c>
      <c r="G31" s="1790">
        <f t="shared" si="3"/>
        <v>0</v>
      </c>
    </row>
    <row r="32" spans="1:8" x14ac:dyDescent="0.25">
      <c r="A32" s="1938" t="s">
        <v>2171</v>
      </c>
      <c r="B32" s="1939" t="s">
        <v>2173</v>
      </c>
      <c r="C32" s="1940" t="s">
        <v>2187</v>
      </c>
      <c r="D32" s="1840">
        <v>10280</v>
      </c>
      <c r="E32" s="1540">
        <f t="shared" si="2"/>
        <v>10280</v>
      </c>
      <c r="F32" s="1930">
        <f t="shared" si="1"/>
        <v>10280</v>
      </c>
      <c r="G32" s="1790">
        <f t="shared" si="3"/>
        <v>0</v>
      </c>
    </row>
    <row r="33" spans="1:7" x14ac:dyDescent="0.25">
      <c r="A33" s="1938" t="s">
        <v>2171</v>
      </c>
      <c r="B33" s="1939" t="s">
        <v>2173</v>
      </c>
      <c r="C33" s="1940" t="s">
        <v>2188</v>
      </c>
      <c r="D33" s="1840">
        <v>4204</v>
      </c>
      <c r="E33" s="1540">
        <f t="shared" si="2"/>
        <v>4204</v>
      </c>
      <c r="F33" s="1930">
        <f t="shared" si="1"/>
        <v>4204</v>
      </c>
      <c r="G33" s="1790">
        <f t="shared" si="3"/>
        <v>0</v>
      </c>
    </row>
    <row r="34" spans="1:7" x14ac:dyDescent="0.25">
      <c r="A34" s="1938" t="s">
        <v>2171</v>
      </c>
      <c r="B34" s="1939" t="s">
        <v>2173</v>
      </c>
      <c r="C34" s="1940" t="s">
        <v>2189</v>
      </c>
      <c r="D34" s="1840">
        <v>5275</v>
      </c>
      <c r="E34" s="1540">
        <f t="shared" si="2"/>
        <v>5275</v>
      </c>
      <c r="F34" s="1930">
        <f t="shared" si="1"/>
        <v>5275</v>
      </c>
      <c r="G34" s="1790">
        <f t="shared" si="3"/>
        <v>0</v>
      </c>
    </row>
    <row r="35" spans="1:7" x14ac:dyDescent="0.25">
      <c r="A35" s="1938" t="s">
        <v>2171</v>
      </c>
      <c r="B35" s="1939" t="s">
        <v>2173</v>
      </c>
      <c r="C35" s="1940" t="s">
        <v>2190</v>
      </c>
      <c r="D35" s="1840">
        <v>2100</v>
      </c>
      <c r="E35" s="1540">
        <f t="shared" si="2"/>
        <v>2100</v>
      </c>
      <c r="F35" s="1930">
        <f t="shared" si="1"/>
        <v>2100</v>
      </c>
      <c r="G35" s="1790">
        <f t="shared" si="3"/>
        <v>0</v>
      </c>
    </row>
    <row r="36" spans="1:7" x14ac:dyDescent="0.25">
      <c r="A36" s="1938" t="s">
        <v>2171</v>
      </c>
      <c r="B36" s="1939" t="s">
        <v>2173</v>
      </c>
      <c r="C36" s="1940" t="s">
        <v>2191</v>
      </c>
      <c r="D36" s="1840">
        <v>12675</v>
      </c>
      <c r="E36" s="1540">
        <f t="shared" si="2"/>
        <v>12675</v>
      </c>
      <c r="F36" s="1930">
        <f t="shared" si="1"/>
        <v>12675</v>
      </c>
      <c r="G36" s="1790">
        <f t="shared" si="3"/>
        <v>0</v>
      </c>
    </row>
    <row r="37" spans="1:7" x14ac:dyDescent="0.25">
      <c r="A37" s="1938" t="s">
        <v>2171</v>
      </c>
      <c r="B37" s="1939" t="s">
        <v>2173</v>
      </c>
      <c r="C37" s="1940" t="s">
        <v>2192</v>
      </c>
      <c r="D37" s="1840">
        <v>1500</v>
      </c>
      <c r="E37" s="1540">
        <f t="shared" si="2"/>
        <v>1500</v>
      </c>
      <c r="F37" s="1930">
        <f t="shared" si="1"/>
        <v>1500</v>
      </c>
      <c r="G37" s="1790">
        <f t="shared" si="3"/>
        <v>0</v>
      </c>
    </row>
    <row r="38" spans="1:7" x14ac:dyDescent="0.25">
      <c r="A38" s="1938" t="s">
        <v>2171</v>
      </c>
      <c r="B38" s="1939" t="s">
        <v>2173</v>
      </c>
      <c r="C38" s="1940" t="s">
        <v>2193</v>
      </c>
      <c r="D38" s="1840">
        <v>2000</v>
      </c>
      <c r="E38" s="1540">
        <f t="shared" si="2"/>
        <v>2000</v>
      </c>
      <c r="F38" s="1930">
        <f t="shared" si="1"/>
        <v>2000</v>
      </c>
      <c r="G38" s="1790">
        <f t="shared" si="3"/>
        <v>0</v>
      </c>
    </row>
    <row r="39" spans="1:7" x14ac:dyDescent="0.25">
      <c r="A39" s="1938" t="s">
        <v>2171</v>
      </c>
      <c r="B39" s="1941" t="s">
        <v>2173</v>
      </c>
      <c r="C39" s="1940" t="s">
        <v>2228</v>
      </c>
      <c r="D39" s="1840">
        <v>3700</v>
      </c>
      <c r="E39" s="1540">
        <f t="shared" si="2"/>
        <v>3700</v>
      </c>
      <c r="F39" s="1930">
        <f t="shared" si="1"/>
        <v>3700</v>
      </c>
      <c r="G39" s="1790">
        <f t="shared" si="3"/>
        <v>0</v>
      </c>
    </row>
    <row r="40" spans="1:7" x14ac:dyDescent="0.25">
      <c r="A40" s="1938" t="s">
        <v>2172</v>
      </c>
      <c r="B40" s="1941" t="s">
        <v>2194</v>
      </c>
      <c r="C40" s="1940" t="s">
        <v>2195</v>
      </c>
      <c r="D40" s="1840">
        <v>500</v>
      </c>
      <c r="E40" s="1540">
        <f t="shared" si="2"/>
        <v>500</v>
      </c>
      <c r="F40" s="1930">
        <f t="shared" si="1"/>
        <v>500</v>
      </c>
      <c r="G40" s="1790">
        <f t="shared" si="3"/>
        <v>0</v>
      </c>
    </row>
    <row r="41" spans="1:7" x14ac:dyDescent="0.25">
      <c r="A41" s="1938" t="s">
        <v>2172</v>
      </c>
      <c r="B41" s="1941" t="s">
        <v>2194</v>
      </c>
      <c r="C41" s="1940" t="s">
        <v>2196</v>
      </c>
      <c r="D41" s="1840">
        <v>1015</v>
      </c>
      <c r="E41" s="1540">
        <f t="shared" si="2"/>
        <v>1015</v>
      </c>
      <c r="F41" s="1930">
        <f t="shared" si="1"/>
        <v>1015</v>
      </c>
      <c r="G41" s="1790">
        <f t="shared" si="3"/>
        <v>0</v>
      </c>
    </row>
    <row r="42" spans="1:7" x14ac:dyDescent="0.25">
      <c r="A42" s="1938" t="s">
        <v>2172</v>
      </c>
      <c r="B42" s="1941" t="s">
        <v>2194</v>
      </c>
      <c r="C42" s="1940" t="s">
        <v>2197</v>
      </c>
      <c r="D42" s="1840">
        <v>2678</v>
      </c>
      <c r="E42" s="1540">
        <f t="shared" si="2"/>
        <v>2678</v>
      </c>
      <c r="F42" s="1930">
        <f t="shared" si="1"/>
        <v>2678</v>
      </c>
      <c r="G42" s="1790">
        <f t="shared" si="3"/>
        <v>0</v>
      </c>
    </row>
    <row r="43" spans="1:7" x14ac:dyDescent="0.25">
      <c r="A43" s="1938" t="s">
        <v>2172</v>
      </c>
      <c r="B43" s="1941" t="s">
        <v>2194</v>
      </c>
      <c r="C43" s="1940" t="s">
        <v>2198</v>
      </c>
      <c r="D43" s="1840">
        <v>1200</v>
      </c>
      <c r="E43" s="1540">
        <f t="shared" si="2"/>
        <v>1200</v>
      </c>
      <c r="F43" s="1930">
        <f t="shared" si="1"/>
        <v>1200</v>
      </c>
      <c r="G43" s="1790">
        <f t="shared" si="3"/>
        <v>0</v>
      </c>
    </row>
    <row r="44" spans="1:7" x14ac:dyDescent="0.25">
      <c r="A44" s="1938" t="s">
        <v>2172</v>
      </c>
      <c r="B44" s="1941" t="s">
        <v>2194</v>
      </c>
      <c r="C44" s="1940" t="s">
        <v>2199</v>
      </c>
      <c r="D44" s="1840">
        <v>3732</v>
      </c>
      <c r="E44" s="1540">
        <f t="shared" si="2"/>
        <v>3732</v>
      </c>
      <c r="F44" s="1930">
        <f t="shared" si="1"/>
        <v>3732</v>
      </c>
      <c r="G44" s="1790">
        <f t="shared" si="3"/>
        <v>0</v>
      </c>
    </row>
    <row r="45" spans="1:7" x14ac:dyDescent="0.25">
      <c r="A45" s="1938" t="s">
        <v>2172</v>
      </c>
      <c r="B45" s="1941" t="s">
        <v>2194</v>
      </c>
      <c r="C45" s="1940" t="s">
        <v>2200</v>
      </c>
      <c r="D45" s="1840">
        <v>5790</v>
      </c>
      <c r="E45" s="1540">
        <f t="shared" si="2"/>
        <v>5790</v>
      </c>
      <c r="F45" s="1930">
        <f t="shared" si="1"/>
        <v>5790</v>
      </c>
      <c r="G45" s="1790">
        <f t="shared" si="3"/>
        <v>0</v>
      </c>
    </row>
    <row r="46" spans="1:7" x14ac:dyDescent="0.25">
      <c r="A46" s="1938" t="s">
        <v>2172</v>
      </c>
      <c r="B46" s="1941" t="s">
        <v>2194</v>
      </c>
      <c r="C46" s="1940" t="s">
        <v>2201</v>
      </c>
      <c r="D46" s="1840">
        <v>1200</v>
      </c>
      <c r="E46" s="1540">
        <f t="shared" si="2"/>
        <v>1200</v>
      </c>
      <c r="F46" s="1930">
        <f t="shared" si="1"/>
        <v>1200</v>
      </c>
      <c r="G46" s="1790">
        <f t="shared" si="3"/>
        <v>0</v>
      </c>
    </row>
    <row r="47" spans="1:7" x14ac:dyDescent="0.25">
      <c r="A47" s="1938" t="s">
        <v>2172</v>
      </c>
      <c r="B47" s="1941" t="s">
        <v>2202</v>
      </c>
      <c r="C47" s="1940" t="s">
        <v>2203</v>
      </c>
      <c r="D47" s="1840">
        <v>800</v>
      </c>
      <c r="E47" s="1540">
        <f t="shared" si="2"/>
        <v>800</v>
      </c>
      <c r="F47" s="1930">
        <v>800</v>
      </c>
      <c r="G47" s="1790">
        <f t="shared" si="3"/>
        <v>0</v>
      </c>
    </row>
    <row r="48" spans="1:7" x14ac:dyDescent="0.25">
      <c r="A48" s="1938" t="s">
        <v>2172</v>
      </c>
      <c r="B48" s="1941" t="s">
        <v>2194</v>
      </c>
      <c r="C48" s="1940" t="s">
        <v>2204</v>
      </c>
      <c r="D48" s="1840">
        <v>2450</v>
      </c>
      <c r="E48" s="1540">
        <f t="shared" si="2"/>
        <v>2450</v>
      </c>
      <c r="F48" s="1930">
        <f t="shared" si="1"/>
        <v>2450</v>
      </c>
      <c r="G48" s="1790">
        <f t="shared" si="3"/>
        <v>0</v>
      </c>
    </row>
    <row r="49" spans="1:7" x14ac:dyDescent="0.25">
      <c r="A49" s="1938" t="s">
        <v>2172</v>
      </c>
      <c r="B49" s="1941" t="s">
        <v>2194</v>
      </c>
      <c r="C49" s="1940" t="s">
        <v>2205</v>
      </c>
      <c r="D49" s="1840">
        <v>175</v>
      </c>
      <c r="E49" s="1540">
        <f t="shared" si="2"/>
        <v>175</v>
      </c>
      <c r="F49" s="1930">
        <v>175</v>
      </c>
      <c r="G49" s="1790">
        <f t="shared" si="3"/>
        <v>0</v>
      </c>
    </row>
    <row r="50" spans="1:7" x14ac:dyDescent="0.25">
      <c r="A50" s="1938" t="s">
        <v>2172</v>
      </c>
      <c r="B50" s="1941" t="s">
        <v>2194</v>
      </c>
      <c r="C50" s="1940" t="s">
        <v>2206</v>
      </c>
      <c r="D50" s="1840">
        <v>1200</v>
      </c>
      <c r="E50" s="1540">
        <f t="shared" si="2"/>
        <v>1200</v>
      </c>
      <c r="F50" s="1930">
        <f t="shared" si="1"/>
        <v>1200</v>
      </c>
      <c r="G50" s="1790">
        <f t="shared" si="3"/>
        <v>0</v>
      </c>
    </row>
    <row r="51" spans="1:7" x14ac:dyDescent="0.25">
      <c r="A51" s="1938" t="s">
        <v>2172</v>
      </c>
      <c r="B51" s="1941" t="s">
        <v>2194</v>
      </c>
      <c r="C51" s="1940" t="s">
        <v>2207</v>
      </c>
      <c r="D51" s="1840">
        <v>6287</v>
      </c>
      <c r="E51" s="1540">
        <f t="shared" si="2"/>
        <v>6287</v>
      </c>
      <c r="F51" s="1930">
        <f t="shared" si="1"/>
        <v>6287</v>
      </c>
      <c r="G51" s="1790">
        <f t="shared" si="3"/>
        <v>0</v>
      </c>
    </row>
    <row r="52" spans="1:7" x14ac:dyDescent="0.25">
      <c r="A52" s="1938" t="s">
        <v>2172</v>
      </c>
      <c r="B52" s="1941" t="s">
        <v>2194</v>
      </c>
      <c r="C52" s="1940" t="s">
        <v>2208</v>
      </c>
      <c r="D52" s="1840">
        <v>750</v>
      </c>
      <c r="E52" s="1540">
        <f t="shared" si="2"/>
        <v>750</v>
      </c>
      <c r="F52" s="1930">
        <f t="shared" si="1"/>
        <v>750</v>
      </c>
      <c r="G52" s="1790">
        <f t="shared" si="3"/>
        <v>0</v>
      </c>
    </row>
    <row r="53" spans="1:7" x14ac:dyDescent="0.25">
      <c r="A53" s="1938" t="s">
        <v>2172</v>
      </c>
      <c r="B53" s="1941" t="s">
        <v>2194</v>
      </c>
      <c r="C53" s="1940" t="s">
        <v>2209</v>
      </c>
      <c r="D53" s="1840">
        <v>3250</v>
      </c>
      <c r="E53" s="1540">
        <f t="shared" si="2"/>
        <v>3250</v>
      </c>
      <c r="F53" s="1930">
        <f t="shared" si="1"/>
        <v>3250</v>
      </c>
      <c r="G53" s="1790">
        <f t="shared" si="3"/>
        <v>0</v>
      </c>
    </row>
    <row r="54" spans="1:7" x14ac:dyDescent="0.25">
      <c r="A54" s="1938" t="s">
        <v>2172</v>
      </c>
      <c r="B54" s="1941" t="s">
        <v>2194</v>
      </c>
      <c r="C54" s="1940" t="s">
        <v>2210</v>
      </c>
      <c r="D54" s="1840">
        <v>5800</v>
      </c>
      <c r="E54" s="1540">
        <f t="shared" si="2"/>
        <v>5800</v>
      </c>
      <c r="F54" s="1930">
        <f t="shared" si="1"/>
        <v>5800</v>
      </c>
      <c r="G54" s="1790">
        <f t="shared" si="3"/>
        <v>0</v>
      </c>
    </row>
    <row r="55" spans="1:7" x14ac:dyDescent="0.25">
      <c r="A55" s="1938" t="s">
        <v>2172</v>
      </c>
      <c r="B55" s="1941" t="s">
        <v>2194</v>
      </c>
      <c r="C55" s="1940" t="s">
        <v>2211</v>
      </c>
      <c r="D55" s="1840">
        <v>4800</v>
      </c>
      <c r="E55" s="1540">
        <f t="shared" si="2"/>
        <v>4800</v>
      </c>
      <c r="F55" s="1930">
        <f t="shared" si="1"/>
        <v>4800</v>
      </c>
      <c r="G55" s="1790">
        <f t="shared" si="3"/>
        <v>0</v>
      </c>
    </row>
    <row r="56" spans="1:7" x14ac:dyDescent="0.25">
      <c r="A56" s="1938" t="s">
        <v>2172</v>
      </c>
      <c r="B56" s="1941" t="s">
        <v>2194</v>
      </c>
      <c r="C56" s="1940" t="s">
        <v>2212</v>
      </c>
      <c r="D56" s="1840">
        <v>5018</v>
      </c>
      <c r="E56" s="1540">
        <f t="shared" si="2"/>
        <v>5018</v>
      </c>
      <c r="F56" s="1930">
        <f t="shared" si="1"/>
        <v>5018</v>
      </c>
      <c r="G56" s="1790">
        <f t="shared" si="3"/>
        <v>0</v>
      </c>
    </row>
    <row r="57" spans="1:7" x14ac:dyDescent="0.25">
      <c r="A57" s="1938" t="s">
        <v>2172</v>
      </c>
      <c r="B57" s="1941" t="s">
        <v>2194</v>
      </c>
      <c r="C57" s="1940" t="s">
        <v>2213</v>
      </c>
      <c r="D57" s="1840">
        <v>2200</v>
      </c>
      <c r="E57" s="1540">
        <f t="shared" si="2"/>
        <v>2200</v>
      </c>
      <c r="F57" s="1930">
        <f t="shared" si="1"/>
        <v>2200</v>
      </c>
      <c r="G57" s="1790">
        <f t="shared" si="3"/>
        <v>0</v>
      </c>
    </row>
    <row r="58" spans="1:7" x14ac:dyDescent="0.25">
      <c r="A58" s="1938" t="s">
        <v>2172</v>
      </c>
      <c r="B58" s="1941" t="s">
        <v>2194</v>
      </c>
      <c r="C58" s="1940" t="s">
        <v>2214</v>
      </c>
      <c r="D58" s="1840">
        <v>4200</v>
      </c>
      <c r="E58" s="1540">
        <f t="shared" si="2"/>
        <v>4200</v>
      </c>
      <c r="F58" s="1930">
        <f t="shared" si="1"/>
        <v>4200</v>
      </c>
      <c r="G58" s="1790">
        <f t="shared" si="3"/>
        <v>0</v>
      </c>
    </row>
    <row r="59" spans="1:7" x14ac:dyDescent="0.25">
      <c r="A59" s="1938" t="s">
        <v>2172</v>
      </c>
      <c r="B59" s="1941" t="s">
        <v>2194</v>
      </c>
      <c r="C59" s="1940" t="s">
        <v>2215</v>
      </c>
      <c r="D59" s="1840">
        <v>186309</v>
      </c>
      <c r="E59" s="1540">
        <f t="shared" si="2"/>
        <v>25000</v>
      </c>
      <c r="F59" s="1930">
        <f t="shared" si="1"/>
        <v>25000</v>
      </c>
      <c r="G59" s="1790">
        <f t="shared" si="3"/>
        <v>161309</v>
      </c>
    </row>
    <row r="60" spans="1:7" x14ac:dyDescent="0.25">
      <c r="A60" s="1938" t="s">
        <v>2172</v>
      </c>
      <c r="B60" s="1941" t="s">
        <v>2194</v>
      </c>
      <c r="C60" s="1940" t="s">
        <v>2216</v>
      </c>
      <c r="D60" s="1840">
        <v>4491</v>
      </c>
      <c r="E60" s="1540">
        <f t="shared" si="2"/>
        <v>4491</v>
      </c>
      <c r="F60" s="1930">
        <f t="shared" si="1"/>
        <v>4491</v>
      </c>
      <c r="G60" s="1790">
        <f t="shared" si="3"/>
        <v>0</v>
      </c>
    </row>
    <row r="61" spans="1:7" x14ac:dyDescent="0.25">
      <c r="A61" s="1938" t="s">
        <v>2172</v>
      </c>
      <c r="B61" s="1941" t="s">
        <v>2194</v>
      </c>
      <c r="C61" s="1940" t="s">
        <v>2217</v>
      </c>
      <c r="D61" s="1840">
        <v>27249</v>
      </c>
      <c r="E61" s="1540">
        <f t="shared" si="2"/>
        <v>25000</v>
      </c>
      <c r="F61" s="1930">
        <f t="shared" si="1"/>
        <v>25000</v>
      </c>
      <c r="G61" s="1790">
        <f t="shared" si="3"/>
        <v>2249</v>
      </c>
    </row>
    <row r="62" spans="1:7" x14ac:dyDescent="0.25">
      <c r="A62" s="1938" t="s">
        <v>2172</v>
      </c>
      <c r="B62" s="1941" t="s">
        <v>2194</v>
      </c>
      <c r="C62" s="1940" t="s">
        <v>2218</v>
      </c>
      <c r="D62" s="1840">
        <v>80680</v>
      </c>
      <c r="E62" s="1540">
        <f t="shared" si="2"/>
        <v>25000</v>
      </c>
      <c r="F62" s="1930">
        <f t="shared" si="1"/>
        <v>25000</v>
      </c>
      <c r="G62" s="1790">
        <f t="shared" si="3"/>
        <v>55680</v>
      </c>
    </row>
    <row r="63" spans="1:7" x14ac:dyDescent="0.25">
      <c r="A63" s="1938" t="s">
        <v>2172</v>
      </c>
      <c r="B63" s="1941" t="s">
        <v>2194</v>
      </c>
      <c r="C63" s="1940" t="s">
        <v>2219</v>
      </c>
      <c r="D63" s="1840">
        <v>3085</v>
      </c>
      <c r="E63" s="1540">
        <f t="shared" si="2"/>
        <v>3085</v>
      </c>
      <c r="F63" s="1930">
        <f t="shared" si="1"/>
        <v>3085</v>
      </c>
      <c r="G63" s="1790">
        <f t="shared" si="3"/>
        <v>0</v>
      </c>
    </row>
    <row r="64" spans="1:7" x14ac:dyDescent="0.25">
      <c r="A64" s="1938" t="s">
        <v>2172</v>
      </c>
      <c r="B64" s="1941" t="s">
        <v>2194</v>
      </c>
      <c r="C64" s="1940" t="s">
        <v>2220</v>
      </c>
      <c r="D64" s="1840">
        <v>14919</v>
      </c>
      <c r="E64" s="1540">
        <f t="shared" si="2"/>
        <v>14919</v>
      </c>
      <c r="F64" s="1930">
        <f t="shared" si="1"/>
        <v>14919</v>
      </c>
      <c r="G64" s="1790">
        <f t="shared" si="3"/>
        <v>0</v>
      </c>
    </row>
    <row r="65" spans="1:7" x14ac:dyDescent="0.25">
      <c r="A65" s="1938" t="s">
        <v>2172</v>
      </c>
      <c r="B65" s="1941" t="s">
        <v>2194</v>
      </c>
      <c r="C65" s="1940" t="s">
        <v>2221</v>
      </c>
      <c r="D65" s="1840">
        <v>14138</v>
      </c>
      <c r="E65" s="1540">
        <f t="shared" si="2"/>
        <v>14138</v>
      </c>
      <c r="F65" s="1930">
        <f t="shared" si="1"/>
        <v>14138</v>
      </c>
      <c r="G65" s="1790">
        <f t="shared" si="3"/>
        <v>0</v>
      </c>
    </row>
    <row r="66" spans="1:7" x14ac:dyDescent="0.25">
      <c r="A66" s="1938" t="s">
        <v>2172</v>
      </c>
      <c r="B66" s="1941" t="s">
        <v>2194</v>
      </c>
      <c r="C66" s="1940" t="s">
        <v>2222</v>
      </c>
      <c r="D66" s="1840">
        <v>40000</v>
      </c>
      <c r="E66" s="1540">
        <f t="shared" si="2"/>
        <v>25000</v>
      </c>
      <c r="F66" s="1930">
        <f t="shared" si="1"/>
        <v>25000</v>
      </c>
      <c r="G66" s="1790">
        <f t="shared" si="3"/>
        <v>15000</v>
      </c>
    </row>
    <row r="67" spans="1:7" x14ac:dyDescent="0.25">
      <c r="A67" s="1938" t="s">
        <v>2172</v>
      </c>
      <c r="B67" s="1941" t="s">
        <v>2194</v>
      </c>
      <c r="C67" s="1940" t="s">
        <v>2223</v>
      </c>
      <c r="D67" s="1840">
        <v>3339</v>
      </c>
      <c r="E67" s="1540">
        <f t="shared" si="2"/>
        <v>3339</v>
      </c>
      <c r="F67" s="1930">
        <f t="shared" si="1"/>
        <v>3339</v>
      </c>
      <c r="G67" s="1790">
        <f t="shared" si="3"/>
        <v>0</v>
      </c>
    </row>
    <row r="68" spans="1:7" x14ac:dyDescent="0.25">
      <c r="A68" s="1938" t="s">
        <v>2172</v>
      </c>
      <c r="B68" s="1941" t="s">
        <v>2194</v>
      </c>
      <c r="C68" s="1940" t="s">
        <v>2224</v>
      </c>
      <c r="D68" s="1840">
        <v>2620</v>
      </c>
      <c r="E68" s="1540">
        <f t="shared" si="2"/>
        <v>2620</v>
      </c>
      <c r="F68" s="1930">
        <f t="shared" si="1"/>
        <v>2620</v>
      </c>
      <c r="G68" s="1790">
        <f t="shared" si="3"/>
        <v>0</v>
      </c>
    </row>
    <row r="69" spans="1:7" x14ac:dyDescent="0.25">
      <c r="A69" s="1938" t="s">
        <v>2172</v>
      </c>
      <c r="B69" s="1941" t="s">
        <v>2194</v>
      </c>
      <c r="C69" s="1940" t="s">
        <v>2225</v>
      </c>
      <c r="D69" s="1840">
        <v>1250</v>
      </c>
      <c r="E69" s="1540">
        <f t="shared" si="2"/>
        <v>1250</v>
      </c>
      <c r="F69" s="1930">
        <f t="shared" si="1"/>
        <v>1250</v>
      </c>
      <c r="G69" s="1790">
        <f t="shared" si="3"/>
        <v>0</v>
      </c>
    </row>
    <row r="70" spans="1:7" x14ac:dyDescent="0.25">
      <c r="A70" s="1938" t="s">
        <v>2172</v>
      </c>
      <c r="B70" s="1941" t="s">
        <v>2194</v>
      </c>
      <c r="C70" s="1940" t="s">
        <v>2184</v>
      </c>
      <c r="D70" s="1840">
        <v>1575</v>
      </c>
      <c r="E70" s="1540">
        <f t="shared" si="2"/>
        <v>1575</v>
      </c>
      <c r="F70" s="1930">
        <f t="shared" si="1"/>
        <v>1575</v>
      </c>
      <c r="G70" s="1790">
        <f t="shared" si="3"/>
        <v>0</v>
      </c>
    </row>
    <row r="71" spans="1:7" x14ac:dyDescent="0.25">
      <c r="A71" s="1938" t="s">
        <v>2172</v>
      </c>
      <c r="B71" s="1941" t="s">
        <v>2194</v>
      </c>
      <c r="C71" s="1940" t="s">
        <v>2226</v>
      </c>
      <c r="D71" s="1840">
        <v>225</v>
      </c>
      <c r="E71" s="1540">
        <f t="shared" si="2"/>
        <v>225</v>
      </c>
      <c r="F71" s="1930">
        <f t="shared" si="1"/>
        <v>225</v>
      </c>
      <c r="G71" s="1790">
        <f t="shared" si="3"/>
        <v>0</v>
      </c>
    </row>
    <row r="72" spans="1:7" x14ac:dyDescent="0.25">
      <c r="A72" s="1938" t="s">
        <v>2172</v>
      </c>
      <c r="B72" s="1941" t="s">
        <v>2194</v>
      </c>
      <c r="C72" s="1940" t="s">
        <v>2227</v>
      </c>
      <c r="D72" s="1840">
        <v>1500</v>
      </c>
      <c r="E72" s="1540">
        <f t="shared" si="2"/>
        <v>1500</v>
      </c>
      <c r="F72" s="1930">
        <f t="shared" si="1"/>
        <v>1500</v>
      </c>
      <c r="G72" s="1790">
        <f t="shared" si="3"/>
        <v>0</v>
      </c>
    </row>
    <row r="73" spans="1:7" x14ac:dyDescent="0.25">
      <c r="A73" s="1938" t="s">
        <v>2172</v>
      </c>
      <c r="B73" s="1941" t="s">
        <v>2194</v>
      </c>
      <c r="C73" s="1940" t="s">
        <v>2195</v>
      </c>
      <c r="D73" s="1840">
        <v>1500</v>
      </c>
      <c r="E73" s="1540">
        <f t="shared" si="2"/>
        <v>1500</v>
      </c>
      <c r="F73" s="1930">
        <f t="shared" si="1"/>
        <v>1500</v>
      </c>
      <c r="G73" s="1790">
        <f t="shared" si="3"/>
        <v>0</v>
      </c>
    </row>
    <row r="74" spans="1:7" x14ac:dyDescent="0.25">
      <c r="A74" s="1938" t="s">
        <v>2229</v>
      </c>
      <c r="B74" s="1941" t="s">
        <v>2230</v>
      </c>
      <c r="C74" s="1940" t="s">
        <v>2231</v>
      </c>
      <c r="D74" s="1840">
        <v>1400</v>
      </c>
      <c r="E74" s="1540">
        <f t="shared" ref="E74:E85" si="4">IF(D74&lt;=25000,D74,IF(D74&gt;25000,25000,0))</f>
        <v>1400</v>
      </c>
      <c r="F74" s="1930">
        <f t="shared" si="1"/>
        <v>1400</v>
      </c>
      <c r="G74" s="1790">
        <f t="shared" ref="G74:G85" si="5">IF(F74=0,0,D74-F74)</f>
        <v>0</v>
      </c>
    </row>
    <row r="75" spans="1:7" x14ac:dyDescent="0.25">
      <c r="A75" s="1938" t="s">
        <v>2229</v>
      </c>
      <c r="B75" s="1941" t="s">
        <v>2230</v>
      </c>
      <c r="C75" s="1940" t="s">
        <v>2212</v>
      </c>
      <c r="D75" s="1840">
        <v>19585</v>
      </c>
      <c r="E75" s="1540">
        <f t="shared" si="4"/>
        <v>19585</v>
      </c>
      <c r="F75" s="1930">
        <f t="shared" si="1"/>
        <v>19585</v>
      </c>
      <c r="G75" s="1790">
        <f t="shared" si="5"/>
        <v>0</v>
      </c>
    </row>
    <row r="76" spans="1:7" x14ac:dyDescent="0.25">
      <c r="A76" s="1938" t="s">
        <v>2229</v>
      </c>
      <c r="B76" s="1941" t="s">
        <v>2230</v>
      </c>
      <c r="C76" s="1940" t="s">
        <v>2215</v>
      </c>
      <c r="D76" s="1840">
        <v>3000</v>
      </c>
      <c r="E76" s="1540">
        <f t="shared" si="4"/>
        <v>3000</v>
      </c>
      <c r="F76" s="1930">
        <f t="shared" si="1"/>
        <v>3000</v>
      </c>
      <c r="G76" s="1790">
        <f t="shared" si="5"/>
        <v>0</v>
      </c>
    </row>
    <row r="77" spans="1:7" x14ac:dyDescent="0.25">
      <c r="A77" s="1938" t="s">
        <v>2229</v>
      </c>
      <c r="B77" s="1941" t="s">
        <v>2230</v>
      </c>
      <c r="C77" s="1940" t="s">
        <v>2232</v>
      </c>
      <c r="D77" s="1840">
        <v>950</v>
      </c>
      <c r="E77" s="1540">
        <f t="shared" si="4"/>
        <v>950</v>
      </c>
      <c r="F77" s="1930">
        <f t="shared" si="1"/>
        <v>950</v>
      </c>
      <c r="G77" s="1790">
        <f t="shared" si="5"/>
        <v>0</v>
      </c>
    </row>
    <row r="78" spans="1:7" x14ac:dyDescent="0.25">
      <c r="A78" s="1938" t="s">
        <v>2229</v>
      </c>
      <c r="B78" s="1941" t="s">
        <v>2230</v>
      </c>
      <c r="C78" s="1940" t="s">
        <v>2233</v>
      </c>
      <c r="D78" s="1840">
        <v>103114</v>
      </c>
      <c r="E78" s="1540">
        <f t="shared" si="4"/>
        <v>25000</v>
      </c>
      <c r="F78" s="1930">
        <f t="shared" si="1"/>
        <v>25000</v>
      </c>
      <c r="G78" s="1790">
        <f t="shared" si="5"/>
        <v>78114</v>
      </c>
    </row>
    <row r="79" spans="1:7" x14ac:dyDescent="0.25">
      <c r="A79" s="1938" t="s">
        <v>2229</v>
      </c>
      <c r="B79" s="1941" t="s">
        <v>2230</v>
      </c>
      <c r="C79" s="1940" t="s">
        <v>2234</v>
      </c>
      <c r="D79" s="1840">
        <v>8304</v>
      </c>
      <c r="E79" s="1540">
        <f t="shared" si="4"/>
        <v>8304</v>
      </c>
      <c r="F79" s="1930">
        <f t="shared" si="1"/>
        <v>8304</v>
      </c>
      <c r="G79" s="1790">
        <f t="shared" si="5"/>
        <v>0</v>
      </c>
    </row>
    <row r="80" spans="1:7" x14ac:dyDescent="0.25">
      <c r="A80" s="1938" t="s">
        <v>2229</v>
      </c>
      <c r="B80" s="1941" t="s">
        <v>2230</v>
      </c>
      <c r="C80" s="1940" t="s">
        <v>2235</v>
      </c>
      <c r="D80" s="1840">
        <v>30380</v>
      </c>
      <c r="E80" s="1540">
        <f t="shared" si="4"/>
        <v>25000</v>
      </c>
      <c r="F80" s="1930">
        <f t="shared" si="1"/>
        <v>25000</v>
      </c>
      <c r="G80" s="1790">
        <f t="shared" si="5"/>
        <v>5380</v>
      </c>
    </row>
    <row r="81" spans="1:7" x14ac:dyDescent="0.25">
      <c r="A81" s="1938" t="s">
        <v>2236</v>
      </c>
      <c r="B81" s="1941" t="s">
        <v>2237</v>
      </c>
      <c r="C81" s="1940" t="s">
        <v>2238</v>
      </c>
      <c r="D81" s="1840">
        <v>7440</v>
      </c>
      <c r="E81" s="1540">
        <f t="shared" si="4"/>
        <v>7440</v>
      </c>
      <c r="F81" s="1930">
        <f t="shared" si="1"/>
        <v>7440</v>
      </c>
      <c r="G81" s="1790">
        <f t="shared" si="5"/>
        <v>0</v>
      </c>
    </row>
    <row r="82" spans="1:7" x14ac:dyDescent="0.25">
      <c r="A82" s="1938" t="s">
        <v>2236</v>
      </c>
      <c r="B82" s="1941" t="s">
        <v>2237</v>
      </c>
      <c r="C82" s="1940" t="s">
        <v>2233</v>
      </c>
      <c r="D82" s="1840">
        <v>82330</v>
      </c>
      <c r="E82" s="1540">
        <f t="shared" si="4"/>
        <v>25000</v>
      </c>
      <c r="F82" s="1930">
        <f t="shared" ref="F82:F147"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25000</v>
      </c>
      <c r="G82" s="1790">
        <f t="shared" si="5"/>
        <v>57330</v>
      </c>
    </row>
    <row r="83" spans="1:7" x14ac:dyDescent="0.25">
      <c r="A83" s="1938" t="s">
        <v>2236</v>
      </c>
      <c r="B83" s="1941" t="s">
        <v>2237</v>
      </c>
      <c r="C83" s="1940" t="s">
        <v>2239</v>
      </c>
      <c r="D83" s="1840">
        <v>38771</v>
      </c>
      <c r="E83" s="1540">
        <f t="shared" si="4"/>
        <v>25000</v>
      </c>
      <c r="F83" s="1930">
        <f t="shared" si="6"/>
        <v>25000</v>
      </c>
      <c r="G83" s="1790">
        <f t="shared" si="5"/>
        <v>13771</v>
      </c>
    </row>
    <row r="84" spans="1:7" x14ac:dyDescent="0.25">
      <c r="A84" s="1938" t="s">
        <v>2236</v>
      </c>
      <c r="B84" s="1941" t="s">
        <v>2237</v>
      </c>
      <c r="C84" s="1940" t="s">
        <v>2240</v>
      </c>
      <c r="D84" s="1840">
        <v>887</v>
      </c>
      <c r="E84" s="1540">
        <f t="shared" si="4"/>
        <v>887</v>
      </c>
      <c r="F84" s="1930">
        <f t="shared" si="6"/>
        <v>887</v>
      </c>
      <c r="G84" s="1790">
        <f t="shared" si="5"/>
        <v>0</v>
      </c>
    </row>
    <row r="85" spans="1:7" x14ac:dyDescent="0.25">
      <c r="A85" s="1938" t="s">
        <v>2241</v>
      </c>
      <c r="B85" s="1941" t="s">
        <v>2242</v>
      </c>
      <c r="C85" s="1940" t="s">
        <v>2243</v>
      </c>
      <c r="D85" s="1840">
        <v>48000</v>
      </c>
      <c r="E85" s="1540">
        <f t="shared" si="4"/>
        <v>25000</v>
      </c>
      <c r="F85" s="1930">
        <f t="shared" si="6"/>
        <v>25000</v>
      </c>
      <c r="G85" s="1790">
        <f t="shared" si="5"/>
        <v>23000</v>
      </c>
    </row>
    <row r="86" spans="1:7" x14ac:dyDescent="0.25">
      <c r="A86" s="1938" t="s">
        <v>2241</v>
      </c>
      <c r="B86" s="1941" t="s">
        <v>2242</v>
      </c>
      <c r="C86" s="1940" t="s">
        <v>2244</v>
      </c>
      <c r="D86" s="1840">
        <v>115610</v>
      </c>
      <c r="E86" s="1540">
        <f t="shared" si="2"/>
        <v>25000</v>
      </c>
      <c r="F86" s="1930">
        <f t="shared" si="6"/>
        <v>25000</v>
      </c>
      <c r="G86" s="1790">
        <f t="shared" si="3"/>
        <v>90610</v>
      </c>
    </row>
    <row r="87" spans="1:7" x14ac:dyDescent="0.25">
      <c r="A87" s="1938" t="s">
        <v>2245</v>
      </c>
      <c r="B87" s="1941" t="s">
        <v>2246</v>
      </c>
      <c r="C87" s="1940" t="s">
        <v>2247</v>
      </c>
      <c r="D87" s="1840">
        <v>37755</v>
      </c>
      <c r="E87" s="1540">
        <f t="shared" si="2"/>
        <v>25000</v>
      </c>
      <c r="F87" s="1930">
        <f t="shared" si="6"/>
        <v>25000</v>
      </c>
      <c r="G87" s="1790">
        <f t="shared" si="3"/>
        <v>12755</v>
      </c>
    </row>
    <row r="88" spans="1:7" x14ac:dyDescent="0.25">
      <c r="A88" s="1938" t="s">
        <v>2248</v>
      </c>
      <c r="B88" s="1941" t="s">
        <v>2249</v>
      </c>
      <c r="C88" s="1940" t="s">
        <v>2250</v>
      </c>
      <c r="D88" s="1840">
        <v>16700</v>
      </c>
      <c r="E88" s="1540">
        <f t="shared" si="2"/>
        <v>16700</v>
      </c>
      <c r="F88" s="1930">
        <f t="shared" si="6"/>
        <v>16700</v>
      </c>
      <c r="G88" s="1790">
        <f t="shared" si="3"/>
        <v>0</v>
      </c>
    </row>
    <row r="89" spans="1:7" x14ac:dyDescent="0.25">
      <c r="A89" s="1938" t="s">
        <v>2248</v>
      </c>
      <c r="B89" s="1941" t="s">
        <v>2249</v>
      </c>
      <c r="C89" s="1940" t="s">
        <v>2244</v>
      </c>
      <c r="D89" s="1840">
        <v>6000</v>
      </c>
      <c r="E89" s="1540">
        <f t="shared" si="2"/>
        <v>6000</v>
      </c>
      <c r="F89" s="1930">
        <f t="shared" si="6"/>
        <v>6000</v>
      </c>
      <c r="G89" s="1790">
        <f t="shared" si="3"/>
        <v>0</v>
      </c>
    </row>
    <row r="90" spans="1:7" x14ac:dyDescent="0.25">
      <c r="A90" s="1938" t="s">
        <v>2248</v>
      </c>
      <c r="B90" s="1941" t="s">
        <v>2249</v>
      </c>
      <c r="C90" s="1940" t="s">
        <v>2251</v>
      </c>
      <c r="D90" s="1840">
        <v>13647</v>
      </c>
      <c r="E90" s="1540">
        <f t="shared" si="2"/>
        <v>13647</v>
      </c>
      <c r="F90" s="1930">
        <f t="shared" si="6"/>
        <v>13647</v>
      </c>
      <c r="G90" s="1790">
        <f t="shared" si="3"/>
        <v>0</v>
      </c>
    </row>
    <row r="91" spans="1:7" x14ac:dyDescent="0.25">
      <c r="A91" s="1938" t="s">
        <v>2248</v>
      </c>
      <c r="B91" s="1941" t="s">
        <v>2249</v>
      </c>
      <c r="C91" s="1940" t="s">
        <v>2252</v>
      </c>
      <c r="D91" s="1840">
        <v>2305</v>
      </c>
      <c r="E91" s="1540">
        <f t="shared" si="2"/>
        <v>2305</v>
      </c>
      <c r="F91" s="1930">
        <f t="shared" si="6"/>
        <v>2305</v>
      </c>
      <c r="G91" s="1790">
        <f t="shared" si="3"/>
        <v>0</v>
      </c>
    </row>
    <row r="92" spans="1:7" x14ac:dyDescent="0.25">
      <c r="A92" s="1938" t="s">
        <v>2253</v>
      </c>
      <c r="B92" s="1941" t="s">
        <v>2254</v>
      </c>
      <c r="C92" s="1940" t="s">
        <v>2255</v>
      </c>
      <c r="D92" s="1840">
        <v>5750</v>
      </c>
      <c r="E92" s="1540">
        <f t="shared" si="2"/>
        <v>5750</v>
      </c>
      <c r="F92" s="1930">
        <f t="shared" si="6"/>
        <v>5750</v>
      </c>
      <c r="G92" s="1790">
        <f t="shared" si="3"/>
        <v>0</v>
      </c>
    </row>
    <row r="93" spans="1:7" x14ac:dyDescent="0.25">
      <c r="A93" s="1938" t="s">
        <v>2253</v>
      </c>
      <c r="B93" s="1941" t="s">
        <v>2254</v>
      </c>
      <c r="C93" s="1940" t="s">
        <v>2256</v>
      </c>
      <c r="D93" s="1840">
        <v>59940</v>
      </c>
      <c r="E93" s="1540">
        <f t="shared" si="2"/>
        <v>25000</v>
      </c>
      <c r="F93" s="1930">
        <f t="shared" si="6"/>
        <v>25000</v>
      </c>
      <c r="G93" s="1790">
        <f t="shared" si="3"/>
        <v>34940</v>
      </c>
    </row>
    <row r="94" spans="1:7" x14ac:dyDescent="0.25">
      <c r="A94" s="1938" t="s">
        <v>2253</v>
      </c>
      <c r="B94" s="1941" t="s">
        <v>2254</v>
      </c>
      <c r="C94" s="1940" t="s">
        <v>2257</v>
      </c>
      <c r="D94" s="1840">
        <v>6500</v>
      </c>
      <c r="E94" s="1540">
        <f t="shared" ref="E94" si="7">IF(D94&lt;=25000,D94,IF(D94&gt;25000,25000,0))</f>
        <v>6500</v>
      </c>
      <c r="F94" s="1930">
        <f t="shared" si="6"/>
        <v>6500</v>
      </c>
      <c r="G94" s="1790">
        <f t="shared" ref="G94" si="8">IF(F94=0,0,D94-F94)</f>
        <v>0</v>
      </c>
    </row>
    <row r="95" spans="1:7" x14ac:dyDescent="0.25">
      <c r="A95" s="1938" t="s">
        <v>2253</v>
      </c>
      <c r="B95" s="1941" t="s">
        <v>2254</v>
      </c>
      <c r="C95" s="1940" t="s">
        <v>2258</v>
      </c>
      <c r="D95" s="1840">
        <v>7800</v>
      </c>
      <c r="E95" s="1540">
        <f t="shared" si="2"/>
        <v>7800</v>
      </c>
      <c r="F95" s="1930">
        <f t="shared" si="6"/>
        <v>7800</v>
      </c>
      <c r="G95" s="1790">
        <f t="shared" si="3"/>
        <v>0</v>
      </c>
    </row>
    <row r="96" spans="1:7" x14ac:dyDescent="0.25">
      <c r="A96" s="1938" t="s">
        <v>2248</v>
      </c>
      <c r="B96" s="1941" t="s">
        <v>2249</v>
      </c>
      <c r="C96" s="1940" t="s">
        <v>2259</v>
      </c>
      <c r="D96" s="1840">
        <v>8600</v>
      </c>
      <c r="E96" s="1540">
        <f t="shared" ref="E96:E99" si="9">IF(D96&lt;=25000,D96,IF(D96&gt;25000,25000,0))</f>
        <v>8600</v>
      </c>
      <c r="F96" s="1930">
        <f t="shared" si="6"/>
        <v>8600</v>
      </c>
      <c r="G96" s="1790">
        <f t="shared" ref="G96:G99" si="10">IF(F96=0,0,D96-F96)</f>
        <v>0</v>
      </c>
    </row>
    <row r="97" spans="1:7" x14ac:dyDescent="0.25">
      <c r="A97" s="1938" t="s">
        <v>2260</v>
      </c>
      <c r="B97" s="1941" t="s">
        <v>2261</v>
      </c>
      <c r="C97" s="1940" t="s">
        <v>2262</v>
      </c>
      <c r="D97" s="1840">
        <v>6573</v>
      </c>
      <c r="E97" s="1540">
        <f t="shared" si="9"/>
        <v>6573</v>
      </c>
      <c r="F97" s="1930">
        <f t="shared" si="6"/>
        <v>6573</v>
      </c>
      <c r="G97" s="1790">
        <f t="shared" si="10"/>
        <v>0</v>
      </c>
    </row>
    <row r="98" spans="1:7" x14ac:dyDescent="0.25">
      <c r="A98" s="1938" t="s">
        <v>2260</v>
      </c>
      <c r="B98" s="1941" t="s">
        <v>2261</v>
      </c>
      <c r="C98" s="1940" t="s">
        <v>2263</v>
      </c>
      <c r="D98" s="1840">
        <v>10825</v>
      </c>
      <c r="E98" s="1540">
        <f t="shared" si="9"/>
        <v>10825</v>
      </c>
      <c r="F98" s="1930">
        <f t="shared" si="6"/>
        <v>10825</v>
      </c>
      <c r="G98" s="1790">
        <f t="shared" si="10"/>
        <v>0</v>
      </c>
    </row>
    <row r="99" spans="1:7" x14ac:dyDescent="0.25">
      <c r="A99" s="1938" t="s">
        <v>2260</v>
      </c>
      <c r="B99" s="1941" t="s">
        <v>2261</v>
      </c>
      <c r="C99" s="1940" t="s">
        <v>2264</v>
      </c>
      <c r="D99" s="1840">
        <v>186493</v>
      </c>
      <c r="E99" s="1540">
        <f t="shared" si="9"/>
        <v>25000</v>
      </c>
      <c r="F99" s="1930">
        <f t="shared" si="6"/>
        <v>25000</v>
      </c>
      <c r="G99" s="1790">
        <f t="shared" si="10"/>
        <v>161493</v>
      </c>
    </row>
    <row r="100" spans="1:7" x14ac:dyDescent="0.25">
      <c r="A100" s="1938" t="s">
        <v>2260</v>
      </c>
      <c r="B100" s="1941" t="s">
        <v>2261</v>
      </c>
      <c r="C100" s="1940" t="s">
        <v>2265</v>
      </c>
      <c r="D100" s="1840">
        <v>12739</v>
      </c>
      <c r="E100" s="1540">
        <f t="shared" ref="E100" si="11">IF(D100&lt;=25000,D100,IF(D100&gt;25000,25000,0))</f>
        <v>12739</v>
      </c>
      <c r="F100" s="1930">
        <f t="shared" si="6"/>
        <v>12739</v>
      </c>
      <c r="G100" s="1790">
        <f t="shared" ref="G100" si="12">IF(F100=0,0,D100-F100)</f>
        <v>0</v>
      </c>
    </row>
    <row r="101" spans="1:7" x14ac:dyDescent="0.25">
      <c r="A101" s="1938" t="s">
        <v>2260</v>
      </c>
      <c r="B101" s="1941" t="s">
        <v>2266</v>
      </c>
      <c r="C101" s="1940" t="s">
        <v>2267</v>
      </c>
      <c r="D101" s="1840">
        <v>23421</v>
      </c>
      <c r="E101" s="1540">
        <f t="shared" ref="E101:E113" si="13">IF(D101&lt;=25000,D101,IF(D101&gt;25000,25000,0))</f>
        <v>23421</v>
      </c>
      <c r="F101" s="1930">
        <v>23421</v>
      </c>
      <c r="G101" s="1790">
        <f t="shared" ref="G101:G113" si="14">IF(F101=0,0,D101-F101)</f>
        <v>0</v>
      </c>
    </row>
    <row r="102" spans="1:7" x14ac:dyDescent="0.25">
      <c r="A102" s="1938" t="s">
        <v>2260</v>
      </c>
      <c r="B102" s="1941" t="s">
        <v>2261</v>
      </c>
      <c r="C102" s="1940" t="s">
        <v>2268</v>
      </c>
      <c r="D102" s="1840">
        <v>51527</v>
      </c>
      <c r="E102" s="1540">
        <f t="shared" si="13"/>
        <v>25000</v>
      </c>
      <c r="F102" s="1930">
        <f t="shared" si="6"/>
        <v>25000</v>
      </c>
      <c r="G102" s="1790">
        <f t="shared" si="14"/>
        <v>26527</v>
      </c>
    </row>
    <row r="103" spans="1:7" x14ac:dyDescent="0.25">
      <c r="A103" s="1938" t="s">
        <v>2260</v>
      </c>
      <c r="B103" s="1941" t="s">
        <v>2261</v>
      </c>
      <c r="C103" s="1940" t="s">
        <v>2269</v>
      </c>
      <c r="D103" s="1840">
        <v>40171</v>
      </c>
      <c r="E103" s="1540">
        <f t="shared" si="13"/>
        <v>25000</v>
      </c>
      <c r="F103" s="1930">
        <f t="shared" si="6"/>
        <v>25000</v>
      </c>
      <c r="G103" s="1790">
        <f t="shared" si="14"/>
        <v>15171</v>
      </c>
    </row>
    <row r="104" spans="1:7" x14ac:dyDescent="0.25">
      <c r="A104" s="1938" t="s">
        <v>2260</v>
      </c>
      <c r="B104" s="1941" t="s">
        <v>2261</v>
      </c>
      <c r="C104" s="1940" t="s">
        <v>2270</v>
      </c>
      <c r="D104" s="1840">
        <v>14583</v>
      </c>
      <c r="E104" s="1540">
        <f t="shared" si="13"/>
        <v>14583</v>
      </c>
      <c r="F104" s="1930">
        <f t="shared" si="6"/>
        <v>14583</v>
      </c>
      <c r="G104" s="1790">
        <f t="shared" si="14"/>
        <v>0</v>
      </c>
    </row>
    <row r="105" spans="1:7" x14ac:dyDescent="0.25">
      <c r="A105" s="1938" t="s">
        <v>2260</v>
      </c>
      <c r="B105" s="1941" t="s">
        <v>2261</v>
      </c>
      <c r="C105" s="1940" t="s">
        <v>2271</v>
      </c>
      <c r="D105" s="1840">
        <v>3054</v>
      </c>
      <c r="E105" s="1540">
        <f t="shared" si="13"/>
        <v>3054</v>
      </c>
      <c r="F105" s="1930">
        <f t="shared" si="6"/>
        <v>3054</v>
      </c>
      <c r="G105" s="1790">
        <f t="shared" si="14"/>
        <v>0</v>
      </c>
    </row>
    <row r="106" spans="1:7" x14ac:dyDescent="0.25">
      <c r="A106" s="1938" t="s">
        <v>2260</v>
      </c>
      <c r="B106" s="1941" t="s">
        <v>2261</v>
      </c>
      <c r="C106" s="1940" t="s">
        <v>2272</v>
      </c>
      <c r="D106" s="1840">
        <v>23828</v>
      </c>
      <c r="E106" s="1540">
        <f t="shared" si="13"/>
        <v>23828</v>
      </c>
      <c r="F106" s="1930">
        <f t="shared" si="6"/>
        <v>23828</v>
      </c>
      <c r="G106" s="1790">
        <f t="shared" si="14"/>
        <v>0</v>
      </c>
    </row>
    <row r="107" spans="1:7" x14ac:dyDescent="0.25">
      <c r="A107" s="1938" t="s">
        <v>2260</v>
      </c>
      <c r="B107" s="1941" t="s">
        <v>2261</v>
      </c>
      <c r="C107" s="1940" t="s">
        <v>2273</v>
      </c>
      <c r="D107" s="1840">
        <v>16865</v>
      </c>
      <c r="E107" s="1540">
        <f t="shared" si="13"/>
        <v>16865</v>
      </c>
      <c r="F107" s="1930">
        <f t="shared" si="6"/>
        <v>16865</v>
      </c>
      <c r="G107" s="1790">
        <f t="shared" si="14"/>
        <v>0</v>
      </c>
    </row>
    <row r="108" spans="1:7" x14ac:dyDescent="0.25">
      <c r="A108" s="1938" t="s">
        <v>2274</v>
      </c>
      <c r="B108" s="1941" t="s">
        <v>2275</v>
      </c>
      <c r="C108" s="1940" t="s">
        <v>2238</v>
      </c>
      <c r="D108" s="1840">
        <v>36155</v>
      </c>
      <c r="E108" s="1540">
        <f t="shared" si="13"/>
        <v>25000</v>
      </c>
      <c r="F108" s="1930">
        <v>25000</v>
      </c>
      <c r="G108" s="1790">
        <f t="shared" si="14"/>
        <v>11155</v>
      </c>
    </row>
    <row r="109" spans="1:7" x14ac:dyDescent="0.25">
      <c r="A109" s="1938" t="s">
        <v>2274</v>
      </c>
      <c r="B109" s="1941" t="s">
        <v>2275</v>
      </c>
      <c r="C109" s="1940" t="s">
        <v>2276</v>
      </c>
      <c r="D109" s="1840">
        <v>79817</v>
      </c>
      <c r="E109" s="1540">
        <f t="shared" si="13"/>
        <v>25000</v>
      </c>
      <c r="F109" s="1930">
        <v>25000</v>
      </c>
      <c r="G109" s="1790">
        <f t="shared" si="14"/>
        <v>54817</v>
      </c>
    </row>
    <row r="110" spans="1:7" x14ac:dyDescent="0.25">
      <c r="A110" s="1938" t="s">
        <v>2274</v>
      </c>
      <c r="B110" s="1941" t="s">
        <v>2275</v>
      </c>
      <c r="C110" s="1940" t="s">
        <v>2233</v>
      </c>
      <c r="D110" s="1840">
        <v>69990</v>
      </c>
      <c r="E110" s="1540">
        <f t="shared" si="13"/>
        <v>25000</v>
      </c>
      <c r="F110" s="1930">
        <v>25000</v>
      </c>
      <c r="G110" s="1790">
        <f t="shared" si="14"/>
        <v>44990</v>
      </c>
    </row>
    <row r="111" spans="1:7" x14ac:dyDescent="0.25">
      <c r="A111" s="1938" t="s">
        <v>2278</v>
      </c>
      <c r="B111" s="1941" t="s">
        <v>2277</v>
      </c>
      <c r="C111" s="1940" t="s">
        <v>2233</v>
      </c>
      <c r="D111" s="1840">
        <v>1275325</v>
      </c>
      <c r="E111" s="1540">
        <f t="shared" si="13"/>
        <v>25000</v>
      </c>
      <c r="F111" s="1930">
        <f t="shared" si="6"/>
        <v>25000</v>
      </c>
      <c r="G111" s="1790">
        <f t="shared" si="14"/>
        <v>1250325</v>
      </c>
    </row>
    <row r="112" spans="1:7" x14ac:dyDescent="0.25">
      <c r="A112" s="1938" t="s">
        <v>2278</v>
      </c>
      <c r="B112" s="1941" t="s">
        <v>2277</v>
      </c>
      <c r="C112" s="1940" t="s">
        <v>2279</v>
      </c>
      <c r="D112" s="1840">
        <v>547</v>
      </c>
      <c r="E112" s="1540">
        <f t="shared" si="13"/>
        <v>547</v>
      </c>
      <c r="F112" s="1930">
        <f t="shared" si="6"/>
        <v>547</v>
      </c>
      <c r="G112" s="1790">
        <f t="shared" si="14"/>
        <v>0</v>
      </c>
    </row>
    <row r="113" spans="1:7" x14ac:dyDescent="0.25">
      <c r="A113" s="1938" t="s">
        <v>2280</v>
      </c>
      <c r="B113" s="1941" t="s">
        <v>2281</v>
      </c>
      <c r="C113" s="1940" t="s">
        <v>2282</v>
      </c>
      <c r="D113" s="1840">
        <v>6403</v>
      </c>
      <c r="E113" s="1540">
        <f t="shared" si="13"/>
        <v>6403</v>
      </c>
      <c r="F113" s="1930">
        <f t="shared" si="6"/>
        <v>6403</v>
      </c>
      <c r="G113" s="1790">
        <f t="shared" si="14"/>
        <v>0</v>
      </c>
    </row>
    <row r="114" spans="1:7" x14ac:dyDescent="0.25">
      <c r="A114" s="1938" t="s">
        <v>2171</v>
      </c>
      <c r="B114" s="1941" t="s">
        <v>2283</v>
      </c>
      <c r="C114" s="1940" t="s">
        <v>2284</v>
      </c>
      <c r="D114" s="1840">
        <v>750</v>
      </c>
      <c r="E114" s="1540">
        <f t="shared" ref="E114:E126" si="15">IF(D114&lt;=25000,D114,IF(D114&gt;25000,25000,0))</f>
        <v>750</v>
      </c>
      <c r="F114" s="1930">
        <v>750</v>
      </c>
      <c r="G114" s="1790">
        <f t="shared" ref="G114:G126" si="16">IF(F114=0,0,D114-F114)</f>
        <v>0</v>
      </c>
    </row>
    <row r="115" spans="1:7" x14ac:dyDescent="0.25">
      <c r="A115" s="1938" t="s">
        <v>2172</v>
      </c>
      <c r="B115" s="1941" t="s">
        <v>2194</v>
      </c>
      <c r="C115" s="1940" t="s">
        <v>2285</v>
      </c>
      <c r="D115" s="1840">
        <v>250</v>
      </c>
      <c r="E115" s="1540">
        <f t="shared" si="15"/>
        <v>250</v>
      </c>
      <c r="F115" s="1930">
        <f t="shared" si="6"/>
        <v>250</v>
      </c>
      <c r="G115" s="1790">
        <f t="shared" si="16"/>
        <v>0</v>
      </c>
    </row>
    <row r="116" spans="1:7" x14ac:dyDescent="0.25">
      <c r="A116" s="1938" t="s">
        <v>2172</v>
      </c>
      <c r="B116" s="1941" t="s">
        <v>2194</v>
      </c>
      <c r="C116" s="1940" t="s">
        <v>2286</v>
      </c>
      <c r="D116" s="1840">
        <v>1350</v>
      </c>
      <c r="E116" s="1540">
        <f t="shared" si="15"/>
        <v>1350</v>
      </c>
      <c r="F116" s="1930">
        <f t="shared" si="6"/>
        <v>1350</v>
      </c>
      <c r="G116" s="1790">
        <f t="shared" si="16"/>
        <v>0</v>
      </c>
    </row>
    <row r="117" spans="1:7" x14ac:dyDescent="0.25">
      <c r="A117" s="1938" t="s">
        <v>2229</v>
      </c>
      <c r="B117" s="1941" t="s">
        <v>2230</v>
      </c>
      <c r="C117" s="1940" t="s">
        <v>2287</v>
      </c>
      <c r="D117" s="1840">
        <v>250</v>
      </c>
      <c r="E117" s="1540">
        <f t="shared" si="15"/>
        <v>250</v>
      </c>
      <c r="F117" s="1930">
        <f t="shared" si="6"/>
        <v>250</v>
      </c>
      <c r="G117" s="1790">
        <f t="shared" si="16"/>
        <v>0</v>
      </c>
    </row>
    <row r="118" spans="1:7" x14ac:dyDescent="0.25">
      <c r="A118" s="1938" t="s">
        <v>2248</v>
      </c>
      <c r="B118" s="1941" t="s">
        <v>2249</v>
      </c>
      <c r="C118" s="1940" t="s">
        <v>2288</v>
      </c>
      <c r="D118" s="1840">
        <v>2400</v>
      </c>
      <c r="E118" s="1540">
        <f t="shared" si="15"/>
        <v>2400</v>
      </c>
      <c r="F118" s="1930">
        <f t="shared" si="6"/>
        <v>2400</v>
      </c>
      <c r="G118" s="1790">
        <f t="shared" si="16"/>
        <v>0</v>
      </c>
    </row>
    <row r="119" spans="1:7" x14ac:dyDescent="0.25">
      <c r="A119" s="1938" t="s">
        <v>2248</v>
      </c>
      <c r="B119" s="1941" t="s">
        <v>2249</v>
      </c>
      <c r="C119" s="1940" t="s">
        <v>2289</v>
      </c>
      <c r="D119" s="1840">
        <v>3694</v>
      </c>
      <c r="E119" s="1540">
        <f t="shared" si="15"/>
        <v>3694</v>
      </c>
      <c r="F119" s="1930">
        <f t="shared" si="6"/>
        <v>3694</v>
      </c>
      <c r="G119" s="1790">
        <f t="shared" si="16"/>
        <v>0</v>
      </c>
    </row>
    <row r="120" spans="1:7" x14ac:dyDescent="0.25">
      <c r="A120" s="1938" t="s">
        <v>2248</v>
      </c>
      <c r="B120" s="1941" t="s">
        <v>2249</v>
      </c>
      <c r="C120" s="1940" t="s">
        <v>2289</v>
      </c>
      <c r="D120" s="1840">
        <v>18093</v>
      </c>
      <c r="E120" s="1540">
        <f t="shared" si="15"/>
        <v>18093</v>
      </c>
      <c r="F120" s="1930">
        <f t="shared" si="6"/>
        <v>18093</v>
      </c>
      <c r="G120" s="1790">
        <f t="shared" si="16"/>
        <v>0</v>
      </c>
    </row>
    <row r="121" spans="1:7" x14ac:dyDescent="0.25">
      <c r="A121" s="1938" t="s">
        <v>2171</v>
      </c>
      <c r="B121" s="1941" t="s">
        <v>2283</v>
      </c>
      <c r="C121" s="1940" t="s">
        <v>2290</v>
      </c>
      <c r="D121" s="1840">
        <v>1700</v>
      </c>
      <c r="E121" s="1540">
        <f t="shared" si="15"/>
        <v>1700</v>
      </c>
      <c r="F121" s="1930">
        <v>1700</v>
      </c>
      <c r="G121" s="1790">
        <f t="shared" si="16"/>
        <v>0</v>
      </c>
    </row>
    <row r="122" spans="1:7" x14ac:dyDescent="0.25">
      <c r="A122" s="1938" t="s">
        <v>2248</v>
      </c>
      <c r="B122" s="1941" t="s">
        <v>2249</v>
      </c>
      <c r="C122" s="1940" t="s">
        <v>2291</v>
      </c>
      <c r="D122" s="1840">
        <v>350</v>
      </c>
      <c r="E122" s="1540">
        <f t="shared" si="15"/>
        <v>350</v>
      </c>
      <c r="F122" s="1930">
        <f t="shared" si="6"/>
        <v>350</v>
      </c>
      <c r="G122" s="1790">
        <f t="shared" si="16"/>
        <v>0</v>
      </c>
    </row>
    <row r="123" spans="1:7" x14ac:dyDescent="0.25">
      <c r="A123" s="1938" t="s">
        <v>2172</v>
      </c>
      <c r="B123" s="1941" t="s">
        <v>2194</v>
      </c>
      <c r="C123" s="1940" t="s">
        <v>2292</v>
      </c>
      <c r="D123" s="1840">
        <v>300</v>
      </c>
      <c r="E123" s="1540">
        <f t="shared" si="15"/>
        <v>300</v>
      </c>
      <c r="F123" s="1930">
        <f t="shared" si="6"/>
        <v>300</v>
      </c>
      <c r="G123" s="1790">
        <f t="shared" si="16"/>
        <v>0</v>
      </c>
    </row>
    <row r="124" spans="1:7" x14ac:dyDescent="0.25">
      <c r="A124" s="1938" t="s">
        <v>2171</v>
      </c>
      <c r="B124" s="1941" t="s">
        <v>2173</v>
      </c>
      <c r="C124" s="1940" t="s">
        <v>2293</v>
      </c>
      <c r="D124" s="1840">
        <v>1346.5</v>
      </c>
      <c r="E124" s="1540">
        <f t="shared" si="15"/>
        <v>1346.5</v>
      </c>
      <c r="F124" s="1930">
        <f t="shared" si="6"/>
        <v>1346.5</v>
      </c>
      <c r="G124" s="1790">
        <f t="shared" si="16"/>
        <v>0</v>
      </c>
    </row>
    <row r="125" spans="1:7" x14ac:dyDescent="0.25">
      <c r="A125" s="1938" t="s">
        <v>2172</v>
      </c>
      <c r="B125" s="1941" t="s">
        <v>2194</v>
      </c>
      <c r="C125" s="1940" t="s">
        <v>2294</v>
      </c>
      <c r="D125" s="1840">
        <v>1170</v>
      </c>
      <c r="E125" s="1540">
        <f t="shared" si="15"/>
        <v>1170</v>
      </c>
      <c r="F125" s="1930">
        <f t="shared" si="6"/>
        <v>1170</v>
      </c>
      <c r="G125" s="1790">
        <f t="shared" si="16"/>
        <v>0</v>
      </c>
    </row>
    <row r="126" spans="1:7" x14ac:dyDescent="0.25">
      <c r="A126" s="1938" t="s">
        <v>2172</v>
      </c>
      <c r="B126" s="1941" t="s">
        <v>2194</v>
      </c>
      <c r="C126" s="1940" t="s">
        <v>2295</v>
      </c>
      <c r="D126" s="1840">
        <v>1000</v>
      </c>
      <c r="E126" s="1540">
        <f t="shared" si="15"/>
        <v>1000</v>
      </c>
      <c r="F126" s="1930">
        <f t="shared" si="6"/>
        <v>1000</v>
      </c>
      <c r="G126" s="1790">
        <f t="shared" si="16"/>
        <v>0</v>
      </c>
    </row>
    <row r="127" spans="1:7" x14ac:dyDescent="0.25">
      <c r="A127" s="1938" t="s">
        <v>2172</v>
      </c>
      <c r="B127" s="1941" t="s">
        <v>2283</v>
      </c>
      <c r="C127" s="1940" t="s">
        <v>2296</v>
      </c>
      <c r="D127" s="1840">
        <v>5945</v>
      </c>
      <c r="E127" s="1540">
        <f t="shared" ref="E127:E135" si="17">IF(D127&lt;=25000,D127,IF(D127&gt;25000,25000,0))</f>
        <v>5945</v>
      </c>
      <c r="F127" s="1930">
        <v>5945</v>
      </c>
      <c r="G127" s="1790">
        <f t="shared" ref="G127:G135" si="18">IF(F127=0,0,D127-F127)</f>
        <v>0</v>
      </c>
    </row>
    <row r="128" spans="1:7" x14ac:dyDescent="0.25">
      <c r="A128" s="1938" t="s">
        <v>2172</v>
      </c>
      <c r="B128" s="1941" t="s">
        <v>2194</v>
      </c>
      <c r="C128" s="1940" t="s">
        <v>2297</v>
      </c>
      <c r="D128" s="1840">
        <v>5200</v>
      </c>
      <c r="E128" s="1540">
        <f t="shared" si="17"/>
        <v>5200</v>
      </c>
      <c r="F128" s="1930">
        <f t="shared" si="6"/>
        <v>5200</v>
      </c>
      <c r="G128" s="1790">
        <f t="shared" si="18"/>
        <v>0</v>
      </c>
    </row>
    <row r="129" spans="1:7" x14ac:dyDescent="0.25">
      <c r="A129" s="1938" t="s">
        <v>2171</v>
      </c>
      <c r="B129" s="1941" t="s">
        <v>2173</v>
      </c>
      <c r="C129" s="1940" t="s">
        <v>2298</v>
      </c>
      <c r="D129" s="1840">
        <v>2343.75</v>
      </c>
      <c r="E129" s="1540">
        <f t="shared" si="17"/>
        <v>2343.75</v>
      </c>
      <c r="F129" s="1930">
        <f t="shared" si="6"/>
        <v>2343.75</v>
      </c>
      <c r="G129" s="1790">
        <f t="shared" si="18"/>
        <v>0</v>
      </c>
    </row>
    <row r="130" spans="1:7" x14ac:dyDescent="0.25">
      <c r="A130" s="1938" t="s">
        <v>2172</v>
      </c>
      <c r="B130" s="1941" t="s">
        <v>2194</v>
      </c>
      <c r="C130" s="1940" t="s">
        <v>2299</v>
      </c>
      <c r="D130" s="1840">
        <v>3600</v>
      </c>
      <c r="E130" s="1540">
        <f t="shared" si="17"/>
        <v>3600</v>
      </c>
      <c r="F130" s="1930">
        <f t="shared" si="6"/>
        <v>3600</v>
      </c>
      <c r="G130" s="1790">
        <f t="shared" si="18"/>
        <v>0</v>
      </c>
    </row>
    <row r="131" spans="1:7" x14ac:dyDescent="0.25">
      <c r="A131" s="1938" t="s">
        <v>2171</v>
      </c>
      <c r="B131" s="1941" t="s">
        <v>2173</v>
      </c>
      <c r="C131" s="1940" t="s">
        <v>2300</v>
      </c>
      <c r="D131" s="1840">
        <v>675</v>
      </c>
      <c r="E131" s="1540">
        <f t="shared" si="17"/>
        <v>675</v>
      </c>
      <c r="F131" s="1930">
        <f t="shared" si="6"/>
        <v>675</v>
      </c>
      <c r="G131" s="1790">
        <f t="shared" si="18"/>
        <v>0</v>
      </c>
    </row>
    <row r="132" spans="1:7" x14ac:dyDescent="0.25">
      <c r="A132" s="1938" t="s">
        <v>2172</v>
      </c>
      <c r="B132" s="1941" t="s">
        <v>2194</v>
      </c>
      <c r="C132" s="1940" t="s">
        <v>2300</v>
      </c>
      <c r="D132" s="1840">
        <v>9000</v>
      </c>
      <c r="E132" s="1540">
        <f t="shared" si="17"/>
        <v>9000</v>
      </c>
      <c r="F132" s="1930">
        <f t="shared" si="6"/>
        <v>9000</v>
      </c>
      <c r="G132" s="1790">
        <f t="shared" si="18"/>
        <v>0</v>
      </c>
    </row>
    <row r="133" spans="1:7" x14ac:dyDescent="0.25">
      <c r="A133" s="1938" t="s">
        <v>2171</v>
      </c>
      <c r="B133" s="1941" t="s">
        <v>2173</v>
      </c>
      <c r="C133" s="1940" t="s">
        <v>2301</v>
      </c>
      <c r="D133" s="1840">
        <v>19751.91</v>
      </c>
      <c r="E133" s="1540">
        <f t="shared" si="17"/>
        <v>19751.91</v>
      </c>
      <c r="F133" s="1930">
        <f t="shared" si="6"/>
        <v>19751.91</v>
      </c>
      <c r="G133" s="1790">
        <f t="shared" si="18"/>
        <v>0</v>
      </c>
    </row>
    <row r="134" spans="1:7" x14ac:dyDescent="0.25">
      <c r="A134" s="1938" t="s">
        <v>2241</v>
      </c>
      <c r="B134" s="1941" t="s">
        <v>2242</v>
      </c>
      <c r="C134" s="1940" t="s">
        <v>2302</v>
      </c>
      <c r="D134" s="1840">
        <v>21818</v>
      </c>
      <c r="E134" s="1540">
        <f t="shared" si="17"/>
        <v>21818</v>
      </c>
      <c r="F134" s="1930">
        <f t="shared" si="6"/>
        <v>21818</v>
      </c>
      <c r="G134" s="1790">
        <f t="shared" si="18"/>
        <v>0</v>
      </c>
    </row>
    <row r="135" spans="1:7" x14ac:dyDescent="0.25">
      <c r="A135" s="1938" t="s">
        <v>2303</v>
      </c>
      <c r="B135" s="1941" t="s">
        <v>2304</v>
      </c>
      <c r="C135" s="1940" t="s">
        <v>2305</v>
      </c>
      <c r="D135" s="1840">
        <v>17000</v>
      </c>
      <c r="E135" s="1540">
        <f t="shared" si="17"/>
        <v>17000</v>
      </c>
      <c r="F135" s="1930">
        <v>17000</v>
      </c>
      <c r="G135" s="1790">
        <f t="shared" si="18"/>
        <v>0</v>
      </c>
    </row>
    <row r="136" spans="1:7" x14ac:dyDescent="0.25">
      <c r="A136" s="1938" t="s">
        <v>2248</v>
      </c>
      <c r="B136" s="1941" t="s">
        <v>2249</v>
      </c>
      <c r="C136" s="1940" t="s">
        <v>2306</v>
      </c>
      <c r="D136" s="1840">
        <v>28548</v>
      </c>
      <c r="E136" s="1540">
        <f t="shared" ref="E136:E146" si="19">IF(D136&lt;=25000,D136,IF(D136&gt;25000,25000,0))</f>
        <v>25000</v>
      </c>
      <c r="F136" s="1930">
        <f t="shared" si="6"/>
        <v>25000</v>
      </c>
      <c r="G136" s="1790">
        <f t="shared" ref="G136:G146" si="20">IF(F136=0,0,D136-F136)</f>
        <v>3548</v>
      </c>
    </row>
    <row r="137" spans="1:7" x14ac:dyDescent="0.25">
      <c r="A137" s="1938" t="s">
        <v>2248</v>
      </c>
      <c r="B137" s="1941" t="s">
        <v>2249</v>
      </c>
      <c r="C137" s="1940" t="s">
        <v>2307</v>
      </c>
      <c r="D137" s="1840">
        <v>3000</v>
      </c>
      <c r="E137" s="1540">
        <f t="shared" si="19"/>
        <v>3000</v>
      </c>
      <c r="F137" s="1930">
        <f t="shared" si="6"/>
        <v>3000</v>
      </c>
      <c r="G137" s="1790">
        <f t="shared" si="20"/>
        <v>0</v>
      </c>
    </row>
    <row r="138" spans="1:7" x14ac:dyDescent="0.25">
      <c r="A138" s="1938" t="s">
        <v>2248</v>
      </c>
      <c r="B138" s="1941" t="s">
        <v>2249</v>
      </c>
      <c r="C138" s="1940" t="s">
        <v>2308</v>
      </c>
      <c r="D138" s="1840">
        <v>300</v>
      </c>
      <c r="E138" s="1540">
        <f t="shared" si="19"/>
        <v>300</v>
      </c>
      <c r="F138" s="1930">
        <f t="shared" si="6"/>
        <v>300</v>
      </c>
      <c r="G138" s="1790">
        <f t="shared" si="20"/>
        <v>0</v>
      </c>
    </row>
    <row r="139" spans="1:7" x14ac:dyDescent="0.25">
      <c r="A139" s="1938" t="s">
        <v>2229</v>
      </c>
      <c r="B139" s="1941" t="s">
        <v>2230</v>
      </c>
      <c r="C139" s="1940" t="s">
        <v>2232</v>
      </c>
      <c r="D139" s="1840">
        <v>30000</v>
      </c>
      <c r="E139" s="1540">
        <f t="shared" si="19"/>
        <v>25000</v>
      </c>
      <c r="F139" s="1930">
        <f t="shared" si="6"/>
        <v>25000</v>
      </c>
      <c r="G139" s="1790">
        <f t="shared" si="20"/>
        <v>5000</v>
      </c>
    </row>
    <row r="140" spans="1:7" x14ac:dyDescent="0.25">
      <c r="A140" s="1938" t="s">
        <v>2253</v>
      </c>
      <c r="B140" s="1941" t="s">
        <v>2254</v>
      </c>
      <c r="C140" s="1940" t="s">
        <v>2309</v>
      </c>
      <c r="D140" s="1840">
        <v>82500</v>
      </c>
      <c r="E140" s="1540">
        <f t="shared" si="19"/>
        <v>25000</v>
      </c>
      <c r="F140" s="1930">
        <f t="shared" si="6"/>
        <v>25000</v>
      </c>
      <c r="G140" s="1790">
        <f t="shared" si="20"/>
        <v>57500</v>
      </c>
    </row>
    <row r="141" spans="1:7" x14ac:dyDescent="0.25">
      <c r="A141" s="1938" t="s">
        <v>2253</v>
      </c>
      <c r="B141" s="1941" t="s">
        <v>2254</v>
      </c>
      <c r="C141" s="1940" t="s">
        <v>2310</v>
      </c>
      <c r="D141" s="1840">
        <v>29840</v>
      </c>
      <c r="E141" s="1540">
        <f t="shared" si="19"/>
        <v>25000</v>
      </c>
      <c r="F141" s="1930">
        <f t="shared" si="6"/>
        <v>25000</v>
      </c>
      <c r="G141" s="1790">
        <f t="shared" si="20"/>
        <v>4840</v>
      </c>
    </row>
    <row r="142" spans="1:7" x14ac:dyDescent="0.25">
      <c r="A142" s="1938" t="s">
        <v>2253</v>
      </c>
      <c r="B142" s="1941" t="s">
        <v>2254</v>
      </c>
      <c r="C142" s="1940" t="s">
        <v>2311</v>
      </c>
      <c r="D142" s="1840">
        <v>13344</v>
      </c>
      <c r="E142" s="1540">
        <f t="shared" si="19"/>
        <v>13344</v>
      </c>
      <c r="F142" s="1930">
        <f t="shared" si="6"/>
        <v>13344</v>
      </c>
      <c r="G142" s="1790">
        <f t="shared" si="20"/>
        <v>0</v>
      </c>
    </row>
    <row r="143" spans="1:7" x14ac:dyDescent="0.25">
      <c r="A143" s="1938" t="s">
        <v>2253</v>
      </c>
      <c r="B143" s="1941" t="s">
        <v>2254</v>
      </c>
      <c r="C143" s="1940" t="s">
        <v>2312</v>
      </c>
      <c r="D143" s="1840">
        <v>72262</v>
      </c>
      <c r="E143" s="1540">
        <f t="shared" si="19"/>
        <v>25000</v>
      </c>
      <c r="F143" s="1930">
        <f t="shared" si="6"/>
        <v>25000</v>
      </c>
      <c r="G143" s="1790">
        <f t="shared" si="20"/>
        <v>47262</v>
      </c>
    </row>
    <row r="144" spans="1:7" x14ac:dyDescent="0.25">
      <c r="A144" s="1938" t="s">
        <v>2253</v>
      </c>
      <c r="B144" s="1941" t="s">
        <v>2254</v>
      </c>
      <c r="C144" s="1940" t="s">
        <v>2313</v>
      </c>
      <c r="D144" s="1840">
        <v>6322</v>
      </c>
      <c r="E144" s="1540">
        <f t="shared" si="19"/>
        <v>6322</v>
      </c>
      <c r="F144" s="1930">
        <f t="shared" si="6"/>
        <v>6322</v>
      </c>
      <c r="G144" s="1790">
        <f t="shared" si="20"/>
        <v>0</v>
      </c>
    </row>
    <row r="145" spans="1:7" x14ac:dyDescent="0.25">
      <c r="A145" s="1938" t="s">
        <v>2253</v>
      </c>
      <c r="B145" s="1941" t="s">
        <v>2254</v>
      </c>
      <c r="C145" s="1940" t="s">
        <v>2314</v>
      </c>
      <c r="D145" s="1840">
        <v>9425</v>
      </c>
      <c r="E145" s="1540">
        <f t="shared" si="19"/>
        <v>9425</v>
      </c>
      <c r="F145" s="1930">
        <f t="shared" si="6"/>
        <v>9425</v>
      </c>
      <c r="G145" s="1790">
        <f t="shared" si="20"/>
        <v>0</v>
      </c>
    </row>
    <row r="146" spans="1:7" x14ac:dyDescent="0.25">
      <c r="A146" s="1938" t="s">
        <v>2260</v>
      </c>
      <c r="B146" s="1941" t="s">
        <v>2261</v>
      </c>
      <c r="C146" s="1940" t="s">
        <v>2315</v>
      </c>
      <c r="D146" s="1840">
        <v>179487</v>
      </c>
      <c r="E146" s="1540">
        <f t="shared" si="19"/>
        <v>25000</v>
      </c>
      <c r="F146" s="1930">
        <f t="shared" si="6"/>
        <v>25000</v>
      </c>
      <c r="G146" s="1790">
        <f t="shared" si="20"/>
        <v>154487</v>
      </c>
    </row>
    <row r="147" spans="1:7" x14ac:dyDescent="0.25">
      <c r="A147" s="1653"/>
      <c r="B147" s="1664"/>
      <c r="C147" s="1654"/>
      <c r="D147" s="1840"/>
      <c r="E147" s="1540">
        <f t="shared" si="2"/>
        <v>0</v>
      </c>
      <c r="F147" s="1930">
        <f t="shared" si="6"/>
        <v>0</v>
      </c>
      <c r="G147" s="1790">
        <f t="shared" si="3"/>
        <v>0</v>
      </c>
    </row>
    <row r="148" spans="1:7" x14ac:dyDescent="0.25">
      <c r="A148" s="1793" t="s">
        <v>156</v>
      </c>
      <c r="B148" s="1794"/>
      <c r="C148" s="1795"/>
      <c r="D148" s="1791">
        <f>SUM(D18:D147)</f>
        <v>3804715.16</v>
      </c>
      <c r="E148" s="1541">
        <f t="shared" si="0"/>
        <v>25000</v>
      </c>
      <c r="F148" s="1928">
        <f>SUM(F18:F147)</f>
        <v>1271988.1599999999</v>
      </c>
      <c r="G148" s="1792">
        <f>SUM(G18:G147)</f>
        <v>2532727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sheetPr>
  <dimension ref="A1:I46"/>
  <sheetViews>
    <sheetView showGridLines="0" defaultGridColor="0" topLeftCell="A25"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88" t="s">
        <v>1972</v>
      </c>
      <c r="B11" s="2289"/>
      <c r="C11" s="2289"/>
      <c r="D11" s="2290"/>
      <c r="E11" s="977">
        <v>292630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43222106</v>
      </c>
      <c r="F19" s="1796"/>
      <c r="G19" s="1798">
        <f>'Expenditures 15-22'!K33-SUM('Expenditures 15-22'!G33,'Expenditures 15-22'!I33)+'Expenditures 15-22'!D229</f>
        <v>43222106</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5438301</v>
      </c>
      <c r="F21" s="1799"/>
      <c r="G21" s="1802">
        <f>'Expenditures 15-22'!K42-SUM('Expenditures 15-22'!G42,'Expenditures 15-22'!I42)+'Expenditures 15-22'!K120-SUM('Expenditures 15-22'!G120,'Expenditures 15-22'!I120)+'Expenditures 15-22'!K180-SUM('Expenditures 15-22'!G180,'Expenditures 15-22'!I180)+'Expenditures 15-22'!D238</f>
        <v>5438301</v>
      </c>
      <c r="H21" s="987"/>
      <c r="I21" s="162"/>
    </row>
    <row r="22" spans="1:9" s="668" customFormat="1" ht="12" customHeight="1" x14ac:dyDescent="0.2">
      <c r="A22" s="994" t="s">
        <v>564</v>
      </c>
      <c r="B22" s="995"/>
      <c r="C22" s="993">
        <v>2200</v>
      </c>
      <c r="D22" s="1799"/>
      <c r="E22" s="1801">
        <f>'Expenditures 15-22'!K47-SUM('Expenditures 15-22'!G47,'Expenditures 15-22'!I47)+'Expenditures 15-22'!D243</f>
        <v>1975963</v>
      </c>
      <c r="F22" s="1799"/>
      <c r="G22" s="1802">
        <f>'Expenditures 15-22'!K47-SUM('Expenditures 15-22'!G47,'Expenditures 15-22'!I47)+'Expenditures 15-22'!D243</f>
        <v>1975963</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1566085</v>
      </c>
      <c r="F23" s="1799"/>
      <c r="G23" s="1801">
        <f>'Expenditures 15-22'!K53-SUM('Expenditures 15-22'!G53,'Expenditures 15-22'!I53)+'Expenditures 15-22'!D257+'Expenditures 15-22'!K330-SUM('Expenditures 15-22'!G330,'Expenditures 15-22'!I330)</f>
        <v>1566085</v>
      </c>
      <c r="H23" s="987"/>
      <c r="I23" s="162"/>
    </row>
    <row r="24" spans="1:9" s="668" customFormat="1" ht="12" customHeight="1" x14ac:dyDescent="0.2">
      <c r="A24" s="994" t="s">
        <v>566</v>
      </c>
      <c r="B24" s="995"/>
      <c r="C24" s="993">
        <v>2400</v>
      </c>
      <c r="D24" s="1799"/>
      <c r="E24" s="1801">
        <f>'Expenditures 15-22'!K57-SUM('Expenditures 15-22'!G57,'Expenditures 15-22'!I57)+'Expenditures 15-22'!D261</f>
        <v>3685197</v>
      </c>
      <c r="F24" s="1799"/>
      <c r="G24" s="1802">
        <f>'Expenditures 15-22'!K57-SUM('Expenditures 15-22'!G57,'Expenditures 15-22'!I57)+'Expenditures 15-22'!D261</f>
        <v>3685197</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213592</v>
      </c>
      <c r="E26" s="1801">
        <f>'Expenditures 15-22'!K122-SUM('Expenditures 15-22'!G122,'Expenditures 15-22'!I122)+E7</f>
        <v>0</v>
      </c>
      <c r="F26" s="1801">
        <f>'Expenditures 15-22'!K59-SUM('Expenditures 15-22'!G59,'Expenditures 15-22'!I59)+'Expenditures 15-22'!D263-E7</f>
        <v>213592</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342500</v>
      </c>
      <c r="E27" s="1801">
        <f>E8</f>
        <v>0</v>
      </c>
      <c r="F27" s="1801">
        <f>'Expenditures 15-22'!K60-SUM('Expenditures 15-22'!G60,'Expenditures 15-22'!I60)+'Expenditures 15-22'!D264-E8</f>
        <v>342500</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6107426</v>
      </c>
      <c r="F28" s="1803">
        <f>'Expenditures 15-22'!K61-SUM('Expenditures 15-22'!G61,'Expenditures 15-22'!I61)+'Expenditures 15-22'!K124-SUM('Expenditures 15-22'!G124,'Expenditures 15-22'!I124)+'Expenditures 15-22'!D266-E9</f>
        <v>6107426</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1711767</v>
      </c>
      <c r="F29" s="1799"/>
      <c r="G29" s="1802">
        <f>'Expenditures 15-22'!K62-SUM('Expenditures 15-22'!G62,'Expenditures 15-22'!I62)+'Expenditures 15-22'!K125-SUM('Expenditures 15-22'!G125,'Expenditures 15-22'!I125)+'Expenditures 15-22'!K182-SUM('Expenditures 15-22'!G182,'Expenditures 15-22'!I182)+'Expenditures 15-22'!D267</f>
        <v>1711767</v>
      </c>
      <c r="H29" s="985"/>
    </row>
    <row r="30" spans="1:9" ht="12" customHeight="1" x14ac:dyDescent="0.2">
      <c r="A30" s="994" t="s">
        <v>100</v>
      </c>
      <c r="B30" s="997"/>
      <c r="C30" s="993">
        <v>2560</v>
      </c>
      <c r="D30" s="1799"/>
      <c r="E30" s="1801">
        <f>'Expenditures 15-22'!K63-SUM('Expenditures 15-22'!G63,'Expenditures 15-22'!I63)+'Expenditures 15-22'!D268-E10</f>
        <v>3070102</v>
      </c>
      <c r="F30" s="1799"/>
      <c r="G30" s="1801">
        <f>'Expenditures 15-22'!K63-SUM('Expenditures 15-22'!G63,'Expenditures 15-22'!I63)+'Expenditures 15-22'!D268-E10</f>
        <v>3070102</v>
      </c>
    </row>
    <row r="31" spans="1:9" ht="12" customHeight="1" x14ac:dyDescent="0.2">
      <c r="A31" s="994" t="s">
        <v>101</v>
      </c>
      <c r="B31" s="997"/>
      <c r="C31" s="993">
        <v>2570</v>
      </c>
      <c r="D31" s="1801">
        <f>'Expenditures 15-22'!K64-SUM('Expenditures 15-22'!G64,'Expenditures 15-22'!I64)+'Expenditures 15-22'!D269-E12</f>
        <v>18088</v>
      </c>
      <c r="E31" s="1801">
        <f>E12</f>
        <v>0</v>
      </c>
      <c r="F31" s="1801">
        <f>'Expenditures 15-22'!K64-SUM('Expenditures 15-22'!G64,'Expenditures 15-22'!I64)+'Expenditures 15-22'!D269-E12</f>
        <v>18088</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117879</v>
      </c>
      <c r="F35" s="1799"/>
      <c r="G35" s="1801">
        <f>'Expenditures 15-22'!K69-SUM('Expenditures 15-22'!G69,'Expenditures 15-22'!I69)+'Expenditures 15-22'!D274</f>
        <v>117879</v>
      </c>
    </row>
    <row r="36" spans="1:7" ht="12" customHeight="1" x14ac:dyDescent="0.2">
      <c r="A36" s="994" t="s">
        <v>403</v>
      </c>
      <c r="B36" s="997"/>
      <c r="C36" s="993">
        <v>2640</v>
      </c>
      <c r="D36" s="1801">
        <f>'Expenditures 15-22'!K70-SUM('Expenditures 15-22'!G70,'Expenditures 15-22'!I70)+'Expenditures 15-22'!D275-E13</f>
        <v>619146</v>
      </c>
      <c r="E36" s="1801">
        <f>E13</f>
        <v>0</v>
      </c>
      <c r="F36" s="1801">
        <f>'Expenditures 15-22'!K70-SUM('Expenditures 15-22'!G70,'Expenditures 15-22'!I70)+'Expenditures 15-22'!D275-E13</f>
        <v>619146</v>
      </c>
      <c r="G36" s="1801">
        <f>E13</f>
        <v>0</v>
      </c>
    </row>
    <row r="37" spans="1:7" ht="12" customHeight="1" x14ac:dyDescent="0.2">
      <c r="A37" s="994" t="s">
        <v>404</v>
      </c>
      <c r="B37" s="997"/>
      <c r="C37" s="993">
        <v>2660</v>
      </c>
      <c r="D37" s="1801">
        <f>'Expenditures 15-22'!K71-SUM('Expenditures 15-22'!G71,'Expenditures 15-22'!I71)+'Expenditures 15-22'!D276-E14</f>
        <v>1143816</v>
      </c>
      <c r="E37" s="1801">
        <f>E14</f>
        <v>0</v>
      </c>
      <c r="F37" s="1801">
        <f>'Expenditures 15-22'!K71-SUM('Expenditures 15-22'!G71,'Expenditures 15-22'!I71)+'Expenditures 15-22'!D276-E14</f>
        <v>1143816</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124602</v>
      </c>
      <c r="F38" s="1799"/>
      <c r="G38" s="1801">
        <f>'Expenditures 15-22'!K73-SUM('Expenditures 15-22'!G73,'Expenditures 15-22'!I73)+'Expenditures 15-22'!K128-SUM('Expenditures 15-22'!G128,'Expenditures 15-22'!I128)+'Expenditures 15-22'!K183-SUM('Expenditures 15-22'!G183,'Expenditures 15-22'!I183)+'Expenditures 15-22'!D278</f>
        <v>124602</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3458027</v>
      </c>
      <c r="F39" s="1799"/>
      <c r="G39" s="1801">
        <f>'Expenditures 15-22'!K75-SUM('Expenditures 15-22'!G75,'Expenditures 15-22'!I75)+'Expenditures 15-22'!K130-SUM('Expenditures 15-22'!G130,'Expenditures 15-22'!I130)+'Expenditures 15-22'!K185-SUM('Expenditures 15-22'!G185,'Expenditures 15-22'!I185)+'Expenditures 15-22'!D280</f>
        <v>3458027</v>
      </c>
    </row>
    <row r="40" spans="1:7" ht="12" customHeight="1" x14ac:dyDescent="0.2">
      <c r="A40" s="990" t="s">
        <v>1820</v>
      </c>
      <c r="B40" s="991"/>
      <c r="C40" s="993"/>
      <c r="D40" s="1799"/>
      <c r="E40" s="1803">
        <f>-'Contracts Paid in CY 29'!G148</f>
        <v>-2532727</v>
      </c>
      <c r="F40" s="1799"/>
      <c r="G40" s="1803">
        <f>-'Contracts Paid in CY 29'!G148</f>
        <v>-2532727</v>
      </c>
    </row>
    <row r="41" spans="1:7" ht="12" customHeight="1" x14ac:dyDescent="0.2">
      <c r="A41" s="998" t="s">
        <v>156</v>
      </c>
      <c r="B41" s="999"/>
      <c r="C41" s="1000"/>
      <c r="D41" s="1803">
        <f>SUM(D19:D39)</f>
        <v>2337142</v>
      </c>
      <c r="E41" s="1803">
        <f>SUM(E19:E40)</f>
        <v>67944728</v>
      </c>
      <c r="F41" s="1803">
        <f>SUM(F19:F39)</f>
        <v>8444568</v>
      </c>
      <c r="G41" s="1803">
        <f>SUM(G19:G40)</f>
        <v>61837302</v>
      </c>
    </row>
    <row r="42" spans="1:7" x14ac:dyDescent="0.2">
      <c r="A42" s="987"/>
      <c r="B42" s="162"/>
      <c r="C42" s="1001"/>
      <c r="D42" s="2286" t="s">
        <v>522</v>
      </c>
      <c r="E42" s="2287"/>
      <c r="F42" s="1002" t="s">
        <v>523</v>
      </c>
      <c r="G42" s="1003"/>
    </row>
    <row r="43" spans="1:7" ht="12" customHeight="1" x14ac:dyDescent="0.2">
      <c r="A43" s="987"/>
      <c r="B43" s="162"/>
      <c r="C43" s="1001"/>
      <c r="D43" s="1804" t="s">
        <v>473</v>
      </c>
      <c r="E43" s="1805">
        <f>D41</f>
        <v>2337142</v>
      </c>
      <c r="F43" s="1804" t="s">
        <v>473</v>
      </c>
      <c r="G43" s="1805">
        <f>F41</f>
        <v>8444568</v>
      </c>
    </row>
    <row r="44" spans="1:7" ht="12" customHeight="1" x14ac:dyDescent="0.2">
      <c r="A44" s="987"/>
      <c r="B44" s="162"/>
      <c r="C44" s="1001"/>
      <c r="D44" s="1804" t="s">
        <v>474</v>
      </c>
      <c r="E44" s="1805">
        <f>E41</f>
        <v>67944728</v>
      </c>
      <c r="F44" s="1804" t="s">
        <v>474</v>
      </c>
      <c r="G44" s="1805">
        <f>G41</f>
        <v>61837302</v>
      </c>
    </row>
    <row r="45" spans="1:7" ht="12" customHeight="1" x14ac:dyDescent="0.2">
      <c r="A45" s="987"/>
      <c r="B45" s="162"/>
      <c r="C45" s="162"/>
      <c r="D45" s="1806" t="s">
        <v>1006</v>
      </c>
      <c r="E45" s="1807">
        <f>(E43/E44)</f>
        <v>3.4397694549605083E-2</v>
      </c>
      <c r="F45" s="1806" t="s">
        <v>1006</v>
      </c>
      <c r="G45" s="1807">
        <f>(G43/G44)</f>
        <v>0.13656106794568754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70C0"/>
    <pageSetUpPr fitToPage="1"/>
  </sheetPr>
  <dimension ref="A1:L97"/>
  <sheetViews>
    <sheetView showGridLines="0" zoomScale="110" zoomScaleNormal="110" workbookViewId="0">
      <pane ySplit="4" topLeftCell="A5" activePane="bottomLeft" state="frozen"/>
      <selection activeCell="A47" sqref="A47"/>
      <selection pane="bottomLeft" activeCell="D26" sqref="D26"/>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05" t="s">
        <v>1379</v>
      </c>
      <c r="B1" s="2305"/>
      <c r="C1" s="2305"/>
      <c r="D1" s="2305"/>
      <c r="E1" s="2305"/>
      <c r="F1" s="2305"/>
    </row>
    <row r="2" spans="1:10" x14ac:dyDescent="0.2">
      <c r="A2" s="1883" t="s">
        <v>1908</v>
      </c>
      <c r="B2" s="1844"/>
      <c r="C2" s="1883"/>
      <c r="D2" s="1844"/>
      <c r="E2" s="1844"/>
      <c r="F2" s="1845"/>
    </row>
    <row r="3" spans="1:10" x14ac:dyDescent="0.2">
      <c r="A3" s="1883" t="s">
        <v>1973</v>
      </c>
      <c r="B3" s="1844"/>
      <c r="C3" s="1883"/>
      <c r="D3" s="1844"/>
      <c r="E3" s="1844"/>
      <c r="F3" s="1845"/>
    </row>
    <row r="4" spans="1:10" ht="3.75" customHeight="1" x14ac:dyDescent="0.2">
      <c r="A4" s="1844"/>
      <c r="B4" s="1844"/>
      <c r="C4" s="1844"/>
      <c r="D4" s="1844"/>
      <c r="E4" s="1844"/>
      <c r="F4" s="1845"/>
    </row>
    <row r="5" spans="1:10" ht="15" x14ac:dyDescent="0.25">
      <c r="A5" s="2306" t="s">
        <v>1546</v>
      </c>
      <c r="B5" s="2307"/>
      <c r="C5" s="2308"/>
      <c r="D5" s="2308"/>
      <c r="E5" s="2308"/>
      <c r="F5" s="2308"/>
    </row>
    <row r="6" spans="1:10" ht="12" customHeight="1" x14ac:dyDescent="0.25">
      <c r="A6" s="1846"/>
      <c r="B6" s="1847"/>
      <c r="C6" s="2309" t="str">
        <f>COVER!A17</f>
        <v>Rock Island SD 41</v>
      </c>
      <c r="D6" s="2309"/>
      <c r="E6" s="2309"/>
      <c r="F6" s="1848"/>
    </row>
    <row r="7" spans="1:10" ht="11.25" customHeight="1" thickBot="1" x14ac:dyDescent="0.3">
      <c r="A7" s="1846"/>
      <c r="B7" s="1847"/>
      <c r="C7" s="2310">
        <f>COVER!A13</f>
        <v>49081041025</v>
      </c>
      <c r="D7" s="2310"/>
      <c r="E7" s="2310"/>
      <c r="F7" s="1848"/>
    </row>
    <row r="8" spans="1:10" ht="25.5" customHeight="1" thickBot="1" x14ac:dyDescent="0.25">
      <c r="A8" s="1889" t="s">
        <v>1904</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t="s">
        <v>2062</v>
      </c>
      <c r="D13" s="1861" t="s">
        <v>2062</v>
      </c>
      <c r="E13" s="1864"/>
      <c r="F13" s="1863"/>
      <c r="H13" s="1874">
        <f t="shared" si="0"/>
        <v>5</v>
      </c>
      <c r="I13" s="1874">
        <f t="shared" si="1"/>
        <v>5</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c r="D26" s="1861"/>
      <c r="E26" s="1864"/>
      <c r="F26" s="1863"/>
      <c r="H26" s="1874">
        <f t="shared" si="0"/>
        <v>0</v>
      </c>
      <c r="I26" s="1874">
        <f t="shared" si="1"/>
        <v>0</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5</v>
      </c>
      <c r="I34" s="1874">
        <f>SUM(I11:I32)</f>
        <v>5</v>
      </c>
      <c r="J34" s="1874">
        <f>SUM(J11:J32)</f>
        <v>0</v>
      </c>
      <c r="K34" s="1874">
        <f>SUM(H34:J34)</f>
        <v>10</v>
      </c>
    </row>
    <row r="35" spans="1:11" ht="12" customHeight="1" x14ac:dyDescent="0.2">
      <c r="A35" s="1867" t="s">
        <v>1392</v>
      </c>
      <c r="B35" s="1868"/>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69"/>
      <c r="B39" s="1869"/>
      <c r="C39" s="1869"/>
      <c r="D39" s="1869"/>
      <c r="E39" s="1869"/>
      <c r="F39" s="1869"/>
    </row>
    <row r="40" spans="1:11" s="1866" customFormat="1" ht="12" customHeight="1" x14ac:dyDescent="0.25">
      <c r="A40" s="1870" t="s">
        <v>1391</v>
      </c>
      <c r="B40" s="1871"/>
      <c r="C40" s="2300"/>
      <c r="D40" s="2300"/>
      <c r="E40" s="2300"/>
      <c r="F40" s="2301"/>
      <c r="H40" s="1875"/>
      <c r="I40" s="1875"/>
      <c r="J40" s="1875"/>
      <c r="K40" s="1875"/>
    </row>
    <row r="41" spans="1:11" s="1866" customFormat="1" ht="12" customHeight="1" x14ac:dyDescent="0.25">
      <c r="A41" s="2302"/>
      <c r="B41" s="2303"/>
      <c r="C41" s="2303"/>
      <c r="D41" s="2303"/>
      <c r="E41" s="2303"/>
      <c r="F41" s="2304"/>
      <c r="H41" s="1875"/>
      <c r="I41" s="1875"/>
      <c r="J41" s="1875"/>
      <c r="K41" s="1875"/>
    </row>
    <row r="42" spans="1:11" s="1866" customFormat="1" ht="12" customHeight="1" x14ac:dyDescent="0.25">
      <c r="A42" s="2302"/>
      <c r="B42" s="2303"/>
      <c r="C42" s="2303"/>
      <c r="D42" s="2303"/>
      <c r="E42" s="2303"/>
      <c r="F42" s="2304"/>
      <c r="H42" s="1875"/>
      <c r="I42" s="1875"/>
      <c r="J42" s="1875"/>
      <c r="K42" s="1875"/>
    </row>
    <row r="43" spans="1:11" s="1866" customFormat="1" ht="15" x14ac:dyDescent="0.25">
      <c r="A43" s="2291"/>
      <c r="B43" s="2292"/>
      <c r="C43" s="2292"/>
      <c r="D43" s="2292"/>
      <c r="E43" s="2292"/>
      <c r="F43" s="2293"/>
      <c r="H43" s="1875"/>
      <c r="I43" s="1875"/>
      <c r="J43" s="1875"/>
      <c r="K43" s="1875"/>
    </row>
    <row r="44" spans="1:11" s="1866" customFormat="1" ht="12" hidden="1" customHeight="1" x14ac:dyDescent="0.25">
      <c r="A44" s="2291"/>
      <c r="B44" s="2292"/>
      <c r="C44" s="2292"/>
      <c r="D44" s="2292"/>
      <c r="E44" s="2292"/>
      <c r="F44" s="2293"/>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70C0"/>
  </sheetPr>
  <dimension ref="A1:Q40"/>
  <sheetViews>
    <sheetView showGridLines="0" defaultGridColor="0" topLeftCell="A13" colorId="8" zoomScale="110" zoomScaleNormal="110" workbookViewId="0">
      <selection activeCell="C28" sqref="C28:D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2"/>
      <c r="C6" s="1642"/>
      <c r="D6" s="1642"/>
      <c r="E6" s="1643"/>
      <c r="F6" s="1015"/>
      <c r="G6" s="1009"/>
      <c r="H6" s="1016" t="s">
        <v>1028</v>
      </c>
      <c r="I6" s="2318" t="str">
        <f>COVER!A17</f>
        <v>Rock Island SD 41</v>
      </c>
      <c r="J6" s="2319"/>
      <c r="Q6" s="1662"/>
    </row>
    <row r="7" spans="1:17" x14ac:dyDescent="0.2">
      <c r="A7" s="2320" t="s">
        <v>869</v>
      </c>
      <c r="B7" s="2321"/>
      <c r="C7" s="2321"/>
      <c r="D7" s="2321"/>
      <c r="E7" s="2322"/>
      <c r="F7" s="1017"/>
      <c r="G7" s="1009"/>
      <c r="H7" s="1016" t="s">
        <v>372</v>
      </c>
      <c r="I7" s="2323">
        <f>COVER!A13</f>
        <v>49081041025</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1" t="s">
        <v>1974</v>
      </c>
      <c r="F9" s="1023"/>
      <c r="G9" s="1023"/>
      <c r="H9" s="1892"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339523</v>
      </c>
      <c r="F12" s="1039"/>
      <c r="G12" s="1808">
        <f t="shared" ref="G12:G18" si="0">SUM(E12:F12)</f>
        <v>339523</v>
      </c>
      <c r="H12" s="1040">
        <v>342173</v>
      </c>
      <c r="I12" s="1039"/>
      <c r="J12" s="1808">
        <f t="shared" ref="J12:J18" si="1">SUM(H12:I12)</f>
        <v>342173</v>
      </c>
    </row>
    <row r="13" spans="1:17" ht="15" customHeight="1" x14ac:dyDescent="0.2">
      <c r="A13" s="1035">
        <v>2</v>
      </c>
      <c r="B13" s="1036" t="s">
        <v>42</v>
      </c>
      <c r="C13" s="1037"/>
      <c r="D13" s="1038">
        <v>2330</v>
      </c>
      <c r="E13" s="1808">
        <f>'Expenditures 15-22'!K51</f>
        <v>154169</v>
      </c>
      <c r="F13" s="1039"/>
      <c r="G13" s="1808">
        <f t="shared" si="0"/>
        <v>154169</v>
      </c>
      <c r="H13" s="1040">
        <v>149999</v>
      </c>
      <c r="I13" s="1039"/>
      <c r="J13" s="1808">
        <f t="shared" si="1"/>
        <v>149999</v>
      </c>
    </row>
    <row r="14" spans="1:17" ht="15" customHeight="1" x14ac:dyDescent="0.2">
      <c r="A14" s="1035">
        <v>3</v>
      </c>
      <c r="B14" s="1036" t="s">
        <v>43</v>
      </c>
      <c r="C14" s="1037"/>
      <c r="D14" s="1041">
        <v>2490</v>
      </c>
      <c r="E14" s="1808">
        <f>'Expenditures 15-22'!K56</f>
        <v>0</v>
      </c>
      <c r="F14" s="1039"/>
      <c r="G14" s="1808">
        <f t="shared" si="0"/>
        <v>0</v>
      </c>
      <c r="H14" s="1040">
        <v>0</v>
      </c>
      <c r="I14" s="1039"/>
      <c r="J14" s="1808">
        <f t="shared" si="1"/>
        <v>0</v>
      </c>
    </row>
    <row r="15" spans="1:17" ht="15" customHeight="1" x14ac:dyDescent="0.2">
      <c r="A15" s="1035">
        <v>4</v>
      </c>
      <c r="B15" s="1036" t="s">
        <v>1068</v>
      </c>
      <c r="C15" s="1037"/>
      <c r="D15" s="1038">
        <v>2510</v>
      </c>
      <c r="E15" s="1808">
        <f>'Expenditures 15-22'!K59</f>
        <v>206077</v>
      </c>
      <c r="F15" s="1808">
        <f>'Expenditures 15-22'!K122</f>
        <v>0</v>
      </c>
      <c r="G15" s="1808">
        <f t="shared" si="0"/>
        <v>206077</v>
      </c>
      <c r="H15" s="1040">
        <v>211794</v>
      </c>
      <c r="I15" s="1040"/>
      <c r="J15" s="1808">
        <f t="shared" si="1"/>
        <v>211794</v>
      </c>
    </row>
    <row r="16" spans="1:17" ht="15" customHeight="1" x14ac:dyDescent="0.2">
      <c r="A16" s="1035">
        <v>5</v>
      </c>
      <c r="B16" s="1036" t="s">
        <v>101</v>
      </c>
      <c r="C16" s="1037"/>
      <c r="D16" s="1038">
        <v>2570</v>
      </c>
      <c r="E16" s="1808">
        <f>'Expenditures 15-22'!K64</f>
        <v>7702</v>
      </c>
      <c r="F16" s="1039"/>
      <c r="G16" s="1808">
        <f t="shared" si="0"/>
        <v>7702</v>
      </c>
      <c r="H16" s="1040">
        <v>10000</v>
      </c>
      <c r="I16" s="1039"/>
      <c r="J16" s="1808">
        <f t="shared" si="1"/>
        <v>10000</v>
      </c>
    </row>
    <row r="17" spans="1:10" ht="15" customHeight="1" x14ac:dyDescent="0.2">
      <c r="A17" s="1035">
        <v>6</v>
      </c>
      <c r="B17" s="1036" t="s">
        <v>1060</v>
      </c>
      <c r="C17" s="1037"/>
      <c r="D17" s="1038">
        <v>2610</v>
      </c>
      <c r="E17" s="1808">
        <f>'Expenditures 15-22'!K67</f>
        <v>0</v>
      </c>
      <c r="F17" s="1039"/>
      <c r="G17" s="1808">
        <f t="shared" si="0"/>
        <v>0</v>
      </c>
      <c r="H17" s="1040">
        <v>0</v>
      </c>
      <c r="I17" s="1039"/>
      <c r="J17" s="1808">
        <f t="shared" si="1"/>
        <v>0</v>
      </c>
    </row>
    <row r="18" spans="1:10" ht="22.5" customHeight="1" x14ac:dyDescent="0.2">
      <c r="A18" s="1042">
        <v>7</v>
      </c>
      <c r="B18" s="2327" t="s">
        <v>7</v>
      </c>
      <c r="C18" s="2328"/>
      <c r="D18" s="2329"/>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707471</v>
      </c>
      <c r="F19" s="1810">
        <f t="shared" si="2"/>
        <v>0</v>
      </c>
      <c r="G19" s="1810">
        <f t="shared" si="2"/>
        <v>707471</v>
      </c>
      <c r="H19" s="1810">
        <f t="shared" si="2"/>
        <v>713966</v>
      </c>
      <c r="I19" s="1810">
        <f t="shared" si="2"/>
        <v>0</v>
      </c>
      <c r="J19" s="1810">
        <f t="shared" si="2"/>
        <v>713966</v>
      </c>
    </row>
    <row r="20" spans="1:10" ht="13.5" thickTop="1" x14ac:dyDescent="0.2">
      <c r="A20" s="1035">
        <v>9</v>
      </c>
      <c r="B20" s="2330" t="s">
        <v>1976</v>
      </c>
      <c r="C20" s="2330"/>
      <c r="D20" s="2331"/>
      <c r="E20" s="1046"/>
      <c r="F20" s="1046"/>
      <c r="G20" s="1046"/>
      <c r="H20" s="1046"/>
      <c r="I20" s="1046"/>
      <c r="J20" s="1811">
        <f>IF(AND(G19&gt;0,J19&gt;0),(((J19-G19)/G19)),"Enter Budget Data")</f>
        <v>9.1805883209347093E-3</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t="s">
        <v>2160</v>
      </c>
      <c r="D28" s="2334"/>
      <c r="E28" s="1054"/>
      <c r="F28" s="2334" t="s">
        <v>2159</v>
      </c>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1978</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2:B67"/>
  <sheetViews>
    <sheetView showGridLines="0" zoomScale="110" zoomScaleNormal="110" workbookViewId="0">
      <selection activeCell="B15" sqref="B15"/>
    </sheetView>
  </sheetViews>
  <sheetFormatPr defaultColWidth="9.140625" defaultRowHeight="12.75" x14ac:dyDescent="0.2"/>
  <cols>
    <col min="1" max="1" width="3" style="329" customWidth="1"/>
    <col min="2" max="2" width="101.425781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2162</v>
      </c>
    </row>
    <row r="6" spans="1:2" x14ac:dyDescent="0.2">
      <c r="A6" s="1068">
        <v>2</v>
      </c>
      <c r="B6" s="2337" t="s">
        <v>2163</v>
      </c>
    </row>
    <row r="7" spans="1:2" x14ac:dyDescent="0.2">
      <c r="A7" s="1068"/>
      <c r="B7" s="2337"/>
    </row>
    <row r="8" spans="1:2" x14ac:dyDescent="0.2">
      <c r="A8" s="1068">
        <v>3</v>
      </c>
      <c r="B8" s="1937" t="s">
        <v>2165</v>
      </c>
    </row>
    <row r="9" spans="1:2" x14ac:dyDescent="0.2">
      <c r="A9" s="1068">
        <v>4</v>
      </c>
      <c r="B9" s="329" t="s">
        <v>2164</v>
      </c>
    </row>
    <row r="10" spans="1:2" x14ac:dyDescent="0.2">
      <c r="A10" s="1068">
        <v>5</v>
      </c>
      <c r="B10" s="329" t="s">
        <v>2167</v>
      </c>
    </row>
    <row r="11" spans="1:2" x14ac:dyDescent="0.2">
      <c r="A11" s="1068">
        <v>6</v>
      </c>
      <c r="B11" s="329" t="s">
        <v>2166</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c r="B66" s="258" t="str">
        <f>COVER!A17</f>
        <v>Rock Island SD 41</v>
      </c>
    </row>
    <row r="67" spans="1:2" x14ac:dyDescent="0.2">
      <c r="B67" s="1070">
        <f>COVER!A13</f>
        <v>49081041025</v>
      </c>
    </row>
  </sheetData>
  <mergeCells count="1">
    <mergeCell ref="B6:B7"/>
  </mergeCells>
  <phoneticPr fontId="14" type="noConversion"/>
  <pageMargins left="0.2" right="0.2" top="1.17" bottom="0.75" header="0.19" footer="0.16"/>
  <pageSetup scale="74"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70C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70C0"/>
  </sheetPr>
  <dimension ref="A11:F18"/>
  <sheetViews>
    <sheetView showGridLines="0" zoomScale="110" zoomScaleNormal="110" workbookViewId="0">
      <selection activeCell="J16" sqref="J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2</xdr:col>
                <xdr:colOff>0</xdr:colOff>
                <xdr:row>3</xdr:row>
                <xdr:rowOff>0</xdr:rowOff>
              </from>
              <to>
                <xdr:col>3</xdr:col>
                <xdr:colOff>304800</xdr:colOff>
                <xdr:row>7</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4</xdr:col>
                <xdr:colOff>0</xdr:colOff>
                <xdr:row>3</xdr:row>
                <xdr:rowOff>0</xdr:rowOff>
              </from>
              <to>
                <xdr:col>5</xdr:col>
                <xdr:colOff>304800</xdr:colOff>
                <xdr:row>7</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6</xdr:col>
                <xdr:colOff>0</xdr:colOff>
                <xdr:row>3</xdr:row>
                <xdr:rowOff>0</xdr:rowOff>
              </from>
              <to>
                <xdr:col>7</xdr:col>
                <xdr:colOff>304800</xdr:colOff>
                <xdr:row>7</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8</xdr:col>
                <xdr:colOff>0</xdr:colOff>
                <xdr:row>3</xdr:row>
                <xdr:rowOff>0</xdr:rowOff>
              </from>
              <to>
                <xdr:col>9</xdr:col>
                <xdr:colOff>304800</xdr:colOff>
                <xdr:row>7</xdr:row>
                <xdr:rowOff>38100</xdr:rowOff>
              </to>
            </anchor>
          </objectPr>
        </oleObject>
      </mc:Choice>
      <mc:Fallback>
        <oleObject progId="AcroExch.Document.7"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70C0"/>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1982</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1983</v>
      </c>
      <c r="B4" s="2359"/>
      <c r="C4" s="2359"/>
      <c r="D4" s="2359"/>
      <c r="E4" s="2359"/>
      <c r="F4" s="2360"/>
      <c r="G4" s="1074"/>
      <c r="H4" s="1074"/>
    </row>
    <row r="5" spans="1:8" ht="14.25" customHeight="1" x14ac:dyDescent="0.2">
      <c r="A5" s="2361" t="s">
        <v>1979</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2">
        <f>'Acct Summary 7-8'!C8</f>
        <v>66823705</v>
      </c>
      <c r="C8" s="1812">
        <f>'Acct Summary 7-8'!D8</f>
        <v>5517656</v>
      </c>
      <c r="D8" s="1812">
        <f>'Acct Summary 7-8'!F8</f>
        <v>2111000</v>
      </c>
      <c r="E8" s="1812">
        <f>'Acct Summary 7-8'!I8</f>
        <v>278091</v>
      </c>
      <c r="F8" s="1812">
        <f>SUM(B8:E8)</f>
        <v>74730452</v>
      </c>
    </row>
    <row r="9" spans="1:8" s="1079" customFormat="1" ht="14.25" customHeight="1" thickBot="1" x14ac:dyDescent="0.25">
      <c r="A9" s="1078" t="s">
        <v>1369</v>
      </c>
      <c r="B9" s="1813">
        <f>'Acct Summary 7-8'!C17</f>
        <v>65920742</v>
      </c>
      <c r="C9" s="1813">
        <f>'Acct Summary 7-8'!D17</f>
        <v>5341418</v>
      </c>
      <c r="D9" s="1813">
        <f>'Acct Summary 7-8'!F17</f>
        <v>1617732</v>
      </c>
      <c r="E9" s="1812"/>
      <c r="F9" s="1812">
        <f>SUM(B9:E9)</f>
        <v>72879892</v>
      </c>
    </row>
    <row r="10" spans="1:8" s="1079" customFormat="1" ht="14.25" thickTop="1" thickBot="1" x14ac:dyDescent="0.25">
      <c r="A10" s="1080" t="s">
        <v>1370</v>
      </c>
      <c r="B10" s="1814">
        <f>(B8-B9)</f>
        <v>902963</v>
      </c>
      <c r="C10" s="1814">
        <f>(C8-C9)</f>
        <v>176238</v>
      </c>
      <c r="D10" s="1814">
        <f>(D8-D9)</f>
        <v>493268</v>
      </c>
      <c r="E10" s="1813">
        <f>(E8-E9)</f>
        <v>278091</v>
      </c>
      <c r="F10" s="1815">
        <f>SUM(F8-F9)</f>
        <v>1850560</v>
      </c>
    </row>
    <row r="11" spans="1:8" s="1079" customFormat="1" ht="14.25" thickTop="1" thickBot="1" x14ac:dyDescent="0.25">
      <c r="A11" s="1081" t="s">
        <v>1980</v>
      </c>
      <c r="B11" s="1816">
        <f>'Acct Summary 7-8'!C81</f>
        <v>25425966</v>
      </c>
      <c r="C11" s="1816">
        <f>'Acct Summary 7-8'!D81</f>
        <v>6091207</v>
      </c>
      <c r="D11" s="1816">
        <f>'Acct Summary 7-8'!F81</f>
        <v>2940734</v>
      </c>
      <c r="E11" s="1816">
        <f>'Acct Summary 7-8'!I81</f>
        <v>4459451</v>
      </c>
      <c r="F11" s="1817">
        <f>SUM(B11:E11)</f>
        <v>38917358</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4"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29'!D148&gt;0,"OK","PLEASE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49081041025</v>
      </c>
    </row>
    <row r="3" spans="1:2" x14ac:dyDescent="0.2">
      <c r="A3" t="s">
        <v>956</v>
      </c>
      <c r="B3" s="138" t="str">
        <f>COVER!A15</f>
        <v>Rock Island</v>
      </c>
    </row>
    <row r="4" spans="1:2" x14ac:dyDescent="0.2">
      <c r="A4" t="s">
        <v>1007</v>
      </c>
      <c r="B4" s="138" t="str">
        <f>COVER!A17</f>
        <v>Rock Island SD 41</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t="str">
        <f>COVER!T38</f>
        <v>Ms. Tammy Muerhoff</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f>COVER!T23</f>
        <v>66.004396999999997</v>
      </c>
    </row>
    <row r="16" spans="1:2" x14ac:dyDescent="0.2">
      <c r="A16" t="s">
        <v>422</v>
      </c>
      <c r="B16" s="138" t="str">
        <f>COVER!T13</f>
        <v>Bohnsack &amp; Frommelt LLP</v>
      </c>
    </row>
    <row r="17" spans="1:2" x14ac:dyDescent="0.2">
      <c r="A17" t="s">
        <v>884</v>
      </c>
      <c r="B17" s="138" t="str">
        <f>COVER!T15</f>
        <v>Sarah Bohnsack</v>
      </c>
    </row>
    <row r="18" spans="1:2" x14ac:dyDescent="0.2">
      <c r="A18" t="s">
        <v>1150</v>
      </c>
      <c r="B18" s="138" t="str">
        <f>COVER!T17</f>
        <v>1500 River Drive, Suite 200</v>
      </c>
    </row>
    <row r="19" spans="1:2" x14ac:dyDescent="0.2">
      <c r="A19" t="s">
        <v>886</v>
      </c>
      <c r="B19" s="138" t="str">
        <f>COVER!T25</f>
        <v>Sarah@governmentalservice.com</v>
      </c>
    </row>
    <row r="20" spans="1:2" x14ac:dyDescent="0.2">
      <c r="A20" t="s">
        <v>887</v>
      </c>
      <c r="B20" s="138" t="str">
        <f>COVER!T19</f>
        <v>Moline</v>
      </c>
    </row>
    <row r="21" spans="1:2" x14ac:dyDescent="0.2">
      <c r="A21" t="s">
        <v>479</v>
      </c>
      <c r="B21" s="138" t="str">
        <f>COVER!X19</f>
        <v>IL</v>
      </c>
    </row>
    <row r="22" spans="1:2" x14ac:dyDescent="0.2">
      <c r="A22" t="s">
        <v>888</v>
      </c>
      <c r="B22" s="138">
        <f>COVER!Z19</f>
        <v>61265</v>
      </c>
    </row>
    <row r="23" spans="1:2" x14ac:dyDescent="0.2">
      <c r="A23" t="s">
        <v>1152</v>
      </c>
      <c r="B23" s="138" t="str">
        <f>COVER!T21</f>
        <v>563.343.9595</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21053408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21487724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47005760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17593334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21579794</v>
      </c>
      <c r="C91" s="2" t="s">
        <v>573</v>
      </c>
      <c r="D91" s="2" t="str">
        <f t="shared" si="0"/>
        <v>Error?</v>
      </c>
    </row>
    <row r="92" spans="1:4" x14ac:dyDescent="0.2">
      <c r="A92" s="5">
        <v>31</v>
      </c>
      <c r="B92" s="138">
        <f>'Assets-Liab 5-6'!C39</f>
        <v>25425966</v>
      </c>
      <c r="D92" s="2" t="str">
        <f t="shared" si="0"/>
        <v>Error?</v>
      </c>
    </row>
    <row r="93" spans="1:4" x14ac:dyDescent="0.2">
      <c r="A93" s="5">
        <v>32</v>
      </c>
      <c r="B93" s="138">
        <f>'Assets-Liab 5-6'!C41</f>
        <v>47005760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4874276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10378258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3951363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4287051</v>
      </c>
      <c r="C122" s="2" t="s">
        <v>573</v>
      </c>
      <c r="D122" s="2" t="str">
        <f t="shared" si="0"/>
        <v>Error?</v>
      </c>
    </row>
    <row r="123" spans="1:4" x14ac:dyDescent="0.2">
      <c r="A123" s="5">
        <v>62</v>
      </c>
      <c r="B123" s="138">
        <f>'Assets-Liab 5-6'!D39</f>
        <v>5772534</v>
      </c>
      <c r="D123" s="2" t="str">
        <f t="shared" si="0"/>
        <v>Error?</v>
      </c>
    </row>
    <row r="124" spans="1:4" x14ac:dyDescent="0.2">
      <c r="A124" s="5">
        <v>63</v>
      </c>
      <c r="B124" s="138">
        <f>'Assets-Liab 5-6'!D41</f>
        <v>10378258</v>
      </c>
      <c r="C124" s="2" t="s">
        <v>573</v>
      </c>
      <c r="D124" s="2" t="str">
        <f t="shared" si="0"/>
        <v>Error?</v>
      </c>
    </row>
    <row r="125" spans="1:4" x14ac:dyDescent="0.2">
      <c r="A125" s="10">
        <v>64</v>
      </c>
      <c r="D125" s="2" t="str">
        <f t="shared" si="0"/>
        <v>OK</v>
      </c>
    </row>
    <row r="126" spans="1:4" x14ac:dyDescent="0.2">
      <c r="A126" s="5">
        <v>65</v>
      </c>
      <c r="B126" s="138">
        <f>'Assets-Liab 5-6'!E6</f>
        <v>3754678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4837630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3042022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3042022</v>
      </c>
      <c r="C139" s="2" t="s">
        <v>573</v>
      </c>
      <c r="D139" s="2" t="str">
        <f t="shared" si="1"/>
        <v>Error?</v>
      </c>
    </row>
    <row r="140" spans="1:4" x14ac:dyDescent="0.2">
      <c r="A140" s="5">
        <v>79</v>
      </c>
      <c r="B140" s="138">
        <f>'Assets-Liab 5-6'!E39</f>
        <v>1795608</v>
      </c>
      <c r="D140" s="2" t="str">
        <f t="shared" si="1"/>
        <v>Error?</v>
      </c>
    </row>
    <row r="141" spans="1:4" x14ac:dyDescent="0.2">
      <c r="A141" s="5">
        <v>80</v>
      </c>
      <c r="B141" s="138">
        <f>'Assets-Liab 5-6'!E41</f>
        <v>4837630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1262669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4715955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1732086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1775221</v>
      </c>
      <c r="C169" s="2" t="s">
        <v>573</v>
      </c>
      <c r="D169" s="2" t="str">
        <f t="shared" si="1"/>
        <v>Error?</v>
      </c>
    </row>
    <row r="170" spans="1:4" x14ac:dyDescent="0.2">
      <c r="A170" s="5">
        <v>109</v>
      </c>
      <c r="B170" s="138">
        <f>'Assets-Liab 5-6'!F39</f>
        <v>2940734</v>
      </c>
      <c r="D170" s="2" t="str">
        <f t="shared" si="1"/>
        <v>Error?</v>
      </c>
    </row>
    <row r="171" spans="1:4" x14ac:dyDescent="0.2">
      <c r="A171" s="5">
        <v>110</v>
      </c>
      <c r="B171" s="138">
        <f>'Assets-Liab 5-6'!F41</f>
        <v>4715955</v>
      </c>
      <c r="C171" s="2" t="s">
        <v>573</v>
      </c>
      <c r="D171" s="2" t="str">
        <f t="shared" si="1"/>
        <v>Error?</v>
      </c>
    </row>
    <row r="172" spans="1:4" x14ac:dyDescent="0.2">
      <c r="A172" s="10">
        <v>111</v>
      </c>
      <c r="D172" s="2" t="str">
        <f t="shared" si="1"/>
        <v>OK</v>
      </c>
    </row>
    <row r="173" spans="1:4" x14ac:dyDescent="0.2">
      <c r="A173" s="5">
        <v>112</v>
      </c>
      <c r="B173" s="138">
        <f>'Assets-Liab 5-6'!G6</f>
        <v>2695666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3837356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2179045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2416413</v>
      </c>
      <c r="C188" s="2" t="s">
        <v>573</v>
      </c>
      <c r="D188" s="2" t="str">
        <f t="shared" si="1"/>
        <v>Error?</v>
      </c>
    </row>
    <row r="189" spans="1:4" x14ac:dyDescent="0.2">
      <c r="A189" s="5">
        <v>128</v>
      </c>
      <c r="B189" s="138">
        <f>'Assets-Liab 5-6'!G39</f>
        <v>1420943</v>
      </c>
      <c r="D189" s="2" t="str">
        <f t="shared" si="1"/>
        <v>Error?</v>
      </c>
    </row>
    <row r="190" spans="1:4" x14ac:dyDescent="0.2">
      <c r="A190" s="5">
        <v>129</v>
      </c>
      <c r="B190" s="138">
        <f>'Assets-Liab 5-6'!G41</f>
        <v>3837356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2828375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297019</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847175</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2828375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2439266</v>
      </c>
      <c r="D273" s="2" t="str">
        <f t="shared" si="3"/>
        <v>Error?</v>
      </c>
    </row>
    <row r="274" spans="1:4" x14ac:dyDescent="0.2">
      <c r="A274" s="5">
        <v>213</v>
      </c>
      <c r="B274" s="138">
        <f>'Assets-Liab 5-6'!M17</f>
        <v>47806785</v>
      </c>
      <c r="D274" s="2" t="str">
        <f t="shared" si="3"/>
        <v>Error?</v>
      </c>
    </row>
    <row r="275" spans="1:4" x14ac:dyDescent="0.2">
      <c r="A275" s="5">
        <v>214</v>
      </c>
      <c r="B275" s="138">
        <f>'Assets-Liab 5-6'!M18</f>
        <v>1083006</v>
      </c>
      <c r="D275" s="2" t="str">
        <f t="shared" si="3"/>
        <v>Error?</v>
      </c>
    </row>
    <row r="276" spans="1:4" x14ac:dyDescent="0.2">
      <c r="A276" s="5">
        <v>215</v>
      </c>
      <c r="B276" s="138">
        <f>'Assets-Liab 5-6'!M19</f>
        <v>895339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53140274</v>
      </c>
      <c r="C279" s="2" t="s">
        <v>573</v>
      </c>
      <c r="D279" s="2" t="str">
        <f t="shared" si="3"/>
        <v>Error?</v>
      </c>
    </row>
    <row r="280" spans="1:4" x14ac:dyDescent="0.2">
      <c r="A280" s="5">
        <v>219</v>
      </c>
      <c r="B280" s="138">
        <f>'Assets-Liab 5-6'!M40</f>
        <v>53140274</v>
      </c>
      <c r="D280" s="2" t="str">
        <f t="shared" si="3"/>
        <v>Error?</v>
      </c>
    </row>
    <row r="281" spans="1:4" x14ac:dyDescent="0.2">
      <c r="A281" s="5">
        <v>220</v>
      </c>
      <c r="B281" s="138">
        <f>'Assets-Liab 5-6'!M41</f>
        <v>53140274</v>
      </c>
      <c r="C281" s="2" t="s">
        <v>573</v>
      </c>
      <c r="D281" s="2" t="str">
        <f t="shared" si="3"/>
        <v>Error?</v>
      </c>
    </row>
    <row r="282" spans="1:4" x14ac:dyDescent="0.2">
      <c r="A282" s="5">
        <v>221</v>
      </c>
      <c r="B282" s="138">
        <f>'Assets-Liab 5-6'!N21</f>
        <v>1795608</v>
      </c>
      <c r="D282" s="2" t="str">
        <f t="shared" si="3"/>
        <v>Error?</v>
      </c>
    </row>
    <row r="283" spans="1:4" x14ac:dyDescent="0.2">
      <c r="A283" s="5">
        <v>222</v>
      </c>
      <c r="B283" s="138">
        <f>'Assets-Liab 5-6'!N22</f>
        <v>23824392</v>
      </c>
      <c r="D283" s="2" t="str">
        <f t="shared" si="3"/>
        <v>Error?</v>
      </c>
    </row>
    <row r="284" spans="1:4" x14ac:dyDescent="0.2">
      <c r="A284" s="5">
        <v>223</v>
      </c>
      <c r="B284" s="138">
        <f>'Assets-Liab 5-6'!N23</f>
        <v>25620000</v>
      </c>
      <c r="C284" s="2" t="s">
        <v>573</v>
      </c>
      <c r="D284" s="2" t="str">
        <f t="shared" si="3"/>
        <v>Error?</v>
      </c>
    </row>
    <row r="285" spans="1:4" x14ac:dyDescent="0.2">
      <c r="A285" s="5">
        <v>224</v>
      </c>
      <c r="B285" s="138">
        <f>'Assets-Liab 5-6'!N36</f>
        <v>25620000</v>
      </c>
      <c r="D285" s="2" t="str">
        <f t="shared" si="3"/>
        <v>Error?</v>
      </c>
    </row>
    <row r="286" spans="1:4" x14ac:dyDescent="0.2">
      <c r="A286" s="10">
        <v>225</v>
      </c>
      <c r="D286" s="2" t="str">
        <f t="shared" si="3"/>
        <v>OK</v>
      </c>
    </row>
    <row r="287" spans="1:4" x14ac:dyDescent="0.2">
      <c r="A287" s="5">
        <v>226</v>
      </c>
      <c r="B287" s="138">
        <f>'Assets-Liab 5-6'!N37</f>
        <v>25620000</v>
      </c>
      <c r="C287" s="2" t="s">
        <v>573</v>
      </c>
      <c r="D287" s="2" t="str">
        <f t="shared" si="3"/>
        <v>Error?</v>
      </c>
    </row>
    <row r="288" spans="1:4" x14ac:dyDescent="0.2">
      <c r="A288" s="5">
        <v>227</v>
      </c>
      <c r="B288" s="138">
        <f>'Assets-Liab 5-6'!N41</f>
        <v>25620000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20738955</v>
      </c>
      <c r="D705" s="2" t="str">
        <f t="shared" si="10"/>
        <v>Error?</v>
      </c>
    </row>
    <row r="706" spans="1:4" x14ac:dyDescent="0.2">
      <c r="A706" s="5">
        <v>645</v>
      </c>
      <c r="B706" s="138">
        <f>'Expenditures 15-22'!C16</f>
        <v>262607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1137387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614289</v>
      </c>
      <c r="D717" s="2" t="str">
        <f t="shared" si="10"/>
        <v>Error?</v>
      </c>
    </row>
    <row r="718" spans="1:4" x14ac:dyDescent="0.2">
      <c r="A718" s="5">
        <v>657</v>
      </c>
      <c r="B718" s="138">
        <f>'Expenditures 15-22'!C14</f>
        <v>1219493</v>
      </c>
      <c r="D718" s="2" t="str">
        <f t="shared" si="10"/>
        <v>Error?</v>
      </c>
    </row>
    <row r="719" spans="1:4" x14ac:dyDescent="0.2">
      <c r="A719" s="5">
        <v>658</v>
      </c>
      <c r="B719" s="138">
        <f>'Expenditures 15-22'!C15</f>
        <v>59098</v>
      </c>
      <c r="D719" s="2" t="str">
        <f t="shared" si="10"/>
        <v>Error?</v>
      </c>
    </row>
    <row r="720" spans="1:4" x14ac:dyDescent="0.2">
      <c r="A720" s="5">
        <v>659</v>
      </c>
      <c r="B720" s="138">
        <f>'Expenditures 15-22'!C33</f>
        <v>32246033</v>
      </c>
      <c r="C720" s="2" t="s">
        <v>573</v>
      </c>
      <c r="D720" s="2" t="str">
        <f t="shared" si="10"/>
        <v>Error?</v>
      </c>
    </row>
    <row r="721" spans="1:4" x14ac:dyDescent="0.2">
      <c r="A721" s="5">
        <v>660</v>
      </c>
      <c r="B721" s="138">
        <f>'Expenditures 15-22'!C36</f>
        <v>621291</v>
      </c>
      <c r="D721" s="2" t="str">
        <f t="shared" si="10"/>
        <v>Error?</v>
      </c>
    </row>
    <row r="722" spans="1:4" x14ac:dyDescent="0.2">
      <c r="A722" s="5">
        <v>661</v>
      </c>
      <c r="B722" s="138">
        <f>'Expenditures 15-22'!C37</f>
        <v>1353850</v>
      </c>
      <c r="D722" s="2" t="str">
        <f t="shared" si="10"/>
        <v>Error?</v>
      </c>
    </row>
    <row r="723" spans="1:4" x14ac:dyDescent="0.2">
      <c r="A723" s="5">
        <v>662</v>
      </c>
      <c r="B723" s="138">
        <f>'Expenditures 15-22'!C38</f>
        <v>497106</v>
      </c>
      <c r="D723" s="2" t="str">
        <f t="shared" si="10"/>
        <v>Error?</v>
      </c>
    </row>
    <row r="724" spans="1:4" x14ac:dyDescent="0.2">
      <c r="A724" s="5">
        <v>663</v>
      </c>
      <c r="B724" s="138">
        <f>'Expenditures 15-22'!C39</f>
        <v>994687</v>
      </c>
      <c r="D724" s="2" t="str">
        <f t="shared" si="10"/>
        <v>Error?</v>
      </c>
    </row>
    <row r="725" spans="1:4" x14ac:dyDescent="0.2">
      <c r="A725" s="5">
        <v>664</v>
      </c>
      <c r="B725" s="138">
        <f>'Expenditures 15-22'!C40</f>
        <v>731997</v>
      </c>
      <c r="D725" s="2" t="str">
        <f t="shared" si="10"/>
        <v>Error?</v>
      </c>
    </row>
    <row r="726" spans="1:4" x14ac:dyDescent="0.2">
      <c r="A726" s="5">
        <v>665</v>
      </c>
      <c r="B726" s="138">
        <f>'Expenditures 15-22'!C41</f>
        <v>87785</v>
      </c>
      <c r="D726" s="2" t="str">
        <f t="shared" si="10"/>
        <v>Error?</v>
      </c>
    </row>
    <row r="727" spans="1:4" x14ac:dyDescent="0.2">
      <c r="A727" s="5">
        <v>666</v>
      </c>
      <c r="B727" s="138">
        <f>'Expenditures 15-22'!C42</f>
        <v>4286716</v>
      </c>
      <c r="C727" s="2" t="s">
        <v>573</v>
      </c>
      <c r="D727" s="2" t="str">
        <f t="shared" si="10"/>
        <v>Error?</v>
      </c>
    </row>
    <row r="728" spans="1:4" x14ac:dyDescent="0.2">
      <c r="A728" s="5">
        <v>667</v>
      </c>
      <c r="B728" s="138">
        <f>'Expenditures 15-22'!C44</f>
        <v>668557</v>
      </c>
      <c r="D728" s="2" t="str">
        <f t="shared" si="10"/>
        <v>Error?</v>
      </c>
    </row>
    <row r="729" spans="1:4" x14ac:dyDescent="0.2">
      <c r="A729" s="5">
        <v>668</v>
      </c>
      <c r="B729" s="138">
        <f>'Expenditures 15-22'!C45</f>
        <v>251822</v>
      </c>
      <c r="D729" s="2" t="str">
        <f t="shared" si="10"/>
        <v>Error?</v>
      </c>
    </row>
    <row r="730" spans="1:4" x14ac:dyDescent="0.2">
      <c r="A730" s="5">
        <v>669</v>
      </c>
      <c r="B730" s="138">
        <f>'Expenditures 15-22'!C46</f>
        <v>71009</v>
      </c>
      <c r="D730" s="2" t="str">
        <f t="shared" si="10"/>
        <v>Error?</v>
      </c>
    </row>
    <row r="731" spans="1:4" x14ac:dyDescent="0.2">
      <c r="A731" s="5">
        <v>670</v>
      </c>
      <c r="B731" s="138">
        <f>'Expenditures 15-22'!C47</f>
        <v>991388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250731</v>
      </c>
      <c r="D733" s="2" t="str">
        <f t="shared" si="10"/>
        <v>Error?</v>
      </c>
    </row>
    <row r="734" spans="1:4" x14ac:dyDescent="0.2">
      <c r="A734" s="5">
        <v>673</v>
      </c>
      <c r="B734" s="138">
        <f>'Expenditures 15-22'!C53</f>
        <v>370340</v>
      </c>
      <c r="C734" s="2" t="s">
        <v>573</v>
      </c>
      <c r="D734" s="2" t="str">
        <f t="shared" si="10"/>
        <v>Error?</v>
      </c>
    </row>
    <row r="735" spans="1:4" x14ac:dyDescent="0.2">
      <c r="A735" s="5">
        <v>674</v>
      </c>
      <c r="B735" s="138">
        <f>'Expenditures 15-22'!C55</f>
        <v>2889000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2889000</v>
      </c>
      <c r="C737" s="2" t="s">
        <v>573</v>
      </c>
      <c r="D737" s="2" t="str">
        <f t="shared" si="10"/>
        <v>Error?</v>
      </c>
    </row>
    <row r="738" spans="1:4" x14ac:dyDescent="0.2">
      <c r="A738" s="5">
        <v>677</v>
      </c>
      <c r="B738" s="138">
        <f>'Expenditures 15-22'!C59</f>
        <v>174243</v>
      </c>
      <c r="D738" s="2" t="str">
        <f t="shared" si="10"/>
        <v>Error?</v>
      </c>
    </row>
    <row r="739" spans="1:4" x14ac:dyDescent="0.2">
      <c r="A739" s="5">
        <v>678</v>
      </c>
      <c r="B739" s="138">
        <f>'Expenditures 15-22'!C60</f>
        <v>228478</v>
      </c>
      <c r="D739" s="2" t="str">
        <f t="shared" si="10"/>
        <v>Error?</v>
      </c>
    </row>
    <row r="740" spans="1:4" x14ac:dyDescent="0.2">
      <c r="A740" s="5">
        <v>679</v>
      </c>
      <c r="B740" s="138">
        <f>'Expenditures 15-22'!C61</f>
        <v>262213</v>
      </c>
      <c r="D740" s="2" t="str">
        <f t="shared" si="10"/>
        <v>Error?</v>
      </c>
    </row>
    <row r="741" spans="1:4" x14ac:dyDescent="0.2">
      <c r="A741" s="5">
        <v>680</v>
      </c>
      <c r="B741" s="138">
        <f>'Expenditures 15-22'!C62</f>
        <v>8640</v>
      </c>
      <c r="D741" s="2" t="str">
        <f t="shared" si="10"/>
        <v>Error?</v>
      </c>
    </row>
    <row r="742" spans="1:4" x14ac:dyDescent="0.2">
      <c r="A742" s="5">
        <v>681</v>
      </c>
      <c r="B742" s="138">
        <f>'Expenditures 15-22'!C63</f>
        <v>1128673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1802247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71930</v>
      </c>
      <c r="D748" s="2" t="str">
        <f t="shared" si="10"/>
        <v>Error?</v>
      </c>
    </row>
    <row r="749" spans="1:4" x14ac:dyDescent="0.2">
      <c r="A749" s="5">
        <v>688</v>
      </c>
      <c r="B749" s="138">
        <f>'Expenditures 15-22'!C70</f>
        <v>412399</v>
      </c>
      <c r="D749" s="2" t="str">
        <f t="shared" si="10"/>
        <v>Error?</v>
      </c>
    </row>
    <row r="750" spans="1:4" x14ac:dyDescent="0.2">
      <c r="A750" s="10">
        <v>689</v>
      </c>
      <c r="D750" s="2" t="str">
        <f t="shared" si="10"/>
        <v>OK</v>
      </c>
    </row>
    <row r="751" spans="1:4" x14ac:dyDescent="0.2">
      <c r="A751" s="5">
        <v>690</v>
      </c>
      <c r="B751" s="138">
        <f>'Expenditures 15-22'!C71</f>
        <v>408556</v>
      </c>
      <c r="D751" s="2" t="str">
        <f t="shared" si="10"/>
        <v>Error?</v>
      </c>
    </row>
    <row r="752" spans="1:4" x14ac:dyDescent="0.2">
      <c r="A752" s="10">
        <v>691</v>
      </c>
      <c r="D752" s="2" t="str">
        <f t="shared" si="10"/>
        <v>OK</v>
      </c>
    </row>
    <row r="753" spans="1:4" x14ac:dyDescent="0.2">
      <c r="A753" s="5">
        <v>692</v>
      </c>
      <c r="B753" s="138">
        <f>'Expenditures 15-22'!C72</f>
        <v>892885</v>
      </c>
      <c r="C753" s="2" t="s">
        <v>573</v>
      </c>
      <c r="D753" s="2" t="str">
        <f t="shared" si="10"/>
        <v>Error?</v>
      </c>
    </row>
    <row r="754" spans="1:4" x14ac:dyDescent="0.2">
      <c r="A754" s="5">
        <v>693</v>
      </c>
      <c r="B754" s="138">
        <f>'Expenditures 15-22'!C73</f>
        <v>91212</v>
      </c>
      <c r="D754" s="2" t="str">
        <f t="shared" si="10"/>
        <v>Error?</v>
      </c>
    </row>
    <row r="755" spans="1:4" x14ac:dyDescent="0.2">
      <c r="A755" s="5">
        <v>694</v>
      </c>
      <c r="B755" s="138">
        <f>'Expenditures 15-22'!C74</f>
        <v>11323788</v>
      </c>
      <c r="C755" s="2" t="s">
        <v>573</v>
      </c>
      <c r="D755" s="2" t="str">
        <f t="shared" si="10"/>
        <v>Error?</v>
      </c>
    </row>
    <row r="756" spans="1:4" x14ac:dyDescent="0.2">
      <c r="A756" s="5">
        <v>695</v>
      </c>
      <c r="B756" s="138">
        <f>'Expenditures 15-22'!C75</f>
        <v>1818691</v>
      </c>
      <c r="D756" s="2" t="str">
        <f t="shared" si="10"/>
        <v>Error?</v>
      </c>
    </row>
    <row r="757" spans="1:4" x14ac:dyDescent="0.2">
      <c r="A757" s="5">
        <v>696</v>
      </c>
      <c r="B757" s="138">
        <f>'Expenditures 15-22'!C114</f>
        <v>45388512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4540214</v>
      </c>
      <c r="D763" s="2" t="str">
        <f t="shared" si="10"/>
        <v>Error?</v>
      </c>
    </row>
    <row r="764" spans="1:4" x14ac:dyDescent="0.2">
      <c r="A764" s="5">
        <v>703</v>
      </c>
      <c r="B764" s="138">
        <f>'Expenditures 15-22'!D16</f>
        <v>60487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264295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135137</v>
      </c>
      <c r="D775" s="2" t="str">
        <f t="shared" si="11"/>
        <v>Error?</v>
      </c>
    </row>
    <row r="776" spans="1:4" x14ac:dyDescent="0.2">
      <c r="A776" s="5">
        <v>715</v>
      </c>
      <c r="B776" s="138">
        <f>'Expenditures 15-22'!D14</f>
        <v>113503</v>
      </c>
      <c r="D776" s="2" t="str">
        <f t="shared" si="11"/>
        <v>Error?</v>
      </c>
    </row>
    <row r="777" spans="1:4" x14ac:dyDescent="0.2">
      <c r="A777" s="5">
        <v>716</v>
      </c>
      <c r="B777" s="138">
        <f>'Expenditures 15-22'!D15</f>
        <v>7394</v>
      </c>
      <c r="D777" s="2" t="str">
        <f t="shared" si="11"/>
        <v>Error?</v>
      </c>
    </row>
    <row r="778" spans="1:4" x14ac:dyDescent="0.2">
      <c r="A778" s="5">
        <v>717</v>
      </c>
      <c r="B778" s="138">
        <f>'Expenditures 15-22'!D33</f>
        <v>7086558</v>
      </c>
      <c r="C778" s="2" t="s">
        <v>573</v>
      </c>
      <c r="D778" s="2" t="str">
        <f t="shared" si="11"/>
        <v>Error?</v>
      </c>
    </row>
    <row r="779" spans="1:4" x14ac:dyDescent="0.2">
      <c r="A779" s="5">
        <v>718</v>
      </c>
      <c r="B779" s="138">
        <f>'Expenditures 15-22'!D36</f>
        <v>152829</v>
      </c>
      <c r="D779" s="2" t="str">
        <f t="shared" si="11"/>
        <v>Error?</v>
      </c>
    </row>
    <row r="780" spans="1:4" x14ac:dyDescent="0.2">
      <c r="A780" s="5">
        <v>719</v>
      </c>
      <c r="B780" s="138">
        <f>'Expenditures 15-22'!D37</f>
        <v>303588</v>
      </c>
      <c r="D780" s="2" t="str">
        <f t="shared" si="11"/>
        <v>Error?</v>
      </c>
    </row>
    <row r="781" spans="1:4" x14ac:dyDescent="0.2">
      <c r="A781" s="5">
        <v>720</v>
      </c>
      <c r="B781" s="138">
        <f>'Expenditures 15-22'!D38</f>
        <v>102018</v>
      </c>
      <c r="D781" s="2" t="str">
        <f t="shared" si="11"/>
        <v>Error?</v>
      </c>
    </row>
    <row r="782" spans="1:4" x14ac:dyDescent="0.2">
      <c r="A782" s="5">
        <v>721</v>
      </c>
      <c r="B782" s="138">
        <f>'Expenditures 15-22'!D39</f>
        <v>221845</v>
      </c>
      <c r="D782" s="2" t="str">
        <f t="shared" si="11"/>
        <v>Error?</v>
      </c>
    </row>
    <row r="783" spans="1:4" x14ac:dyDescent="0.2">
      <c r="A783" s="5">
        <v>722</v>
      </c>
      <c r="B783" s="138">
        <f>'Expenditures 15-22'!D40</f>
        <v>148959</v>
      </c>
      <c r="D783" s="2" t="str">
        <f t="shared" si="11"/>
        <v>Error?</v>
      </c>
    </row>
    <row r="784" spans="1:4" x14ac:dyDescent="0.2">
      <c r="A784" s="5">
        <v>723</v>
      </c>
      <c r="B784" s="138">
        <f>'Expenditures 15-22'!D41</f>
        <v>1189</v>
      </c>
      <c r="D784" s="2" t="str">
        <f t="shared" si="11"/>
        <v>Error?</v>
      </c>
    </row>
    <row r="785" spans="1:4" x14ac:dyDescent="0.2">
      <c r="A785" s="5">
        <v>724</v>
      </c>
      <c r="B785" s="138">
        <f>'Expenditures 15-22'!D42</f>
        <v>930428</v>
      </c>
      <c r="C785" s="2" t="s">
        <v>573</v>
      </c>
      <c r="D785" s="2" t="str">
        <f t="shared" si="11"/>
        <v>Error?</v>
      </c>
    </row>
    <row r="786" spans="1:4" x14ac:dyDescent="0.2">
      <c r="A786" s="5">
        <v>725</v>
      </c>
      <c r="B786" s="138">
        <f>'Expenditures 15-22'!D44</f>
        <v>164247</v>
      </c>
      <c r="D786" s="2" t="str">
        <f t="shared" si="11"/>
        <v>Error?</v>
      </c>
    </row>
    <row r="787" spans="1:4" x14ac:dyDescent="0.2">
      <c r="A787" s="5">
        <v>726</v>
      </c>
      <c r="B787" s="138">
        <f>'Expenditures 15-22'!D45</f>
        <v>54679</v>
      </c>
      <c r="D787" s="2" t="str">
        <f t="shared" si="11"/>
        <v>Error?</v>
      </c>
    </row>
    <row r="788" spans="1:4" x14ac:dyDescent="0.2">
      <c r="A788" s="5">
        <v>727</v>
      </c>
      <c r="B788" s="138">
        <f>'Expenditures 15-22'!D46</f>
        <v>22031</v>
      </c>
      <c r="D788" s="2" t="str">
        <f t="shared" si="11"/>
        <v>Error?</v>
      </c>
    </row>
    <row r="789" spans="1:4" x14ac:dyDescent="0.2">
      <c r="A789" s="5">
        <v>728</v>
      </c>
      <c r="B789" s="138">
        <f>'Expenditures 15-22'!D47</f>
        <v>240957</v>
      </c>
      <c r="C789" s="2" t="s">
        <v>573</v>
      </c>
      <c r="D789" s="2" t="str">
        <f t="shared" si="11"/>
        <v>Error?</v>
      </c>
    </row>
    <row r="790" spans="1:4" x14ac:dyDescent="0.2">
      <c r="A790" s="5">
        <v>729</v>
      </c>
      <c r="B790" s="138">
        <f>'Expenditures 15-22'!D49</f>
        <v>11190</v>
      </c>
      <c r="D790" s="2" t="str">
        <f t="shared" si="11"/>
        <v>Error?</v>
      </c>
    </row>
    <row r="791" spans="1:4" x14ac:dyDescent="0.2">
      <c r="A791" s="5">
        <v>730</v>
      </c>
      <c r="B791" s="138">
        <f>'Expenditures 15-22'!D50</f>
        <v>39236</v>
      </c>
      <c r="D791" s="2" t="str">
        <f t="shared" si="11"/>
        <v>Error?</v>
      </c>
    </row>
    <row r="792" spans="1:4" x14ac:dyDescent="0.2">
      <c r="A792" s="5">
        <v>731</v>
      </c>
      <c r="B792" s="138">
        <f>'Expenditures 15-22'!D53</f>
        <v>84986</v>
      </c>
      <c r="C792" s="2" t="s">
        <v>573</v>
      </c>
      <c r="D792" s="2" t="str">
        <f t="shared" si="11"/>
        <v>Error?</v>
      </c>
    </row>
    <row r="793" spans="1:4" x14ac:dyDescent="0.2">
      <c r="A793" s="5">
        <v>732</v>
      </c>
      <c r="B793" s="138">
        <f>'Expenditures 15-22'!D55</f>
        <v>632231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632231</v>
      </c>
      <c r="C795" s="2" t="s">
        <v>573</v>
      </c>
      <c r="D795" s="2" t="str">
        <f t="shared" si="11"/>
        <v>Error?</v>
      </c>
    </row>
    <row r="796" spans="1:4" x14ac:dyDescent="0.2">
      <c r="A796" s="5">
        <v>735</v>
      </c>
      <c r="B796" s="138">
        <f>'Expenditures 15-22'!D59</f>
        <v>28294</v>
      </c>
      <c r="D796" s="2" t="str">
        <f t="shared" si="11"/>
        <v>Error?</v>
      </c>
    </row>
    <row r="797" spans="1:4" x14ac:dyDescent="0.2">
      <c r="A797" s="5">
        <v>736</v>
      </c>
      <c r="B797" s="138">
        <f>'Expenditures 15-22'!D60</f>
        <v>51419</v>
      </c>
      <c r="D797" s="2" t="str">
        <f t="shared" si="11"/>
        <v>Error?</v>
      </c>
    </row>
    <row r="798" spans="1:4" x14ac:dyDescent="0.2">
      <c r="A798" s="5">
        <v>737</v>
      </c>
      <c r="B798" s="138">
        <f>'Expenditures 15-22'!D61</f>
        <v>54481</v>
      </c>
      <c r="D798" s="2" t="str">
        <f t="shared" si="11"/>
        <v>Error?</v>
      </c>
    </row>
    <row r="799" spans="1:4" x14ac:dyDescent="0.2">
      <c r="A799" s="5">
        <v>738</v>
      </c>
      <c r="B799" s="138">
        <f>'Expenditures 15-22'!D62</f>
        <v>1554</v>
      </c>
      <c r="D799" s="2" t="str">
        <f t="shared" si="11"/>
        <v>Error?</v>
      </c>
    </row>
    <row r="800" spans="1:4" x14ac:dyDescent="0.2">
      <c r="A800" s="5">
        <v>739</v>
      </c>
      <c r="B800" s="138">
        <f>'Expenditures 15-22'!D63</f>
        <v>166969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302717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9930</v>
      </c>
      <c r="D806" s="2" t="str">
        <f t="shared" si="11"/>
        <v>Error?</v>
      </c>
    </row>
    <row r="807" spans="1:4" x14ac:dyDescent="0.2">
      <c r="A807" s="5">
        <v>746</v>
      </c>
      <c r="B807" s="138">
        <f>'Expenditures 15-22'!D70</f>
        <v>60556</v>
      </c>
      <c r="D807" s="2" t="str">
        <f t="shared" si="11"/>
        <v>Error?</v>
      </c>
    </row>
    <row r="808" spans="1:4" x14ac:dyDescent="0.2">
      <c r="A808" s="10">
        <v>747</v>
      </c>
      <c r="D808" s="2" t="str">
        <f t="shared" si="11"/>
        <v>OK</v>
      </c>
    </row>
    <row r="809" spans="1:4" x14ac:dyDescent="0.2">
      <c r="A809" s="5">
        <v>748</v>
      </c>
      <c r="B809" s="138">
        <f>'Expenditures 15-22'!D71</f>
        <v>92757</v>
      </c>
      <c r="D809" s="2" t="str">
        <f t="shared" si="11"/>
        <v>Error?</v>
      </c>
    </row>
    <row r="810" spans="1:4" x14ac:dyDescent="0.2">
      <c r="A810" s="10">
        <v>749</v>
      </c>
      <c r="D810" s="2" t="str">
        <f t="shared" si="11"/>
        <v>OK</v>
      </c>
    </row>
    <row r="811" spans="1:4" x14ac:dyDescent="0.2">
      <c r="A811" s="5">
        <v>750</v>
      </c>
      <c r="B811" s="138">
        <f>'Expenditures 15-22'!D72</f>
        <v>163243</v>
      </c>
      <c r="C811" s="2" t="s">
        <v>573</v>
      </c>
      <c r="D811" s="2" t="str">
        <f t="shared" si="11"/>
        <v>Error?</v>
      </c>
    </row>
    <row r="812" spans="1:4" x14ac:dyDescent="0.2">
      <c r="A812" s="5">
        <v>751</v>
      </c>
      <c r="B812" s="138">
        <f>'Expenditures 15-22'!D73</f>
        <v>33390</v>
      </c>
      <c r="D812" s="2" t="str">
        <f t="shared" si="11"/>
        <v>Error?</v>
      </c>
    </row>
    <row r="813" spans="1:4" x14ac:dyDescent="0.2">
      <c r="A813" s="5">
        <v>752</v>
      </c>
      <c r="B813" s="138">
        <f>'Expenditures 15-22'!D74</f>
        <v>2387952</v>
      </c>
      <c r="C813" s="2" t="s">
        <v>573</v>
      </c>
      <c r="D813" s="2" t="str">
        <f t="shared" si="11"/>
        <v>Error?</v>
      </c>
    </row>
    <row r="814" spans="1:4" x14ac:dyDescent="0.2">
      <c r="A814" s="5">
        <v>753</v>
      </c>
      <c r="B814" s="138">
        <f>'Expenditures 15-22'!D75</f>
        <v>511995</v>
      </c>
      <c r="D814" s="2" t="str">
        <f t="shared" si="11"/>
        <v>Error?</v>
      </c>
    </row>
    <row r="815" spans="1:4" x14ac:dyDescent="0.2">
      <c r="A815" s="5">
        <v>754</v>
      </c>
      <c r="B815" s="138">
        <f>'Expenditures 15-22'!D114</f>
        <v>9986505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381351</v>
      </c>
      <c r="D821" s="2" t="str">
        <f t="shared" si="11"/>
        <v>Error?</v>
      </c>
    </row>
    <row r="822" spans="1:4" x14ac:dyDescent="0.2">
      <c r="A822" s="5">
        <v>761</v>
      </c>
      <c r="B822" s="138">
        <f>'Expenditures 15-22'!E16</f>
        <v>790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265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41453</v>
      </c>
      <c r="D833" s="2" t="str">
        <f t="shared" si="12"/>
        <v>Error?</v>
      </c>
    </row>
    <row r="834" spans="1:4" x14ac:dyDescent="0.2">
      <c r="A834" s="5">
        <v>773</v>
      </c>
      <c r="B834" s="138">
        <f>'Expenditures 15-22'!E14</f>
        <v>128563</v>
      </c>
      <c r="D834" s="2" t="str">
        <f t="shared" si="12"/>
        <v>Error?</v>
      </c>
    </row>
    <row r="835" spans="1:4" x14ac:dyDescent="0.2">
      <c r="A835" s="5">
        <v>774</v>
      </c>
      <c r="B835" s="138">
        <f>'Expenditures 15-22'!E15</f>
        <v>34250</v>
      </c>
      <c r="D835" s="2" t="str">
        <f t="shared" si="12"/>
        <v>Error?</v>
      </c>
    </row>
    <row r="836" spans="1:4" x14ac:dyDescent="0.2">
      <c r="A836" s="5">
        <v>775</v>
      </c>
      <c r="B836" s="138">
        <f>'Expenditures 15-22'!E33</f>
        <v>740312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504339</v>
      </c>
      <c r="D844" s="2" t="str">
        <f t="shared" si="12"/>
        <v>Error?</v>
      </c>
    </row>
    <row r="845" spans="1:4" x14ac:dyDescent="0.2">
      <c r="A845" s="5">
        <v>784</v>
      </c>
      <c r="B845" s="138">
        <f>'Expenditures 15-22'!E45</f>
        <v>21933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526272</v>
      </c>
      <c r="C847" s="2" t="s">
        <v>573</v>
      </c>
      <c r="D847" s="2" t="str">
        <f t="shared" si="12"/>
        <v>Error?</v>
      </c>
    </row>
    <row r="848" spans="1:4" x14ac:dyDescent="0.2">
      <c r="A848" s="5">
        <v>787</v>
      </c>
      <c r="B848" s="138">
        <f>'Expenditures 15-22'!E49</f>
        <v>215662</v>
      </c>
      <c r="D848" s="2" t="str">
        <f t="shared" si="12"/>
        <v>Error?</v>
      </c>
    </row>
    <row r="849" spans="1:4" x14ac:dyDescent="0.2">
      <c r="A849" s="5">
        <v>788</v>
      </c>
      <c r="B849" s="138">
        <f>'Expenditures 15-22'!E50</f>
        <v>18894</v>
      </c>
      <c r="D849" s="2" t="str">
        <f t="shared" si="12"/>
        <v>Error?</v>
      </c>
    </row>
    <row r="850" spans="1:4" x14ac:dyDescent="0.2">
      <c r="A850" s="5">
        <v>789</v>
      </c>
      <c r="B850" s="138">
        <f>'Expenditures 15-22'!E53</f>
        <v>234556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3540</v>
      </c>
      <c r="D854" s="2" t="str">
        <f t="shared" si="12"/>
        <v>Error?</v>
      </c>
    </row>
    <row r="855" spans="1:4" x14ac:dyDescent="0.2">
      <c r="A855" s="5">
        <v>794</v>
      </c>
      <c r="B855" s="138">
        <f>'Expenditures 15-22'!E60</f>
        <v>18090</v>
      </c>
      <c r="D855" s="2" t="str">
        <f t="shared" si="12"/>
        <v>Error?</v>
      </c>
    </row>
    <row r="856" spans="1:4" x14ac:dyDescent="0.2">
      <c r="A856" s="5">
        <v>795</v>
      </c>
      <c r="B856" s="138">
        <f>'Expenditures 15-22'!E61</f>
        <v>65505</v>
      </c>
      <c r="D856" s="2" t="str">
        <f t="shared" si="12"/>
        <v>Error?</v>
      </c>
    </row>
    <row r="857" spans="1:4" x14ac:dyDescent="0.2">
      <c r="A857" s="5">
        <v>796</v>
      </c>
      <c r="B857" s="138">
        <f>'Expenditures 15-22'!E62</f>
        <v>82330</v>
      </c>
      <c r="D857" s="2" t="str">
        <f t="shared" si="12"/>
        <v>Error?</v>
      </c>
    </row>
    <row r="858" spans="1:4" x14ac:dyDescent="0.2">
      <c r="A858" s="5">
        <v>797</v>
      </c>
      <c r="B858" s="138">
        <f>'Expenditures 15-22'!E63</f>
        <v>48721</v>
      </c>
      <c r="D858" s="2" t="str">
        <f t="shared" si="12"/>
        <v>Error?</v>
      </c>
    </row>
    <row r="859" spans="1:4" x14ac:dyDescent="0.2">
      <c r="A859" s="5">
        <v>798</v>
      </c>
      <c r="B859" s="138">
        <f>'Expenditures 15-22'!E64</f>
        <v>7702</v>
      </c>
      <c r="D859" s="2" t="str">
        <f t="shared" si="12"/>
        <v>Error?</v>
      </c>
    </row>
    <row r="860" spans="1:4" x14ac:dyDescent="0.2">
      <c r="A860" s="10">
        <v>799</v>
      </c>
      <c r="D860" s="2" t="str">
        <f t="shared" si="12"/>
        <v>OK</v>
      </c>
    </row>
    <row r="861" spans="1:4" x14ac:dyDescent="0.2">
      <c r="A861" s="5">
        <v>800</v>
      </c>
      <c r="B861" s="138">
        <f>'Expenditures 15-22'!E65</f>
        <v>225888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6831</v>
      </c>
      <c r="D864" s="2" t="str">
        <f t="shared" si="12"/>
        <v>Error?</v>
      </c>
    </row>
    <row r="865" spans="1:4" x14ac:dyDescent="0.2">
      <c r="A865" s="5">
        <v>804</v>
      </c>
      <c r="B865" s="138">
        <f>'Expenditures 15-22'!E70</f>
        <v>110951</v>
      </c>
      <c r="D865" s="2" t="str">
        <f t="shared" si="12"/>
        <v>Error?</v>
      </c>
    </row>
    <row r="866" spans="1:4" x14ac:dyDescent="0.2">
      <c r="A866" s="10">
        <v>805</v>
      </c>
      <c r="D866" s="2" t="str">
        <f t="shared" si="12"/>
        <v>OK</v>
      </c>
    </row>
    <row r="867" spans="1:4" x14ac:dyDescent="0.2">
      <c r="A867" s="5">
        <v>806</v>
      </c>
      <c r="B867" s="138">
        <f>'Expenditures 15-22'!E71</f>
        <v>563263</v>
      </c>
      <c r="D867" s="2" t="str">
        <f t="shared" si="12"/>
        <v>Error?</v>
      </c>
    </row>
    <row r="868" spans="1:4" x14ac:dyDescent="0.2">
      <c r="A868" s="10">
        <v>807</v>
      </c>
      <c r="D868" s="2" t="str">
        <f t="shared" si="12"/>
        <v>OK</v>
      </c>
    </row>
    <row r="869" spans="1:4" x14ac:dyDescent="0.2">
      <c r="A869" s="5">
        <v>808</v>
      </c>
      <c r="B869" s="138">
        <f>'Expenditures 15-22'!E72</f>
        <v>681045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1667761</v>
      </c>
      <c r="C871" s="2" t="s">
        <v>573</v>
      </c>
      <c r="D871" s="2" t="str">
        <f t="shared" si="12"/>
        <v>Error?</v>
      </c>
    </row>
    <row r="872" spans="1:4" x14ac:dyDescent="0.2">
      <c r="A872" s="5">
        <v>811</v>
      </c>
      <c r="B872" s="138">
        <f>'Expenditures 15-22'!E75</f>
        <v>958071</v>
      </c>
      <c r="D872" s="2" t="str">
        <f t="shared" si="12"/>
        <v>Error?</v>
      </c>
    </row>
    <row r="873" spans="1:4" x14ac:dyDescent="0.2">
      <c r="A873" s="5">
        <v>812</v>
      </c>
      <c r="B873" s="138">
        <f>'Expenditures 15-22'!E114</f>
        <v>3375354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770511</v>
      </c>
      <c r="D879" s="2" t="str">
        <f t="shared" si="12"/>
        <v>Error?</v>
      </c>
    </row>
    <row r="880" spans="1:4" x14ac:dyDescent="0.2">
      <c r="A880" s="5">
        <v>819</v>
      </c>
      <c r="B880" s="138">
        <f>'Expenditures 15-22'!F16</f>
        <v>2807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24673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30608</v>
      </c>
      <c r="D891" s="2" t="str">
        <f t="shared" si="12"/>
        <v>Error?</v>
      </c>
    </row>
    <row r="892" spans="1:4" x14ac:dyDescent="0.2">
      <c r="A892" s="5">
        <v>831</v>
      </c>
      <c r="B892" s="138">
        <f>'Expenditures 15-22'!F14</f>
        <v>342377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2274212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3480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3480</v>
      </c>
      <c r="C901" s="2" t="s">
        <v>573</v>
      </c>
      <c r="D901" s="2" t="str">
        <f t="shared" si="13"/>
        <v>Error?</v>
      </c>
    </row>
    <row r="902" spans="1:4" x14ac:dyDescent="0.2">
      <c r="A902" s="5">
        <v>841</v>
      </c>
      <c r="B902" s="138">
        <f>'Expenditures 15-22'!F44</f>
        <v>104579</v>
      </c>
      <c r="D902" s="2" t="str">
        <f t="shared" si="13"/>
        <v>Error?</v>
      </c>
    </row>
    <row r="903" spans="1:4" x14ac:dyDescent="0.2">
      <c r="A903" s="5">
        <v>842</v>
      </c>
      <c r="B903" s="138">
        <f>'Expenditures 15-22'!F45</f>
        <v>48024</v>
      </c>
      <c r="D903" s="2" t="str">
        <f t="shared" si="13"/>
        <v>Error?</v>
      </c>
    </row>
    <row r="904" spans="1:4" x14ac:dyDescent="0.2">
      <c r="A904" s="5">
        <v>843</v>
      </c>
      <c r="B904" s="138">
        <f>'Expenditures 15-22'!F46</f>
        <v>16933</v>
      </c>
      <c r="D904" s="2" t="str">
        <f t="shared" si="13"/>
        <v>Error?</v>
      </c>
    </row>
    <row r="905" spans="1:4" x14ac:dyDescent="0.2">
      <c r="A905" s="5">
        <v>844</v>
      </c>
      <c r="B905" s="138">
        <f>'Expenditures 15-22'!F47</f>
        <v>169536</v>
      </c>
      <c r="C905" s="2" t="s">
        <v>573</v>
      </c>
      <c r="D905" s="2" t="str">
        <f t="shared" si="13"/>
        <v>Error?</v>
      </c>
    </row>
    <row r="906" spans="1:4" x14ac:dyDescent="0.2">
      <c r="A906" s="5">
        <v>845</v>
      </c>
      <c r="B906" s="138">
        <f>'Expenditures 15-22'!F49</f>
        <v>5859</v>
      </c>
      <c r="D906" s="2" t="str">
        <f t="shared" si="13"/>
        <v>Error?</v>
      </c>
    </row>
    <row r="907" spans="1:4" x14ac:dyDescent="0.2">
      <c r="A907" s="5">
        <v>846</v>
      </c>
      <c r="B907" s="138">
        <f>'Expenditures 15-22'!F50</f>
        <v>19651</v>
      </c>
      <c r="D907" s="2" t="str">
        <f t="shared" si="13"/>
        <v>Error?</v>
      </c>
    </row>
    <row r="908" spans="1:4" x14ac:dyDescent="0.2">
      <c r="A908" s="5">
        <v>847</v>
      </c>
      <c r="B908" s="138">
        <f>'Expenditures 15-22'!F53</f>
        <v>25510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3457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1553126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1556583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15970</v>
      </c>
      <c r="D922" s="2" t="str">
        <f t="shared" si="13"/>
        <v>Error?</v>
      </c>
    </row>
    <row r="923" spans="1:4" x14ac:dyDescent="0.2">
      <c r="A923" s="5">
        <v>862</v>
      </c>
      <c r="B923" s="138">
        <f>'Expenditures 15-22'!F70</f>
        <v>9162</v>
      </c>
      <c r="D923" s="2" t="str">
        <f t="shared" si="13"/>
        <v>Error?</v>
      </c>
    </row>
    <row r="924" spans="1:4" x14ac:dyDescent="0.2">
      <c r="A924" s="10">
        <v>863</v>
      </c>
      <c r="D924" s="2" t="str">
        <f t="shared" si="13"/>
        <v>OK</v>
      </c>
    </row>
    <row r="925" spans="1:4" x14ac:dyDescent="0.2">
      <c r="A925" s="5">
        <v>864</v>
      </c>
      <c r="B925" s="138">
        <f>'Expenditures 15-22'!F71</f>
        <v>12082</v>
      </c>
      <c r="D925" s="2" t="str">
        <f t="shared" si="13"/>
        <v>Error?</v>
      </c>
    </row>
    <row r="926" spans="1:4" x14ac:dyDescent="0.2">
      <c r="A926" s="10">
        <v>865</v>
      </c>
      <c r="D926" s="2" t="str">
        <f t="shared" si="13"/>
        <v>OK</v>
      </c>
    </row>
    <row r="927" spans="1:4" x14ac:dyDescent="0.2">
      <c r="A927" s="5">
        <v>866</v>
      </c>
      <c r="B927" s="138">
        <f>'Expenditures 15-22'!F72</f>
        <v>37214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1792323</v>
      </c>
      <c r="C929" s="2" t="s">
        <v>573</v>
      </c>
      <c r="D929" s="2" t="str">
        <f t="shared" si="13"/>
        <v>Error?</v>
      </c>
    </row>
    <row r="930" spans="1:4" x14ac:dyDescent="0.2">
      <c r="A930" s="5">
        <v>869</v>
      </c>
      <c r="B930" s="138">
        <f>'Expenditures 15-22'!F75</f>
        <v>134870</v>
      </c>
      <c r="D930" s="2" t="str">
        <f t="shared" si="13"/>
        <v>Error?</v>
      </c>
    </row>
    <row r="931" spans="1:4" x14ac:dyDescent="0.2">
      <c r="A931" s="5">
        <v>870</v>
      </c>
      <c r="B931" s="138">
        <f>'Expenditures 15-22'!F114</f>
        <v>4201405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71934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292102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364036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64416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64416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9705</v>
      </c>
      <c r="D983" s="2" t="str">
        <f t="shared" si="14"/>
        <v>Error?</v>
      </c>
    </row>
    <row r="984" spans="1:4" x14ac:dyDescent="0.2">
      <c r="A984" s="10">
        <v>923</v>
      </c>
      <c r="D984" s="2" t="str">
        <f t="shared" si="14"/>
        <v>OK</v>
      </c>
    </row>
    <row r="985" spans="1:4" x14ac:dyDescent="0.2">
      <c r="A985" s="5">
        <v>924</v>
      </c>
      <c r="B985" s="138">
        <f>'Expenditures 15-22'!G72</f>
        <v>9705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74121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438157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1813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1813</v>
      </c>
      <c r="C1010" s="2" t="s">
        <v>573</v>
      </c>
      <c r="D1010" s="2" t="str">
        <f t="shared" si="14"/>
        <v>Error?</v>
      </c>
    </row>
    <row r="1011" spans="1:4" x14ac:dyDescent="0.2">
      <c r="A1011" s="5">
        <v>950</v>
      </c>
      <c r="B1011" s="138">
        <f>'Expenditures 15-22'!H36</f>
        <v>323</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323</v>
      </c>
      <c r="C1017" s="2" t="s">
        <v>573</v>
      </c>
      <c r="D1017" s="2" t="str">
        <f t="shared" si="14"/>
        <v>Error?</v>
      </c>
    </row>
    <row r="1018" spans="1:4" x14ac:dyDescent="0.2">
      <c r="A1018" s="5">
        <v>957</v>
      </c>
      <c r="B1018" s="138">
        <f>'Expenditures 15-22'!H44</f>
        <v>8822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8822</v>
      </c>
      <c r="C1021" s="2" t="s">
        <v>573</v>
      </c>
      <c r="D1021" s="2" t="str">
        <f t="shared" si="14"/>
        <v>Error?</v>
      </c>
    </row>
    <row r="1022" spans="1:4" x14ac:dyDescent="0.2">
      <c r="A1022" s="5">
        <v>961</v>
      </c>
      <c r="B1022" s="138">
        <f>'Expenditures 15-22'!H49</f>
        <v>16023</v>
      </c>
      <c r="D1022" s="2" t="str">
        <f t="shared" si="14"/>
        <v>Error?</v>
      </c>
    </row>
    <row r="1023" spans="1:4" x14ac:dyDescent="0.2">
      <c r="A1023" s="5">
        <v>962</v>
      </c>
      <c r="B1023" s="138">
        <f>'Expenditures 15-22'!H50</f>
        <v>2127</v>
      </c>
      <c r="D1023" s="2" t="str">
        <f t="shared" ref="D1023:D1086" si="15">IF(ISBLANK(B1023),"OK",IF(A1023-B1023=0,"OK","Error?"))</f>
        <v>Error?</v>
      </c>
    </row>
    <row r="1024" spans="1:4" x14ac:dyDescent="0.2">
      <c r="A1024" s="5">
        <v>963</v>
      </c>
      <c r="B1024" s="138">
        <f>'Expenditures 15-22'!H53</f>
        <v>18150</v>
      </c>
      <c r="C1024" s="2" t="s">
        <v>573</v>
      </c>
      <c r="D1024" s="2" t="str">
        <f t="shared" si="15"/>
        <v>Error?</v>
      </c>
    </row>
    <row r="1025" spans="1:4" x14ac:dyDescent="0.2">
      <c r="A1025" s="5">
        <v>964</v>
      </c>
      <c r="B1025" s="138">
        <f>'Expenditures 15-22'!H55</f>
        <v>1433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1433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2886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2886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285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31899</v>
      </c>
      <c r="C1045" s="2" t="s">
        <v>573</v>
      </c>
      <c r="D1045" s="2" t="str">
        <f t="shared" si="15"/>
        <v>Error?</v>
      </c>
    </row>
    <row r="1046" spans="1:4" x14ac:dyDescent="0.2">
      <c r="A1046" s="5">
        <v>985</v>
      </c>
      <c r="B1046" s="138">
        <f>'Expenditures 15-22'!H75</f>
        <v>25365</v>
      </c>
      <c r="D1046" s="2" t="str">
        <f t="shared" si="15"/>
        <v>Error?</v>
      </c>
    </row>
    <row r="1047" spans="1:4" x14ac:dyDescent="0.2">
      <c r="A1047" s="5">
        <v>986</v>
      </c>
      <c r="B1047" s="138">
        <f>'Expenditures 15-22'!H102</f>
        <v>2120582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2179659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26555375</v>
      </c>
      <c r="C1093" s="2" t="s">
        <v>573</v>
      </c>
      <c r="D1093" s="2" t="str">
        <f t="shared" si="16"/>
        <v>Error?</v>
      </c>
    </row>
    <row r="1094" spans="1:4" x14ac:dyDescent="0.2">
      <c r="A1094" s="5">
        <v>1033</v>
      </c>
      <c r="B1094" s="138">
        <f>'Expenditures 15-22'!K16</f>
        <v>326691</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1426620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826300</v>
      </c>
      <c r="C1105" s="2" t="s">
        <v>573</v>
      </c>
      <c r="D1105" s="2" t="str">
        <f t="shared" si="16"/>
        <v>Error?</v>
      </c>
    </row>
    <row r="1106" spans="1:4" x14ac:dyDescent="0.2">
      <c r="A1106" s="5">
        <v>1045</v>
      </c>
      <c r="B1106" s="138">
        <f>'Expenditures 15-22'!K14</f>
        <v>2097851</v>
      </c>
      <c r="C1106" s="2" t="s">
        <v>573</v>
      </c>
      <c r="D1106" s="2" t="str">
        <f t="shared" si="16"/>
        <v>Error?</v>
      </c>
    </row>
    <row r="1107" spans="1:4" x14ac:dyDescent="0.2">
      <c r="A1107" s="5">
        <v>1046</v>
      </c>
      <c r="B1107" s="138">
        <f>'Expenditures 15-22'!K15</f>
        <v>100742</v>
      </c>
      <c r="C1107" s="2" t="s">
        <v>573</v>
      </c>
      <c r="D1107" s="2" t="str">
        <f t="shared" si="16"/>
        <v>Error?</v>
      </c>
    </row>
    <row r="1108" spans="1:4" x14ac:dyDescent="0.2">
      <c r="A1108" s="5">
        <v>1047</v>
      </c>
      <c r="B1108" s="138">
        <f>'Expenditures 15-22'!K33</f>
        <v>42884779</v>
      </c>
      <c r="C1108" s="2" t="s">
        <v>573</v>
      </c>
      <c r="D1108" s="2" t="str">
        <f t="shared" si="16"/>
        <v>Error?</v>
      </c>
    </row>
    <row r="1109" spans="1:4" x14ac:dyDescent="0.2">
      <c r="A1109" s="5">
        <v>1048</v>
      </c>
      <c r="B1109" s="138">
        <f>'Expenditures 15-22'!K36</f>
        <v>774443</v>
      </c>
      <c r="C1109" s="2" t="s">
        <v>573</v>
      </c>
      <c r="D1109" s="2" t="str">
        <f t="shared" si="16"/>
        <v>Error?</v>
      </c>
    </row>
    <row r="1110" spans="1:4" x14ac:dyDescent="0.2">
      <c r="A1110" s="5">
        <v>1049</v>
      </c>
      <c r="B1110" s="138">
        <f>'Expenditures 15-22'!K37</f>
        <v>1657438</v>
      </c>
      <c r="C1110" s="2" t="s">
        <v>573</v>
      </c>
      <c r="D1110" s="2" t="str">
        <f t="shared" si="16"/>
        <v>Error?</v>
      </c>
    </row>
    <row r="1111" spans="1:4" x14ac:dyDescent="0.2">
      <c r="A1111" s="5">
        <v>1050</v>
      </c>
      <c r="B1111" s="138">
        <f>'Expenditures 15-22'!K38</f>
        <v>604254</v>
      </c>
      <c r="C1111" s="2" t="s">
        <v>573</v>
      </c>
      <c r="D1111" s="2" t="str">
        <f t="shared" si="16"/>
        <v>Error?</v>
      </c>
    </row>
    <row r="1112" spans="1:4" x14ac:dyDescent="0.2">
      <c r="A1112" s="5">
        <v>1051</v>
      </c>
      <c r="B1112" s="138">
        <f>'Expenditures 15-22'!K39</f>
        <v>1216532</v>
      </c>
      <c r="C1112" s="2" t="s">
        <v>573</v>
      </c>
      <c r="D1112" s="2" t="str">
        <f t="shared" si="16"/>
        <v>Error?</v>
      </c>
    </row>
    <row r="1113" spans="1:4" x14ac:dyDescent="0.2">
      <c r="A1113" s="5">
        <v>1052</v>
      </c>
      <c r="B1113" s="138">
        <f>'Expenditures 15-22'!K40</f>
        <v>880956</v>
      </c>
      <c r="C1113" s="2" t="s">
        <v>573</v>
      </c>
      <c r="D1113" s="2" t="str">
        <f t="shared" si="16"/>
        <v>Error?</v>
      </c>
    </row>
    <row r="1114" spans="1:4" x14ac:dyDescent="0.2">
      <c r="A1114" s="5">
        <v>1053</v>
      </c>
      <c r="B1114" s="138">
        <f>'Expenditures 15-22'!K41</f>
        <v>88974</v>
      </c>
      <c r="C1114" s="2" t="s">
        <v>573</v>
      </c>
      <c r="D1114" s="2" t="str">
        <f t="shared" si="16"/>
        <v>Error?</v>
      </c>
    </row>
    <row r="1115" spans="1:4" x14ac:dyDescent="0.2">
      <c r="A1115" s="5">
        <v>1054</v>
      </c>
      <c r="B1115" s="138">
        <f>'Expenditures 15-22'!K42</f>
        <v>5222597</v>
      </c>
      <c r="C1115" s="2" t="s">
        <v>573</v>
      </c>
      <c r="D1115" s="2" t="str">
        <f t="shared" si="16"/>
        <v>Error?</v>
      </c>
    </row>
    <row r="1116" spans="1:4" x14ac:dyDescent="0.2">
      <c r="A1116" s="5">
        <v>1055</v>
      </c>
      <c r="B1116" s="138">
        <f>'Expenditures 15-22'!K44</f>
        <v>1450544</v>
      </c>
      <c r="C1116" s="2" t="s">
        <v>573</v>
      </c>
      <c r="D1116" s="2" t="str">
        <f t="shared" si="16"/>
        <v>Error?</v>
      </c>
    </row>
    <row r="1117" spans="1:4" x14ac:dyDescent="0.2">
      <c r="A1117" s="5">
        <v>1056</v>
      </c>
      <c r="B1117" s="138">
        <f>'Expenditures 15-22'!K45</f>
        <v>376458</v>
      </c>
      <c r="C1117" s="2" t="s">
        <v>573</v>
      </c>
      <c r="D1117" s="2" t="str">
        <f t="shared" si="16"/>
        <v>Error?</v>
      </c>
    </row>
    <row r="1118" spans="1:4" x14ac:dyDescent="0.2">
      <c r="A1118" s="5">
        <v>1057</v>
      </c>
      <c r="B1118" s="138">
        <f>'Expenditures 15-22'!K46</f>
        <v>109973</v>
      </c>
      <c r="C1118" s="2" t="s">
        <v>573</v>
      </c>
      <c r="D1118" s="2" t="str">
        <f t="shared" si="16"/>
        <v>Error?</v>
      </c>
    </row>
    <row r="1119" spans="1:4" x14ac:dyDescent="0.2">
      <c r="A1119" s="5">
        <v>1058</v>
      </c>
      <c r="B1119" s="138">
        <f>'Expenditures 15-22'!K47</f>
        <v>1936975</v>
      </c>
      <c r="C1119" s="2" t="s">
        <v>573</v>
      </c>
      <c r="D1119" s="2" t="str">
        <f t="shared" si="16"/>
        <v>Error?</v>
      </c>
    </row>
    <row r="1120" spans="1:4" x14ac:dyDescent="0.2">
      <c r="A1120" s="5">
        <v>1059</v>
      </c>
      <c r="B1120" s="138">
        <f>'Expenditures 15-22'!K49</f>
        <v>248734</v>
      </c>
      <c r="C1120" s="2" t="s">
        <v>573</v>
      </c>
      <c r="D1120" s="2" t="str">
        <f t="shared" si="16"/>
        <v>Error?</v>
      </c>
    </row>
    <row r="1121" spans="1:4" x14ac:dyDescent="0.2">
      <c r="A1121" s="5">
        <v>1060</v>
      </c>
      <c r="B1121" s="138">
        <f>'Expenditures 15-22'!K50</f>
        <v>339523</v>
      </c>
      <c r="C1121" s="2" t="s">
        <v>573</v>
      </c>
      <c r="D1121" s="2" t="str">
        <f t="shared" si="16"/>
        <v>Error?</v>
      </c>
    </row>
    <row r="1122" spans="1:4" x14ac:dyDescent="0.2">
      <c r="A1122" s="5">
        <v>1061</v>
      </c>
      <c r="B1122" s="138">
        <f>'Expenditures 15-22'!K53</f>
        <v>742426</v>
      </c>
      <c r="C1122" s="2" t="s">
        <v>573</v>
      </c>
      <c r="D1122" s="2" t="str">
        <f t="shared" si="16"/>
        <v>Error?</v>
      </c>
    </row>
    <row r="1123" spans="1:4" x14ac:dyDescent="0.2">
      <c r="A1123" s="5">
        <v>1062</v>
      </c>
      <c r="B1123" s="138">
        <f>'Expenditures 15-22'!K55</f>
        <v>3522664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3522664</v>
      </c>
      <c r="C1125" s="2" t="s">
        <v>573</v>
      </c>
      <c r="D1125" s="2" t="str">
        <f t="shared" si="16"/>
        <v>Error?</v>
      </c>
    </row>
    <row r="1126" spans="1:4" x14ac:dyDescent="0.2">
      <c r="A1126" s="5">
        <v>1065</v>
      </c>
      <c r="B1126" s="138">
        <f>'Expenditures 15-22'!K59</f>
        <v>206077</v>
      </c>
      <c r="C1126" s="2" t="s">
        <v>573</v>
      </c>
      <c r="D1126" s="2" t="str">
        <f t="shared" si="16"/>
        <v>Error?</v>
      </c>
    </row>
    <row r="1127" spans="1:4" x14ac:dyDescent="0.2">
      <c r="A1127" s="5">
        <v>1066</v>
      </c>
      <c r="B1127" s="138">
        <f>'Expenditures 15-22'!K60</f>
        <v>301444</v>
      </c>
      <c r="C1127" s="2" t="s">
        <v>573</v>
      </c>
      <c r="D1127" s="2" t="str">
        <f t="shared" si="16"/>
        <v>Error?</v>
      </c>
    </row>
    <row r="1128" spans="1:4" x14ac:dyDescent="0.2">
      <c r="A1128" s="5">
        <v>1067</v>
      </c>
      <c r="B1128" s="138">
        <f>'Expenditures 15-22'!K61</f>
        <v>382199</v>
      </c>
      <c r="C1128" s="2" t="s">
        <v>573</v>
      </c>
      <c r="D1128" s="2" t="str">
        <f t="shared" si="16"/>
        <v>Error?</v>
      </c>
    </row>
    <row r="1129" spans="1:4" x14ac:dyDescent="0.2">
      <c r="A1129" s="5">
        <v>1068</v>
      </c>
      <c r="B1129" s="138">
        <f>'Expenditures 15-22'!K62</f>
        <v>92524</v>
      </c>
      <c r="C1129" s="2" t="s">
        <v>573</v>
      </c>
      <c r="D1129" s="2" t="str">
        <f t="shared" si="16"/>
        <v>Error?</v>
      </c>
    </row>
    <row r="1130" spans="1:4" x14ac:dyDescent="0.2">
      <c r="A1130" s="5">
        <v>1069</v>
      </c>
      <c r="B1130" s="138">
        <f>'Expenditures 15-22'!K63</f>
        <v>2975280</v>
      </c>
      <c r="C1130" s="2" t="s">
        <v>573</v>
      </c>
      <c r="D1130" s="2" t="str">
        <f t="shared" si="16"/>
        <v>Error?</v>
      </c>
    </row>
    <row r="1131" spans="1:4" x14ac:dyDescent="0.2">
      <c r="A1131" s="5">
        <v>1070</v>
      </c>
      <c r="B1131" s="138">
        <f>'Expenditures 15-22'!K64</f>
        <v>7702</v>
      </c>
      <c r="C1131" s="2" t="s">
        <v>573</v>
      </c>
      <c r="D1131" s="2" t="str">
        <f t="shared" si="16"/>
        <v>Error?</v>
      </c>
    </row>
    <row r="1132" spans="1:4" x14ac:dyDescent="0.2">
      <c r="A1132" s="10">
        <v>1071</v>
      </c>
      <c r="D1132" s="2" t="str">
        <f t="shared" si="16"/>
        <v>OK</v>
      </c>
    </row>
    <row r="1133" spans="1:4" x14ac:dyDescent="0.2">
      <c r="A1133" s="5">
        <v>1072</v>
      </c>
      <c r="B1133" s="138">
        <f>'Expenditures 15-22'!K65</f>
        <v>3965226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104946</v>
      </c>
      <c r="C1136" s="2" t="s">
        <v>573</v>
      </c>
      <c r="D1136" s="2" t="str">
        <f t="shared" si="16"/>
        <v>Error?</v>
      </c>
    </row>
    <row r="1137" spans="1:4" x14ac:dyDescent="0.2">
      <c r="A1137" s="5">
        <v>1076</v>
      </c>
      <c r="B1137" s="138">
        <f>'Expenditures 15-22'!K70</f>
        <v>597147</v>
      </c>
      <c r="C1137" s="2" t="s">
        <v>573</v>
      </c>
      <c r="D1137" s="2" t="str">
        <f t="shared" si="16"/>
        <v>Error?</v>
      </c>
    </row>
    <row r="1138" spans="1:4" x14ac:dyDescent="0.2">
      <c r="A1138" s="10">
        <v>1077</v>
      </c>
      <c r="D1138" s="2" t="str">
        <f t="shared" si="16"/>
        <v>OK</v>
      </c>
    </row>
    <row r="1139" spans="1:4" x14ac:dyDescent="0.2">
      <c r="A1139" s="5">
        <v>1078</v>
      </c>
      <c r="B1139" s="138">
        <f>'Expenditures 15-22'!K71</f>
        <v>1229057</v>
      </c>
      <c r="C1139" s="2" t="s">
        <v>573</v>
      </c>
      <c r="D1139" s="2" t="str">
        <f t="shared" si="16"/>
        <v>Error?</v>
      </c>
    </row>
    <row r="1140" spans="1:4" x14ac:dyDescent="0.2">
      <c r="A1140" s="10">
        <v>1079</v>
      </c>
      <c r="D1140" s="2" t="str">
        <f t="shared" si="16"/>
        <v>OK</v>
      </c>
    </row>
    <row r="1141" spans="1:4" x14ac:dyDescent="0.2">
      <c r="A1141" s="5">
        <v>1080</v>
      </c>
      <c r="B1141" s="138">
        <f>'Expenditures 15-22'!K72</f>
        <v>1931150</v>
      </c>
      <c r="C1141" s="2" t="s">
        <v>573</v>
      </c>
      <c r="D1141" s="2" t="str">
        <f t="shared" si="16"/>
        <v>Error?</v>
      </c>
    </row>
    <row r="1142" spans="1:4" x14ac:dyDescent="0.2">
      <c r="A1142" s="5">
        <v>1081</v>
      </c>
      <c r="B1142" s="138">
        <f>'Expenditures 15-22'!K73</f>
        <v>124602</v>
      </c>
      <c r="C1142" s="2" t="s">
        <v>573</v>
      </c>
      <c r="D1142" s="2" t="str">
        <f t="shared" si="16"/>
        <v>Error?</v>
      </c>
    </row>
    <row r="1143" spans="1:4" x14ac:dyDescent="0.2">
      <c r="A1143" s="5">
        <v>1082</v>
      </c>
      <c r="B1143" s="138">
        <f>'Expenditures 15-22'!K74</f>
        <v>17445640</v>
      </c>
      <c r="C1143" s="2" t="s">
        <v>573</v>
      </c>
      <c r="D1143" s="2" t="str">
        <f t="shared" si="16"/>
        <v>Error?</v>
      </c>
    </row>
    <row r="1144" spans="1:4" x14ac:dyDescent="0.2">
      <c r="A1144" s="5">
        <v>1083</v>
      </c>
      <c r="B1144" s="138">
        <f>'Expenditures 15-22'!K75</f>
        <v>3460531</v>
      </c>
      <c r="C1144" s="2" t="s">
        <v>573</v>
      </c>
      <c r="D1144" s="2" t="str">
        <f t="shared" si="16"/>
        <v>Error?</v>
      </c>
    </row>
    <row r="1145" spans="1:4" x14ac:dyDescent="0.2">
      <c r="A1145" s="5">
        <v>1084</v>
      </c>
      <c r="B1145" s="138">
        <f>'Expenditures 15-22'!K102</f>
        <v>2129792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65920742</v>
      </c>
      <c r="C1152" s="2" t="s">
        <v>573</v>
      </c>
      <c r="D1152" s="2" t="str">
        <f t="shared" si="17"/>
        <v>Error?</v>
      </c>
    </row>
    <row r="1153" spans="1:4" x14ac:dyDescent="0.2">
      <c r="A1153" s="5">
        <v>1092</v>
      </c>
      <c r="B1153" s="138">
        <f>'Expenditures 15-22'!K115</f>
        <v>902963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2298382</v>
      </c>
      <c r="D1221" s="2" t="str">
        <f t="shared" si="18"/>
        <v>Error?</v>
      </c>
    </row>
    <row r="1222" spans="1:4" x14ac:dyDescent="0.2">
      <c r="A1222" s="10">
        <v>1161</v>
      </c>
      <c r="D1222" s="2" t="str">
        <f t="shared" si="18"/>
        <v>OK</v>
      </c>
    </row>
    <row r="1223" spans="1:4" x14ac:dyDescent="0.2">
      <c r="A1223" s="5">
        <v>1162</v>
      </c>
      <c r="B1223" s="138">
        <f>'Expenditures 15-22'!C127</f>
        <v>2298382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2298382</v>
      </c>
      <c r="C1225" s="2" t="s">
        <v>573</v>
      </c>
      <c r="D1225" s="2" t="str">
        <f t="shared" si="18"/>
        <v>Error?</v>
      </c>
    </row>
    <row r="1226" spans="1:4" x14ac:dyDescent="0.2">
      <c r="A1226" s="5">
        <v>1165</v>
      </c>
      <c r="B1226" s="138">
        <f>'Expenditures 15-22'!C151</f>
        <v>2298382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425591</v>
      </c>
      <c r="D1229" s="2" t="str">
        <f t="shared" si="18"/>
        <v>Error?</v>
      </c>
    </row>
    <row r="1230" spans="1:4" x14ac:dyDescent="0.2">
      <c r="A1230" s="10">
        <v>1169</v>
      </c>
      <c r="D1230" s="2" t="str">
        <f t="shared" si="18"/>
        <v>OK</v>
      </c>
    </row>
    <row r="1231" spans="1:4" x14ac:dyDescent="0.2">
      <c r="A1231" s="5">
        <v>1170</v>
      </c>
      <c r="B1231" s="138">
        <f>'Expenditures 15-22'!D127</f>
        <v>425591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425591</v>
      </c>
      <c r="C1233" s="2" t="s">
        <v>573</v>
      </c>
      <c r="D1233" s="2" t="str">
        <f t="shared" si="18"/>
        <v>Error?</v>
      </c>
    </row>
    <row r="1234" spans="1:4" x14ac:dyDescent="0.2">
      <c r="A1234" s="5">
        <v>1173</v>
      </c>
      <c r="B1234" s="138">
        <f>'Expenditures 15-22'!D151</f>
        <v>425591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1314605</v>
      </c>
      <c r="D1237" s="2" t="str">
        <f t="shared" si="18"/>
        <v>Error?</v>
      </c>
    </row>
    <row r="1238" spans="1:4" x14ac:dyDescent="0.2">
      <c r="A1238" s="10">
        <v>1177</v>
      </c>
      <c r="D1238" s="2" t="str">
        <f t="shared" si="18"/>
        <v>OK</v>
      </c>
    </row>
    <row r="1239" spans="1:4" x14ac:dyDescent="0.2">
      <c r="A1239" s="5">
        <v>1178</v>
      </c>
      <c r="B1239" s="138">
        <f>'Expenditures 15-22'!E127</f>
        <v>1314605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1314605</v>
      </c>
      <c r="C1241" s="2" t="s">
        <v>573</v>
      </c>
      <c r="D1241" s="2" t="str">
        <f t="shared" si="18"/>
        <v>Error?</v>
      </c>
    </row>
    <row r="1242" spans="1:4" x14ac:dyDescent="0.2">
      <c r="A1242" s="5">
        <v>1181</v>
      </c>
      <c r="B1242" s="138">
        <f>'Expenditures 15-22'!E151</f>
        <v>1314605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1238744</v>
      </c>
      <c r="D1245" s="2" t="str">
        <f t="shared" si="18"/>
        <v>Error?</v>
      </c>
    </row>
    <row r="1246" spans="1:4" x14ac:dyDescent="0.2">
      <c r="A1246" s="10">
        <v>1185</v>
      </c>
      <c r="D1246" s="2" t="str">
        <f t="shared" si="18"/>
        <v>OK</v>
      </c>
    </row>
    <row r="1247" spans="1:4" x14ac:dyDescent="0.2">
      <c r="A1247" s="5">
        <v>1186</v>
      </c>
      <c r="B1247" s="138">
        <f>'Expenditures 15-22'!F127</f>
        <v>1238744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1238744</v>
      </c>
      <c r="C1249" s="2" t="s">
        <v>573</v>
      </c>
      <c r="D1249" s="2" t="str">
        <f t="shared" si="18"/>
        <v>Error?</v>
      </c>
    </row>
    <row r="1250" spans="1:4" x14ac:dyDescent="0.2">
      <c r="A1250" s="5">
        <v>1189</v>
      </c>
      <c r="B1250" s="138">
        <f>'Expenditures 15-22'!F151</f>
        <v>1238744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591</v>
      </c>
      <c r="D1252" s="2" t="str">
        <f t="shared" si="18"/>
        <v>Error?</v>
      </c>
    </row>
    <row r="1253" spans="1:4" x14ac:dyDescent="0.2">
      <c r="A1253" s="5">
        <v>1192</v>
      </c>
      <c r="B1253" s="138">
        <f>'Expenditures 15-22'!G124</f>
        <v>53259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53850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53850</v>
      </c>
      <c r="C1258" s="2" t="s">
        <v>573</v>
      </c>
      <c r="D1258" s="2" t="str">
        <f t="shared" si="18"/>
        <v>Error?</v>
      </c>
    </row>
    <row r="1259" spans="1:4" x14ac:dyDescent="0.2">
      <c r="A1259" s="5">
        <v>1198</v>
      </c>
      <c r="B1259" s="138">
        <f>'Expenditures 15-22'!G151</f>
        <v>53850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591</v>
      </c>
      <c r="C1275" s="2" t="s">
        <v>573</v>
      </c>
      <c r="D1275" s="2" t="str">
        <f t="shared" si="18"/>
        <v>Error?</v>
      </c>
    </row>
    <row r="1276" spans="1:4" x14ac:dyDescent="0.2">
      <c r="A1276" s="5">
        <v>1215</v>
      </c>
      <c r="B1276" s="138">
        <f>'Expenditures 15-22'!K124</f>
        <v>5340827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5341418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5341418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5341418</v>
      </c>
      <c r="C1288" s="2" t="s">
        <v>573</v>
      </c>
      <c r="D1288" s="2" t="str">
        <f t="shared" si="19"/>
        <v>Error?</v>
      </c>
    </row>
    <row r="1289" spans="1:4" x14ac:dyDescent="0.2">
      <c r="A1289" s="5">
        <v>1228</v>
      </c>
      <c r="B1289" s="138">
        <f>'Expenditures 15-22'!K152</f>
        <v>176238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1422225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2110000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3532225</v>
      </c>
      <c r="C1317" s="2" t="s">
        <v>573</v>
      </c>
      <c r="D1317" s="2" t="str">
        <f t="shared" si="19"/>
        <v>Error?</v>
      </c>
    </row>
    <row r="1318" spans="1:4" x14ac:dyDescent="0.2">
      <c r="A1318" s="5">
        <v>1257</v>
      </c>
      <c r="B1318" s="138">
        <f>'Expenditures 15-22'!H174</f>
        <v>3532225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1422225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2110000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3532225</v>
      </c>
      <c r="C1331" s="2" t="s">
        <v>573</v>
      </c>
      <c r="D1331" s="2" t="str">
        <f t="shared" si="19"/>
        <v>Error?</v>
      </c>
    </row>
    <row r="1332" spans="1:4" x14ac:dyDescent="0.2">
      <c r="A1332" s="5">
        <v>1271</v>
      </c>
      <c r="B1332" s="138">
        <f>'Expenditures 15-22'!K174</f>
        <v>3532225</v>
      </c>
      <c r="C1332" s="2" t="s">
        <v>573</v>
      </c>
      <c r="D1332" s="2" t="str">
        <f t="shared" si="19"/>
        <v>Error?</v>
      </c>
    </row>
    <row r="1333" spans="1:4" x14ac:dyDescent="0.2">
      <c r="A1333" s="5">
        <v>1272</v>
      </c>
      <c r="B1333" s="138">
        <f>'Expenditures 15-22'!K175</f>
        <v>-355631</v>
      </c>
      <c r="C1333" s="2" t="s">
        <v>573</v>
      </c>
      <c r="D1333" s="2" t="str">
        <f t="shared" si="19"/>
        <v>Error?</v>
      </c>
    </row>
    <row r="1334" spans="1:4" x14ac:dyDescent="0.2">
      <c r="A1334" s="10">
        <v>1273</v>
      </c>
      <c r="D1334" s="2" t="str">
        <f t="shared" si="19"/>
        <v>OK</v>
      </c>
    </row>
    <row r="1335" spans="1:4" x14ac:dyDescent="0.2">
      <c r="A1335" s="5">
        <v>1274</v>
      </c>
      <c r="B1335" s="138">
        <f>'Expenditures 15-22'!C182</f>
        <v>8415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8415</v>
      </c>
      <c r="C1339" s="2" t="s">
        <v>573</v>
      </c>
      <c r="D1339" s="2" t="str">
        <f t="shared" si="19"/>
        <v>Error?</v>
      </c>
    </row>
    <row r="1340" spans="1:4" x14ac:dyDescent="0.2">
      <c r="A1340" s="5">
        <v>1279</v>
      </c>
      <c r="B1340" s="138">
        <f>'Expenditures 15-22'!C210</f>
        <v>8415</v>
      </c>
      <c r="C1340" s="2" t="s">
        <v>573</v>
      </c>
      <c r="D1340" s="2" t="str">
        <f t="shared" si="19"/>
        <v>Error?</v>
      </c>
    </row>
    <row r="1341" spans="1:4" x14ac:dyDescent="0.2">
      <c r="A1341" s="5">
        <v>1280</v>
      </c>
      <c r="B1341" s="138">
        <f>'Expenditures 15-22'!D182</f>
        <v>396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396</v>
      </c>
      <c r="C1345" s="2" t="s">
        <v>573</v>
      </c>
      <c r="D1345" s="2" t="str">
        <f t="shared" si="20"/>
        <v>Error?</v>
      </c>
    </row>
    <row r="1346" spans="1:4" x14ac:dyDescent="0.2">
      <c r="A1346" s="5">
        <v>1285</v>
      </c>
      <c r="B1346" s="138">
        <f>'Expenditures 15-22'!D210</f>
        <v>396</v>
      </c>
      <c r="C1346" s="2" t="s">
        <v>573</v>
      </c>
      <c r="D1346" s="2" t="str">
        <f t="shared" si="20"/>
        <v>Error?</v>
      </c>
    </row>
    <row r="1347" spans="1:4" x14ac:dyDescent="0.2">
      <c r="A1347" s="5">
        <v>1286</v>
      </c>
      <c r="B1347" s="138">
        <f>'Expenditures 15-22'!E182</f>
        <v>1608921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1608921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1608921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1617732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1617732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1617732</v>
      </c>
      <c r="C1388" s="2" t="s">
        <v>573</v>
      </c>
      <c r="D1388" s="2" t="str">
        <f t="shared" si="20"/>
        <v>Error?</v>
      </c>
    </row>
    <row r="1389" spans="1:4" x14ac:dyDescent="0.2">
      <c r="A1389" s="5">
        <v>1328</v>
      </c>
      <c r="B1389" s="138">
        <f>'Expenditures 15-22'!K211</f>
        <v>493268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3662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8726</v>
      </c>
      <c r="D1407" s="2" t="str">
        <f t="shared" ref="D1407:D1470" si="21">IF(ISBLANK(B1407),"OK",IF(A1407-B1407=0,"OK","Error?"))</f>
        <v>Error?</v>
      </c>
    </row>
    <row r="1408" spans="1:4" x14ac:dyDescent="0.2">
      <c r="A1408" s="5">
        <v>1347</v>
      </c>
      <c r="B1408" s="138">
        <f>'Expenditures 15-22'!D223</f>
        <v>60148</v>
      </c>
      <c r="D1408" s="2" t="str">
        <f t="shared" si="21"/>
        <v>Error?</v>
      </c>
    </row>
    <row r="1409" spans="1:4" x14ac:dyDescent="0.2">
      <c r="A1409" s="5">
        <v>1348</v>
      </c>
      <c r="B1409" s="138">
        <f>'Expenditures 15-22'!D224</f>
        <v>1605</v>
      </c>
      <c r="D1409" s="2" t="str">
        <f t="shared" si="21"/>
        <v>Error?</v>
      </c>
    </row>
    <row r="1410" spans="1:4" x14ac:dyDescent="0.2">
      <c r="A1410" s="5">
        <v>1349</v>
      </c>
      <c r="B1410" s="138">
        <f>'Expenditures 15-22'!D229</f>
        <v>873178</v>
      </c>
      <c r="C1410" s="2" t="s">
        <v>573</v>
      </c>
      <c r="D1410" s="2" t="str">
        <f t="shared" si="21"/>
        <v>Error?</v>
      </c>
    </row>
    <row r="1411" spans="1:4" x14ac:dyDescent="0.2">
      <c r="A1411" s="5">
        <v>1350</v>
      </c>
      <c r="B1411" s="138">
        <f>'Expenditures 15-22'!D232</f>
        <v>40512</v>
      </c>
      <c r="D1411" s="2" t="str">
        <f t="shared" si="21"/>
        <v>Error?</v>
      </c>
    </row>
    <row r="1412" spans="1:4" x14ac:dyDescent="0.2">
      <c r="A1412" s="5">
        <v>1351</v>
      </c>
      <c r="B1412" s="138">
        <f>'Expenditures 15-22'!D233</f>
        <v>55340</v>
      </c>
      <c r="D1412" s="2" t="str">
        <f t="shared" si="21"/>
        <v>Error?</v>
      </c>
    </row>
    <row r="1413" spans="1:4" x14ac:dyDescent="0.2">
      <c r="A1413" s="5">
        <v>1352</v>
      </c>
      <c r="B1413" s="138">
        <f>'Expenditures 15-22'!D234</f>
        <v>89571</v>
      </c>
      <c r="D1413" s="2" t="str">
        <f t="shared" si="21"/>
        <v>Error?</v>
      </c>
    </row>
    <row r="1414" spans="1:4" x14ac:dyDescent="0.2">
      <c r="A1414" s="5">
        <v>1353</v>
      </c>
      <c r="B1414" s="138">
        <f>'Expenditures 15-22'!D235</f>
        <v>12398</v>
      </c>
      <c r="D1414" s="2" t="str">
        <f t="shared" si="21"/>
        <v>Error?</v>
      </c>
    </row>
    <row r="1415" spans="1:4" x14ac:dyDescent="0.2">
      <c r="A1415" s="5">
        <v>1354</v>
      </c>
      <c r="B1415" s="138">
        <f>'Expenditures 15-22'!D236</f>
        <v>10372</v>
      </c>
      <c r="D1415" s="2" t="str">
        <f t="shared" si="21"/>
        <v>Error?</v>
      </c>
    </row>
    <row r="1416" spans="1:4" x14ac:dyDescent="0.2">
      <c r="A1416" s="5">
        <v>1355</v>
      </c>
      <c r="B1416" s="138">
        <f>'Expenditures 15-22'!D237</f>
        <v>9161</v>
      </c>
      <c r="D1416" s="2" t="str">
        <f t="shared" si="21"/>
        <v>Error?</v>
      </c>
    </row>
    <row r="1417" spans="1:4" x14ac:dyDescent="0.2">
      <c r="A1417" s="5">
        <v>1356</v>
      </c>
      <c r="B1417" s="138">
        <f>'Expenditures 15-22'!D238</f>
        <v>217354</v>
      </c>
      <c r="C1417" s="2" t="s">
        <v>573</v>
      </c>
      <c r="D1417" s="2" t="str">
        <f t="shared" si="21"/>
        <v>Error?</v>
      </c>
    </row>
    <row r="1418" spans="1:4" x14ac:dyDescent="0.2">
      <c r="A1418" s="5">
        <v>1357</v>
      </c>
      <c r="B1418" s="138">
        <f>'Expenditures 15-22'!D240</f>
        <v>7460</v>
      </c>
      <c r="D1418" s="2" t="str">
        <f t="shared" si="21"/>
        <v>Error?</v>
      </c>
    </row>
    <row r="1419" spans="1:4" x14ac:dyDescent="0.2">
      <c r="A1419" s="5">
        <v>1358</v>
      </c>
      <c r="B1419" s="138">
        <f>'Expenditures 15-22'!D241</f>
        <v>31280</v>
      </c>
      <c r="D1419" s="2" t="str">
        <f t="shared" si="21"/>
        <v>Error?</v>
      </c>
    </row>
    <row r="1420" spans="1:4" x14ac:dyDescent="0.2">
      <c r="A1420" s="5">
        <v>1359</v>
      </c>
      <c r="B1420" s="138">
        <f>'Expenditures 15-22'!D242</f>
        <v>248</v>
      </c>
      <c r="D1420" s="2" t="str">
        <f t="shared" si="21"/>
        <v>Error?</v>
      </c>
    </row>
    <row r="1421" spans="1:4" x14ac:dyDescent="0.2">
      <c r="A1421" s="5">
        <v>1360</v>
      </c>
      <c r="B1421" s="138">
        <f>'Expenditures 15-22'!D243</f>
        <v>38988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11212</v>
      </c>
      <c r="D1423" s="2" t="str">
        <f t="shared" si="21"/>
        <v>Error?</v>
      </c>
    </row>
    <row r="1424" spans="1:4" x14ac:dyDescent="0.2">
      <c r="A1424" s="5">
        <v>1363</v>
      </c>
      <c r="B1424" s="138">
        <f>'Expenditures 15-22'!D257</f>
        <v>11507</v>
      </c>
      <c r="C1424" s="2" t="s">
        <v>573</v>
      </c>
      <c r="D1424" s="2" t="str">
        <f t="shared" si="21"/>
        <v>Error?</v>
      </c>
    </row>
    <row r="1425" spans="1:4" x14ac:dyDescent="0.2">
      <c r="A1425" s="5">
        <v>1364</v>
      </c>
      <c r="B1425" s="138">
        <f>'Expenditures 15-22'!D259</f>
        <v>162533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162533</v>
      </c>
      <c r="C1427" s="2" t="s">
        <v>573</v>
      </c>
      <c r="D1427" s="2" t="str">
        <f t="shared" si="21"/>
        <v>Error?</v>
      </c>
    </row>
    <row r="1428" spans="1:4" x14ac:dyDescent="0.2">
      <c r="A1428" s="5">
        <v>1367</v>
      </c>
      <c r="B1428" s="138">
        <f>'Expenditures 15-22'!D263</f>
        <v>7515</v>
      </c>
      <c r="D1428" s="2" t="str">
        <f t="shared" si="21"/>
        <v>Error?</v>
      </c>
    </row>
    <row r="1429" spans="1:4" x14ac:dyDescent="0.2">
      <c r="A1429" s="5">
        <v>1368</v>
      </c>
      <c r="B1429" s="138">
        <f>'Expenditures 15-22'!D264</f>
        <v>41056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447905</v>
      </c>
      <c r="D1431" s="2" t="str">
        <f t="shared" si="21"/>
        <v>Error?</v>
      </c>
    </row>
    <row r="1432" spans="1:4" x14ac:dyDescent="0.2">
      <c r="A1432" s="5">
        <v>1371</v>
      </c>
      <c r="B1432" s="138">
        <f>'Expenditures 15-22'!D267</f>
        <v>1511</v>
      </c>
      <c r="D1432" s="2" t="str">
        <f t="shared" si="21"/>
        <v>Error?</v>
      </c>
    </row>
    <row r="1433" spans="1:4" x14ac:dyDescent="0.2">
      <c r="A1433" s="5">
        <v>1372</v>
      </c>
      <c r="B1433" s="138">
        <f>'Expenditures 15-22'!D268</f>
        <v>169727</v>
      </c>
      <c r="D1433" s="2" t="str">
        <f t="shared" si="21"/>
        <v>Error?</v>
      </c>
    </row>
    <row r="1434" spans="1:4" x14ac:dyDescent="0.2">
      <c r="A1434" s="5">
        <v>1373</v>
      </c>
      <c r="B1434" s="138">
        <f>'Expenditures 15-22'!D269</f>
        <v>10386</v>
      </c>
      <c r="D1434" s="2" t="str">
        <f t="shared" si="21"/>
        <v>Error?</v>
      </c>
    </row>
    <row r="1435" spans="1:4" x14ac:dyDescent="0.2">
      <c r="A1435" s="10">
        <v>1374</v>
      </c>
      <c r="D1435" s="2" t="str">
        <f t="shared" si="21"/>
        <v>OK</v>
      </c>
    </row>
    <row r="1436" spans="1:4" x14ac:dyDescent="0.2">
      <c r="A1436" s="5">
        <v>1375</v>
      </c>
      <c r="B1436" s="138">
        <f>'Expenditures 15-22'!D270</f>
        <v>678100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12933</v>
      </c>
      <c r="D1439" s="2" t="str">
        <f t="shared" si="21"/>
        <v>Error?</v>
      </c>
    </row>
    <row r="1440" spans="1:4" x14ac:dyDescent="0.2">
      <c r="A1440" s="5">
        <v>1379</v>
      </c>
      <c r="B1440" s="138">
        <f>'Expenditures 15-22'!D275</f>
        <v>26078</v>
      </c>
      <c r="D1440" s="2" t="str">
        <f t="shared" si="21"/>
        <v>Error?</v>
      </c>
    </row>
    <row r="1441" spans="1:4" x14ac:dyDescent="0.2">
      <c r="A1441" s="10">
        <v>1380</v>
      </c>
      <c r="D1441" s="2" t="str">
        <f t="shared" si="21"/>
        <v>OK</v>
      </c>
    </row>
    <row r="1442" spans="1:4" x14ac:dyDescent="0.2">
      <c r="A1442" s="5">
        <v>1381</v>
      </c>
      <c r="B1442" s="138">
        <f>'Expenditures 15-22'!D276</f>
        <v>67158</v>
      </c>
      <c r="D1442" s="2" t="str">
        <f t="shared" si="21"/>
        <v>Error?</v>
      </c>
    </row>
    <row r="1443" spans="1:4" x14ac:dyDescent="0.2">
      <c r="A1443" s="10">
        <v>1382</v>
      </c>
      <c r="D1443" s="2" t="str">
        <f t="shared" si="21"/>
        <v>OK</v>
      </c>
    </row>
    <row r="1444" spans="1:4" x14ac:dyDescent="0.2">
      <c r="A1444" s="5">
        <v>1383</v>
      </c>
      <c r="B1444" s="138">
        <f>'Expenditures 15-22'!D277</f>
        <v>106169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1214651</v>
      </c>
      <c r="C1446" s="2" t="s">
        <v>573</v>
      </c>
      <c r="D1446" s="2" t="str">
        <f t="shared" si="21"/>
        <v>Error?</v>
      </c>
    </row>
    <row r="1447" spans="1:4" x14ac:dyDescent="0.2">
      <c r="A1447" s="5">
        <v>1386</v>
      </c>
      <c r="B1447" s="138">
        <f>'Expenditures 15-22'!D280</f>
        <v>9035</v>
      </c>
      <c r="D1447" s="2" t="str">
        <f t="shared" si="21"/>
        <v>Error?</v>
      </c>
    </row>
    <row r="1448" spans="1:4" x14ac:dyDescent="0.2">
      <c r="A1448" s="5">
        <v>1387</v>
      </c>
      <c r="B1448" s="138">
        <f>'Expenditures 15-22'!D295</f>
        <v>2096864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3662</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8726</v>
      </c>
      <c r="C1471" s="2" t="s">
        <v>573</v>
      </c>
      <c r="D1471" s="2" t="str">
        <f t="shared" ref="D1471:D1534" si="22">IF(ISBLANK(B1471),"OK",IF(A1471-B1471=0,"OK","Error?"))</f>
        <v>Error?</v>
      </c>
    </row>
    <row r="1472" spans="1:4" x14ac:dyDescent="0.2">
      <c r="A1472" s="5">
        <v>1411</v>
      </c>
      <c r="B1472" s="138">
        <f>'Expenditures 15-22'!K223</f>
        <v>60148</v>
      </c>
      <c r="C1472" s="2" t="s">
        <v>573</v>
      </c>
      <c r="D1472" s="2" t="str">
        <f t="shared" si="22"/>
        <v>Error?</v>
      </c>
    </row>
    <row r="1473" spans="1:4" x14ac:dyDescent="0.2">
      <c r="A1473" s="5">
        <v>1412</v>
      </c>
      <c r="B1473" s="138">
        <f>'Expenditures 15-22'!K224</f>
        <v>1605</v>
      </c>
      <c r="C1473" s="2" t="s">
        <v>573</v>
      </c>
      <c r="D1473" s="2" t="str">
        <f t="shared" si="22"/>
        <v>Error?</v>
      </c>
    </row>
    <row r="1474" spans="1:4" x14ac:dyDescent="0.2">
      <c r="A1474" s="5">
        <v>1413</v>
      </c>
      <c r="B1474" s="138">
        <f>'Expenditures 15-22'!K229</f>
        <v>873178</v>
      </c>
      <c r="C1474" s="2" t="s">
        <v>573</v>
      </c>
      <c r="D1474" s="2" t="str">
        <f t="shared" si="22"/>
        <v>Error?</v>
      </c>
    </row>
    <row r="1475" spans="1:4" x14ac:dyDescent="0.2">
      <c r="A1475" s="5">
        <v>1414</v>
      </c>
      <c r="B1475" s="138">
        <f>'Expenditures 15-22'!K232</f>
        <v>40512</v>
      </c>
      <c r="C1475" s="2" t="s">
        <v>573</v>
      </c>
      <c r="D1475" s="2" t="str">
        <f t="shared" si="22"/>
        <v>Error?</v>
      </c>
    </row>
    <row r="1476" spans="1:4" x14ac:dyDescent="0.2">
      <c r="A1476" s="5">
        <v>1415</v>
      </c>
      <c r="B1476" s="138">
        <f>'Expenditures 15-22'!K233</f>
        <v>55340</v>
      </c>
      <c r="C1476" s="2" t="s">
        <v>573</v>
      </c>
      <c r="D1476" s="2" t="str">
        <f t="shared" si="22"/>
        <v>Error?</v>
      </c>
    </row>
    <row r="1477" spans="1:4" x14ac:dyDescent="0.2">
      <c r="A1477" s="5">
        <v>1416</v>
      </c>
      <c r="B1477" s="138">
        <f>'Expenditures 15-22'!K234</f>
        <v>89571</v>
      </c>
      <c r="C1477" s="2" t="s">
        <v>573</v>
      </c>
      <c r="D1477" s="2" t="str">
        <f t="shared" si="22"/>
        <v>Error?</v>
      </c>
    </row>
    <row r="1478" spans="1:4" x14ac:dyDescent="0.2">
      <c r="A1478" s="5">
        <v>1417</v>
      </c>
      <c r="B1478" s="138">
        <f>'Expenditures 15-22'!K235</f>
        <v>12398</v>
      </c>
      <c r="C1478" s="2" t="s">
        <v>573</v>
      </c>
      <c r="D1478" s="2" t="str">
        <f t="shared" si="22"/>
        <v>Error?</v>
      </c>
    </row>
    <row r="1479" spans="1:4" x14ac:dyDescent="0.2">
      <c r="A1479" s="5">
        <v>1418</v>
      </c>
      <c r="B1479" s="138">
        <f>'Expenditures 15-22'!K236</f>
        <v>10372</v>
      </c>
      <c r="C1479" s="2" t="s">
        <v>573</v>
      </c>
      <c r="D1479" s="2" t="str">
        <f t="shared" si="22"/>
        <v>Error?</v>
      </c>
    </row>
    <row r="1480" spans="1:4" x14ac:dyDescent="0.2">
      <c r="A1480" s="5">
        <v>1419</v>
      </c>
      <c r="B1480" s="138">
        <f>'Expenditures 15-22'!K237</f>
        <v>9161</v>
      </c>
      <c r="C1480" s="2" t="s">
        <v>573</v>
      </c>
      <c r="D1480" s="2" t="str">
        <f t="shared" si="22"/>
        <v>Error?</v>
      </c>
    </row>
    <row r="1481" spans="1:4" x14ac:dyDescent="0.2">
      <c r="A1481" s="5">
        <v>1420</v>
      </c>
      <c r="B1481" s="138">
        <f>'Expenditures 15-22'!K238</f>
        <v>217354</v>
      </c>
      <c r="C1481" s="2" t="s">
        <v>573</v>
      </c>
      <c r="D1481" s="2" t="str">
        <f t="shared" si="22"/>
        <v>Error?</v>
      </c>
    </row>
    <row r="1482" spans="1:4" x14ac:dyDescent="0.2">
      <c r="A1482" s="5">
        <v>1421</v>
      </c>
      <c r="B1482" s="138">
        <f>'Expenditures 15-22'!K240</f>
        <v>7460</v>
      </c>
      <c r="C1482" s="2" t="s">
        <v>573</v>
      </c>
      <c r="D1482" s="2" t="str">
        <f t="shared" si="22"/>
        <v>Error?</v>
      </c>
    </row>
    <row r="1483" spans="1:4" x14ac:dyDescent="0.2">
      <c r="A1483" s="5">
        <v>1422</v>
      </c>
      <c r="B1483" s="138">
        <f>'Expenditures 15-22'!K241</f>
        <v>31280</v>
      </c>
      <c r="C1483" s="2" t="s">
        <v>573</v>
      </c>
      <c r="D1483" s="2" t="str">
        <f t="shared" si="22"/>
        <v>Error?</v>
      </c>
    </row>
    <row r="1484" spans="1:4" x14ac:dyDescent="0.2">
      <c r="A1484" s="5">
        <v>1423</v>
      </c>
      <c r="B1484" s="138">
        <f>'Expenditures 15-22'!K242</f>
        <v>248</v>
      </c>
      <c r="C1484" s="2" t="s">
        <v>573</v>
      </c>
      <c r="D1484" s="2" t="str">
        <f t="shared" si="22"/>
        <v>Error?</v>
      </c>
    </row>
    <row r="1485" spans="1:4" x14ac:dyDescent="0.2">
      <c r="A1485" s="5">
        <v>1424</v>
      </c>
      <c r="B1485" s="138">
        <f>'Expenditures 15-22'!K243</f>
        <v>38988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11212</v>
      </c>
      <c r="C1487" s="2" t="s">
        <v>573</v>
      </c>
      <c r="D1487" s="2" t="str">
        <f t="shared" si="22"/>
        <v>Error?</v>
      </c>
    </row>
    <row r="1488" spans="1:4" x14ac:dyDescent="0.2">
      <c r="A1488" s="5">
        <v>1427</v>
      </c>
      <c r="B1488" s="138">
        <f>'Expenditures 15-22'!K257</f>
        <v>11507</v>
      </c>
      <c r="C1488" s="2" t="s">
        <v>573</v>
      </c>
      <c r="D1488" s="2" t="str">
        <f t="shared" si="22"/>
        <v>Error?</v>
      </c>
    </row>
    <row r="1489" spans="1:4" x14ac:dyDescent="0.2">
      <c r="A1489" s="5">
        <v>1428</v>
      </c>
      <c r="B1489" s="138">
        <f>'Expenditures 15-22'!K259</f>
        <v>162533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162533</v>
      </c>
      <c r="C1491" s="2" t="s">
        <v>573</v>
      </c>
      <c r="D1491" s="2" t="str">
        <f t="shared" si="22"/>
        <v>Error?</v>
      </c>
    </row>
    <row r="1492" spans="1:4" x14ac:dyDescent="0.2">
      <c r="A1492" s="5">
        <v>1431</v>
      </c>
      <c r="B1492" s="138">
        <f>'Expenditures 15-22'!K263</f>
        <v>7515</v>
      </c>
      <c r="C1492" s="2" t="s">
        <v>573</v>
      </c>
      <c r="D1492" s="2" t="str">
        <f t="shared" si="22"/>
        <v>Error?</v>
      </c>
    </row>
    <row r="1493" spans="1:4" x14ac:dyDescent="0.2">
      <c r="A1493" s="5">
        <v>1432</v>
      </c>
      <c r="B1493" s="138">
        <f>'Expenditures 15-22'!K264</f>
        <v>41056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447905</v>
      </c>
      <c r="C1495" s="2" t="s">
        <v>573</v>
      </c>
      <c r="D1495" s="2" t="str">
        <f t="shared" si="22"/>
        <v>Error?</v>
      </c>
    </row>
    <row r="1496" spans="1:4" x14ac:dyDescent="0.2">
      <c r="A1496" s="5">
        <v>1435</v>
      </c>
      <c r="B1496" s="138">
        <f>'Expenditures 15-22'!K267</f>
        <v>1511</v>
      </c>
      <c r="C1496" s="2" t="s">
        <v>573</v>
      </c>
      <c r="D1496" s="2" t="str">
        <f t="shared" si="22"/>
        <v>Error?</v>
      </c>
    </row>
    <row r="1497" spans="1:4" x14ac:dyDescent="0.2">
      <c r="A1497" s="5">
        <v>1436</v>
      </c>
      <c r="B1497" s="138">
        <f>'Expenditures 15-22'!K268</f>
        <v>169727</v>
      </c>
      <c r="C1497" s="2" t="s">
        <v>573</v>
      </c>
      <c r="D1497" s="2" t="str">
        <f t="shared" si="22"/>
        <v>Error?</v>
      </c>
    </row>
    <row r="1498" spans="1:4" x14ac:dyDescent="0.2">
      <c r="A1498" s="5">
        <v>1437</v>
      </c>
      <c r="B1498" s="138">
        <f>'Expenditures 15-22'!K269</f>
        <v>10386</v>
      </c>
      <c r="C1498" s="2" t="s">
        <v>573</v>
      </c>
      <c r="D1498" s="2" t="str">
        <f t="shared" si="22"/>
        <v>Error?</v>
      </c>
    </row>
    <row r="1499" spans="1:4" x14ac:dyDescent="0.2">
      <c r="A1499" s="10">
        <v>1438</v>
      </c>
      <c r="D1499" s="2" t="str">
        <f t="shared" si="22"/>
        <v>OK</v>
      </c>
    </row>
    <row r="1500" spans="1:4" x14ac:dyDescent="0.2">
      <c r="A1500" s="5">
        <v>1439</v>
      </c>
      <c r="B1500" s="138">
        <f>'Expenditures 15-22'!K270</f>
        <v>678100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12933</v>
      </c>
      <c r="C1503" s="2" t="s">
        <v>573</v>
      </c>
      <c r="D1503" s="2" t="str">
        <f t="shared" si="22"/>
        <v>Error?</v>
      </c>
    </row>
    <row r="1504" spans="1:4" x14ac:dyDescent="0.2">
      <c r="A1504" s="5">
        <v>1443</v>
      </c>
      <c r="B1504" s="138">
        <f>'Expenditures 15-22'!K275</f>
        <v>26078</v>
      </c>
      <c r="C1504" s="2" t="s">
        <v>573</v>
      </c>
      <c r="D1504" s="2" t="str">
        <f t="shared" si="22"/>
        <v>Error?</v>
      </c>
    </row>
    <row r="1505" spans="1:4" x14ac:dyDescent="0.2">
      <c r="A1505" s="10">
        <v>1444</v>
      </c>
      <c r="D1505" s="2" t="str">
        <f t="shared" si="22"/>
        <v>OK</v>
      </c>
    </row>
    <row r="1506" spans="1:4" x14ac:dyDescent="0.2">
      <c r="A1506" s="5">
        <v>1445</v>
      </c>
      <c r="B1506" s="138">
        <f>'Expenditures 15-22'!K276</f>
        <v>67158</v>
      </c>
      <c r="C1506" s="2" t="s">
        <v>573</v>
      </c>
      <c r="D1506" s="2" t="str">
        <f t="shared" si="22"/>
        <v>Error?</v>
      </c>
    </row>
    <row r="1507" spans="1:4" x14ac:dyDescent="0.2">
      <c r="A1507" s="10">
        <v>1446</v>
      </c>
      <c r="D1507" s="2" t="str">
        <f t="shared" si="22"/>
        <v>OK</v>
      </c>
    </row>
    <row r="1508" spans="1:4" x14ac:dyDescent="0.2">
      <c r="A1508" s="5">
        <v>1447</v>
      </c>
      <c r="B1508" s="138">
        <f>'Expenditures 15-22'!K277</f>
        <v>106169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1214651</v>
      </c>
      <c r="C1510" s="2" t="s">
        <v>573</v>
      </c>
      <c r="D1510" s="2" t="str">
        <f t="shared" si="22"/>
        <v>Error?</v>
      </c>
    </row>
    <row r="1511" spans="1:4" x14ac:dyDescent="0.2">
      <c r="A1511" s="5">
        <v>1450</v>
      </c>
      <c r="B1511" s="138">
        <f>'Expenditures 15-22'!K280</f>
        <v>9035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2096864</v>
      </c>
      <c r="C1517" s="2" t="s">
        <v>573</v>
      </c>
      <c r="D1517" s="2" t="str">
        <f t="shared" si="22"/>
        <v>Error?</v>
      </c>
    </row>
    <row r="1518" spans="1:4" x14ac:dyDescent="0.2">
      <c r="A1518" s="5">
        <v>1457</v>
      </c>
      <c r="B1518" s="138">
        <f>'Expenditures 15-22'!K296</f>
        <v>258265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2092353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2092353</v>
      </c>
      <c r="C1547" s="2" t="s">
        <v>573</v>
      </c>
      <c r="D1547" s="2" t="str">
        <f t="shared" si="23"/>
        <v>Error?</v>
      </c>
    </row>
    <row r="1548" spans="1:4" x14ac:dyDescent="0.2">
      <c r="A1548" s="5">
        <v>1487</v>
      </c>
      <c r="B1548" s="138">
        <f>'Expenditures 15-22'!G312</f>
        <v>2092353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2092353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2092353</v>
      </c>
      <c r="C1559" s="2" t="s">
        <v>573</v>
      </c>
      <c r="D1559" s="2" t="str">
        <f t="shared" si="23"/>
        <v>Error?</v>
      </c>
    </row>
    <row r="1560" spans="1:4" x14ac:dyDescent="0.2">
      <c r="A1560" s="5">
        <v>1499</v>
      </c>
      <c r="B1560" s="138">
        <f>'Expenditures 15-22'!K312</f>
        <v>2092353</v>
      </c>
      <c r="C1560" s="2" t="s">
        <v>573</v>
      </c>
      <c r="D1560" s="2" t="str">
        <f t="shared" si="23"/>
        <v>Error?</v>
      </c>
    </row>
    <row r="1561" spans="1:4" x14ac:dyDescent="0.2">
      <c r="A1561" s="5">
        <v>1500</v>
      </c>
      <c r="B1561" s="138">
        <f>'Expenditures 15-22'!K313</f>
        <v>1314612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24523003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25425966</v>
      </c>
      <c r="C1630" s="2" t="s">
        <v>573</v>
      </c>
      <c r="D1630" s="2" t="str">
        <f t="shared" si="24"/>
        <v>Error?</v>
      </c>
    </row>
    <row r="1631" spans="1:4" x14ac:dyDescent="0.2">
      <c r="A1631" s="5">
        <v>1570</v>
      </c>
      <c r="B1631" s="138">
        <f>'Acct Summary 7-8'!D79</f>
        <v>5914969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6091207</v>
      </c>
      <c r="C1644" s="2" t="s">
        <v>573</v>
      </c>
      <c r="D1644" s="2" t="str">
        <f t="shared" si="24"/>
        <v>Error?</v>
      </c>
    </row>
    <row r="1645" spans="1:4" x14ac:dyDescent="0.2">
      <c r="A1645" s="5">
        <v>1584</v>
      </c>
      <c r="B1645" s="138">
        <f>'Acct Summary 7-8'!E79</f>
        <v>2151239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1795608</v>
      </c>
      <c r="C1658" s="2" t="s">
        <v>573</v>
      </c>
      <c r="D1658" s="2" t="str">
        <f t="shared" si="24"/>
        <v>Error?</v>
      </c>
    </row>
    <row r="1659" spans="1:4" x14ac:dyDescent="0.2">
      <c r="A1659" s="5">
        <v>1598</v>
      </c>
      <c r="B1659" s="138">
        <f>'Acct Summary 7-8'!F79</f>
        <v>2447466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2940734</v>
      </c>
      <c r="C1672" s="2" t="s">
        <v>573</v>
      </c>
      <c r="D1672" s="2" t="str">
        <f t="shared" si="25"/>
        <v>Error?</v>
      </c>
    </row>
    <row r="1673" spans="1:4" x14ac:dyDescent="0.2">
      <c r="A1673" s="5">
        <v>1612</v>
      </c>
      <c r="B1673" s="138">
        <f>'Acct Summary 7-8'!G79</f>
        <v>1162678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1420943</v>
      </c>
      <c r="C1686" s="2" t="s">
        <v>573</v>
      </c>
      <c r="D1686" s="2" t="str">
        <f t="shared" si="25"/>
        <v>Error?</v>
      </c>
    </row>
    <row r="1687" spans="1:4" x14ac:dyDescent="0.2">
      <c r="A1687" s="5">
        <v>1626</v>
      </c>
      <c r="B1687" s="138">
        <f>'Acct Summary 7-8'!H79</f>
        <v>666588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1981200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18774588</v>
      </c>
      <c r="C1744" s="2" t="s">
        <v>573</v>
      </c>
      <c r="D1744" s="2" t="str">
        <f t="shared" si="26"/>
        <v>Error?</v>
      </c>
    </row>
    <row r="1745" spans="1:5" x14ac:dyDescent="0.2">
      <c r="A1745" s="5">
        <v>1684</v>
      </c>
      <c r="B1745" s="138">
        <f>'Tax Sched 23'!B5</f>
        <v>4167915</v>
      </c>
      <c r="C1745" s="2" t="s">
        <v>573</v>
      </c>
      <c r="D1745" s="2" t="str">
        <f t="shared" si="26"/>
        <v>Error?</v>
      </c>
    </row>
    <row r="1746" spans="1:5" x14ac:dyDescent="0.2">
      <c r="A1746" s="5">
        <v>1685</v>
      </c>
      <c r="B1746" s="138">
        <f>'Tax Sched 23'!B6</f>
        <v>3142088</v>
      </c>
      <c r="C1746" s="2" t="s">
        <v>573</v>
      </c>
      <c r="D1746" s="2" t="str">
        <f t="shared" si="26"/>
        <v>Error?</v>
      </c>
    </row>
    <row r="1747" spans="1:5" x14ac:dyDescent="0.2">
      <c r="A1747" s="5">
        <v>1686</v>
      </c>
      <c r="B1747" s="138">
        <f>'Tax Sched 23'!B7</f>
        <v>1093248</v>
      </c>
      <c r="C1747" s="2" t="s">
        <v>573</v>
      </c>
      <c r="D1747" s="2" t="str">
        <f t="shared" si="26"/>
        <v>Error?</v>
      </c>
    </row>
    <row r="1748" spans="1:5" x14ac:dyDescent="0.2">
      <c r="A1748" s="5">
        <v>1687</v>
      </c>
      <c r="B1748" s="138">
        <f>'Tax Sched 23'!B8</f>
        <v>1038600</v>
      </c>
      <c r="C1748" s="2" t="s">
        <v>573</v>
      </c>
      <c r="D1748" s="2" t="str">
        <f t="shared" si="26"/>
        <v>Error?</v>
      </c>
    </row>
    <row r="1749" spans="1:5" x14ac:dyDescent="0.2">
      <c r="A1749" s="5">
        <v>1688</v>
      </c>
      <c r="B1749" s="138">
        <f>'Tax Sched 23'!B10</f>
        <v>277861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825095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222289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30767215</v>
      </c>
      <c r="C1759" s="2" t="s">
        <v>573</v>
      </c>
      <c r="D1759" s="2" t="str">
        <f t="shared" si="26"/>
        <v>Error?</v>
      </c>
    </row>
    <row r="1760" spans="1:5" x14ac:dyDescent="0.2">
      <c r="A1760" s="5">
        <v>1699</v>
      </c>
      <c r="B1760" s="138">
        <f>'Tax Sched 23'!D4</f>
        <v>14692409</v>
      </c>
      <c r="C1760" s="2" t="s">
        <v>573</v>
      </c>
      <c r="D1760" s="2" t="str">
        <f t="shared" si="26"/>
        <v>Error?</v>
      </c>
    </row>
    <row r="1761" spans="1:5" x14ac:dyDescent="0.2">
      <c r="A1761" s="5">
        <v>1700</v>
      </c>
      <c r="B1761" s="138">
        <f>'Tax Sched 23'!D5</f>
        <v>3211154</v>
      </c>
      <c r="C1761" s="2" t="s">
        <v>573</v>
      </c>
      <c r="D1761" s="2" t="str">
        <f t="shared" si="26"/>
        <v>Error?</v>
      </c>
    </row>
    <row r="1762" spans="1:5" s="8" customFormat="1" x14ac:dyDescent="0.2">
      <c r="A1762" s="5">
        <v>1701</v>
      </c>
      <c r="B1762" s="138">
        <f>'Tax Sched 23'!D6</f>
        <v>2405510</v>
      </c>
      <c r="C1762" s="2" t="s">
        <v>573</v>
      </c>
      <c r="D1762" s="2" t="str">
        <f t="shared" si="26"/>
        <v>Error?</v>
      </c>
      <c r="E1762" s="9"/>
    </row>
    <row r="1763" spans="1:5" x14ac:dyDescent="0.2">
      <c r="A1763" s="5">
        <v>1702</v>
      </c>
      <c r="B1763" s="138">
        <f>'Tax Sched 23'!D7</f>
        <v>845766</v>
      </c>
      <c r="C1763" s="2" t="s">
        <v>573</v>
      </c>
      <c r="D1763" s="2" t="str">
        <f t="shared" si="26"/>
        <v>Error?</v>
      </c>
    </row>
    <row r="1764" spans="1:5" x14ac:dyDescent="0.2">
      <c r="A1764" s="5">
        <v>1703</v>
      </c>
      <c r="B1764" s="138">
        <f>'Tax Sched 23'!D8</f>
        <v>797752</v>
      </c>
      <c r="C1764" s="2" t="s">
        <v>573</v>
      </c>
      <c r="D1764" s="2" t="str">
        <f t="shared" si="26"/>
        <v>Error?</v>
      </c>
    </row>
    <row r="1765" spans="1:5" x14ac:dyDescent="0.2">
      <c r="A1765" s="5">
        <v>1704</v>
      </c>
      <c r="B1765" s="138">
        <f>'Tax Sched 23'!D10</f>
        <v>214077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636039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171262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23912727</v>
      </c>
      <c r="C1775" s="2" t="s">
        <v>573</v>
      </c>
      <c r="D1775" s="2" t="str">
        <f t="shared" si="26"/>
        <v>Error?</v>
      </c>
    </row>
    <row r="1776" spans="1:5" x14ac:dyDescent="0.2">
      <c r="A1776" s="5">
        <v>1715</v>
      </c>
      <c r="B1776" s="138">
        <f>'Tax Sched 23'!C4</f>
        <v>4082179</v>
      </c>
      <c r="D1776" s="2" t="str">
        <f t="shared" si="26"/>
        <v>Error?</v>
      </c>
    </row>
    <row r="1777" spans="1:4" x14ac:dyDescent="0.2">
      <c r="A1777" s="5">
        <v>1716</v>
      </c>
      <c r="B1777" s="138">
        <f>'Tax Sched 23'!C5</f>
        <v>956761</v>
      </c>
      <c r="D1777" s="2" t="str">
        <f t="shared" si="26"/>
        <v>Error?</v>
      </c>
    </row>
    <row r="1778" spans="1:4" x14ac:dyDescent="0.2">
      <c r="A1778" s="5">
        <v>1717</v>
      </c>
      <c r="B1778" s="138">
        <f>'Tax Sched 23'!C6</f>
        <v>736578</v>
      </c>
      <c r="D1778" s="2" t="str">
        <f t="shared" si="26"/>
        <v>Error?</v>
      </c>
    </row>
    <row r="1779" spans="1:4" x14ac:dyDescent="0.2">
      <c r="A1779" s="5">
        <v>1718</v>
      </c>
      <c r="B1779" s="138">
        <f>'Tax Sched 23'!C7</f>
        <v>247482</v>
      </c>
      <c r="D1779" s="2" t="str">
        <f t="shared" si="26"/>
        <v>Error?</v>
      </c>
    </row>
    <row r="1780" spans="1:4" x14ac:dyDescent="0.2">
      <c r="A1780" s="5">
        <v>1719</v>
      </c>
      <c r="B1780" s="138">
        <f>'Tax Sched 23'!C8</f>
        <v>240848</v>
      </c>
      <c r="D1780" s="2" t="str">
        <f t="shared" si="26"/>
        <v>Error?</v>
      </c>
    </row>
    <row r="1781" spans="1:4" x14ac:dyDescent="0.2">
      <c r="A1781" s="5">
        <v>1720</v>
      </c>
      <c r="B1781" s="138">
        <f>'Tax Sched 23'!C10</f>
        <v>63784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189056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51027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6854488</v>
      </c>
      <c r="C1791" s="2" t="s">
        <v>573</v>
      </c>
      <c r="D1791" s="2" t="str">
        <f t="shared" ref="D1791:D1854" si="27">IF(ISBLANK(B1791),"OK",IF(A1791-B1791=0,"OK","Error?"))</f>
        <v>Error?</v>
      </c>
    </row>
    <row r="1792" spans="1:4" x14ac:dyDescent="0.2">
      <c r="A1792" s="5">
        <v>1731</v>
      </c>
      <c r="B1792" s="138">
        <f>'Tax Sched 23'!F4</f>
        <v>13626728</v>
      </c>
      <c r="C1792" s="2" t="s">
        <v>573</v>
      </c>
      <c r="D1792" s="2" t="str">
        <f t="shared" si="27"/>
        <v>Error?</v>
      </c>
    </row>
    <row r="1793" spans="1:4" x14ac:dyDescent="0.2">
      <c r="A1793" s="5">
        <v>1732</v>
      </c>
      <c r="B1793" s="138">
        <f>'Tax Sched 23'!F5</f>
        <v>3193764</v>
      </c>
      <c r="C1793" s="2" t="s">
        <v>573</v>
      </c>
      <c r="D1793" s="2" t="str">
        <f t="shared" si="27"/>
        <v>Error?</v>
      </c>
    </row>
    <row r="1794" spans="1:4" x14ac:dyDescent="0.2">
      <c r="A1794" s="5">
        <v>1733</v>
      </c>
      <c r="B1794" s="138">
        <f>'Tax Sched 23'!F6</f>
        <v>2458773</v>
      </c>
      <c r="C1794" s="2" t="s">
        <v>573</v>
      </c>
      <c r="D1794" s="2" t="str">
        <f t="shared" si="27"/>
        <v>Error?</v>
      </c>
    </row>
    <row r="1795" spans="1:4" x14ac:dyDescent="0.2">
      <c r="A1795" s="5">
        <v>1734</v>
      </c>
      <c r="B1795" s="138">
        <f>'Tax Sched 23'!F7</f>
        <v>826121</v>
      </c>
      <c r="C1795" s="2" t="s">
        <v>573</v>
      </c>
      <c r="D1795" s="2" t="str">
        <f t="shared" si="27"/>
        <v>Error?</v>
      </c>
    </row>
    <row r="1796" spans="1:4" x14ac:dyDescent="0.2">
      <c r="A1796" s="5">
        <v>1735</v>
      </c>
      <c r="B1796" s="138">
        <f>'Tax Sched 23'!F8</f>
        <v>803977</v>
      </c>
      <c r="C1796" s="2" t="s">
        <v>573</v>
      </c>
      <c r="D1796" s="2" t="str">
        <f t="shared" si="27"/>
        <v>Error?</v>
      </c>
    </row>
    <row r="1797" spans="1:4" x14ac:dyDescent="0.2">
      <c r="A1797" s="5">
        <v>1736</v>
      </c>
      <c r="B1797" s="138">
        <f>'Tax Sched 23'!F10</f>
        <v>212918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631088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170334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22880981</v>
      </c>
      <c r="C1807" s="2" t="s">
        <v>573</v>
      </c>
      <c r="D1807" s="2" t="str">
        <f t="shared" si="27"/>
        <v>Error?</v>
      </c>
    </row>
    <row r="1808" spans="1:4" x14ac:dyDescent="0.2">
      <c r="A1808" s="5">
        <v>1747</v>
      </c>
      <c r="B1808" s="138">
        <f>'Tax Sched 23'!E4</f>
        <v>17708907</v>
      </c>
      <c r="D1808" s="2" t="str">
        <f t="shared" si="27"/>
        <v>Error?</v>
      </c>
    </row>
    <row r="1809" spans="1:4" x14ac:dyDescent="0.2">
      <c r="A1809" s="5">
        <v>1748</v>
      </c>
      <c r="B1809" s="138">
        <f>'Tax Sched 23'!E5</f>
        <v>4150525</v>
      </c>
      <c r="D1809" s="2" t="str">
        <f t="shared" si="27"/>
        <v>Error?</v>
      </c>
    </row>
    <row r="1810" spans="1:4" x14ac:dyDescent="0.2">
      <c r="A1810" s="5">
        <v>1749</v>
      </c>
      <c r="B1810" s="138">
        <f>'Tax Sched 23'!E6</f>
        <v>3195351</v>
      </c>
      <c r="D1810" s="2" t="str">
        <f t="shared" si="27"/>
        <v>Error?</v>
      </c>
    </row>
    <row r="1811" spans="1:4" x14ac:dyDescent="0.2">
      <c r="A1811" s="5">
        <v>1750</v>
      </c>
      <c r="B1811" s="138">
        <f>'Tax Sched 23'!E7</f>
        <v>1073603</v>
      </c>
      <c r="D1811" s="2" t="str">
        <f t="shared" si="27"/>
        <v>Error?</v>
      </c>
    </row>
    <row r="1812" spans="1:4" x14ac:dyDescent="0.2">
      <c r="A1812" s="5">
        <v>1751</v>
      </c>
      <c r="B1812" s="138">
        <f>'Tax Sched 23'!E8</f>
        <v>1044825</v>
      </c>
      <c r="D1812" s="2" t="str">
        <f t="shared" si="27"/>
        <v>Error?</v>
      </c>
    </row>
    <row r="1813" spans="1:4" x14ac:dyDescent="0.2">
      <c r="A1813" s="5">
        <v>1752</v>
      </c>
      <c r="B1813" s="138">
        <f>'Tax Sched 23'!E10</f>
        <v>276702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820144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221361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29735469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27730000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222289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222289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222289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2438741</v>
      </c>
      <c r="D2008" s="2" t="str">
        <f t="shared" si="30"/>
        <v>Error?</v>
      </c>
    </row>
    <row r="2009" spans="1:4" x14ac:dyDescent="0.2">
      <c r="A2009" s="5">
        <v>1948</v>
      </c>
      <c r="B2009" s="138">
        <f>'Cap Outlay Deprec 26'!C8</f>
        <v>76372483</v>
      </c>
      <c r="D2009" s="2" t="str">
        <f t="shared" si="30"/>
        <v>Error?</v>
      </c>
    </row>
    <row r="2010" spans="1:4" x14ac:dyDescent="0.2">
      <c r="A2010" s="5">
        <v>1949</v>
      </c>
      <c r="B2010" s="138">
        <f>'Cap Outlay Deprec 26'!C10</f>
        <v>3452602</v>
      </c>
      <c r="D2010" s="2" t="str">
        <f t="shared" si="30"/>
        <v>Error?</v>
      </c>
    </row>
    <row r="2011" spans="1:4" x14ac:dyDescent="0.2">
      <c r="A2011" s="5">
        <v>1950</v>
      </c>
      <c r="B2011" s="138">
        <f>'Cap Outlay Deprec 26'!C12</f>
        <v>2796679</v>
      </c>
      <c r="D2011" s="2" t="str">
        <f t="shared" si="30"/>
        <v>Error?</v>
      </c>
    </row>
    <row r="2012" spans="1:4" x14ac:dyDescent="0.2">
      <c r="A2012" s="5">
        <v>1951</v>
      </c>
      <c r="B2012" s="138">
        <f>'Cap Outlay Deprec 26'!C13</f>
        <v>626609</v>
      </c>
      <c r="D2012" s="2" t="str">
        <f t="shared" si="30"/>
        <v>Error?</v>
      </c>
    </row>
    <row r="2013" spans="1:4" x14ac:dyDescent="0.2">
      <c r="A2013" s="5">
        <v>1952</v>
      </c>
      <c r="B2013" s="138">
        <f>'Cap Outlay Deprec 26'!C16</f>
        <v>87444763</v>
      </c>
      <c r="C2013" s="2" t="s">
        <v>573</v>
      </c>
      <c r="D2013" s="2" t="str">
        <f t="shared" si="30"/>
        <v>Error?</v>
      </c>
    </row>
    <row r="2014" spans="1:4" x14ac:dyDescent="0.2">
      <c r="A2014" s="5">
        <v>1953</v>
      </c>
      <c r="B2014" s="138">
        <f>'Cap Outlay Deprec 26'!D5</f>
        <v>525</v>
      </c>
      <c r="D2014" s="2" t="str">
        <f t="shared" si="30"/>
        <v>Error?</v>
      </c>
    </row>
    <row r="2015" spans="1:4" x14ac:dyDescent="0.2">
      <c r="A2015" s="5">
        <v>1954</v>
      </c>
      <c r="B2015" s="138">
        <f>'Cap Outlay Deprec 26'!D8</f>
        <v>2683090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368090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3951222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1336681</v>
      </c>
      <c r="C2025" s="2" t="s">
        <v>573</v>
      </c>
      <c r="D2025" s="2" t="str">
        <f t="shared" si="30"/>
        <v>Error?</v>
      </c>
    </row>
    <row r="2026" spans="1:4" x14ac:dyDescent="0.2">
      <c r="A2026" s="5">
        <v>1965</v>
      </c>
      <c r="B2026" s="138">
        <f>'Cap Outlay Deprec 26'!F5</f>
        <v>2439266</v>
      </c>
      <c r="C2026" s="2" t="s">
        <v>573</v>
      </c>
      <c r="D2026" s="2" t="str">
        <f t="shared" si="30"/>
        <v>Error?</v>
      </c>
    </row>
    <row r="2027" spans="1:4" x14ac:dyDescent="0.2">
      <c r="A2027" s="5">
        <v>1966</v>
      </c>
      <c r="B2027" s="138">
        <f>'Cap Outlay Deprec 26'!F8</f>
        <v>79055573</v>
      </c>
      <c r="C2027" s="2" t="s">
        <v>573</v>
      </c>
      <c r="D2027" s="2" t="str">
        <f t="shared" si="30"/>
        <v>Error?</v>
      </c>
    </row>
    <row r="2028" spans="1:4" x14ac:dyDescent="0.2">
      <c r="A2028" s="5">
        <v>1967</v>
      </c>
      <c r="B2028" s="138">
        <f>'Cap Outlay Deprec 26'!F10</f>
        <v>3452602</v>
      </c>
      <c r="C2028" s="2" t="s">
        <v>573</v>
      </c>
      <c r="D2028" s="2" t="str">
        <f t="shared" si="30"/>
        <v>Error?</v>
      </c>
    </row>
    <row r="2029" spans="1:4" x14ac:dyDescent="0.2">
      <c r="A2029" s="5">
        <v>1968</v>
      </c>
      <c r="B2029" s="138">
        <f>'Cap Outlay Deprec 26'!F12</f>
        <v>3164769</v>
      </c>
      <c r="C2029" s="2" t="s">
        <v>573</v>
      </c>
      <c r="D2029" s="2" t="str">
        <f t="shared" si="30"/>
        <v>Error?</v>
      </c>
    </row>
    <row r="2030" spans="1:4" x14ac:dyDescent="0.2">
      <c r="A2030" s="5">
        <v>1969</v>
      </c>
      <c r="B2030" s="138">
        <f>'Cap Outlay Deprec 26'!F13</f>
        <v>626609</v>
      </c>
      <c r="C2030" s="2" t="s">
        <v>573</v>
      </c>
      <c r="D2030" s="2" t="str">
        <f t="shared" si="30"/>
        <v>Error?</v>
      </c>
    </row>
    <row r="2031" spans="1:4" x14ac:dyDescent="0.2">
      <c r="A2031" s="5">
        <v>1970</v>
      </c>
      <c r="B2031" s="138">
        <f>'Cap Outlay Deprec 26'!F16</f>
        <v>90059304</v>
      </c>
      <c r="C2031" s="2" t="s">
        <v>573</v>
      </c>
      <c r="D2031" s="2" t="str">
        <f t="shared" si="30"/>
        <v>Error?</v>
      </c>
    </row>
    <row r="2032" spans="1:4" x14ac:dyDescent="0.2">
      <c r="A2032" s="10">
        <v>1971</v>
      </c>
      <c r="D2032" s="2" t="str">
        <f t="shared" si="30"/>
        <v>OK</v>
      </c>
    </row>
    <row r="2033" spans="1:4" x14ac:dyDescent="0.2">
      <c r="A2033" s="5">
        <v>1972</v>
      </c>
      <c r="B2033" s="138">
        <f>'Cap Outlay Deprec 26'!H8</f>
        <v>29874252</v>
      </c>
      <c r="D2033" s="2" t="str">
        <f t="shared" si="30"/>
        <v>Error?</v>
      </c>
    </row>
    <row r="2034" spans="1:4" x14ac:dyDescent="0.2">
      <c r="A2034" s="5">
        <v>1973</v>
      </c>
      <c r="B2034" s="138">
        <f>'Cap Outlay Deprec 26'!H10</f>
        <v>2243471</v>
      </c>
      <c r="D2034" s="2" t="str">
        <f t="shared" si="30"/>
        <v>Error?</v>
      </c>
    </row>
    <row r="2035" spans="1:4" x14ac:dyDescent="0.2">
      <c r="A2035" s="5">
        <v>1974</v>
      </c>
      <c r="B2035" s="138">
        <f>'Cap Outlay Deprec 26'!H12</f>
        <v>2197393</v>
      </c>
      <c r="D2035" s="2" t="str">
        <f t="shared" si="30"/>
        <v>Error?</v>
      </c>
    </row>
    <row r="2036" spans="1:4" x14ac:dyDescent="0.2">
      <c r="A2036" s="5">
        <v>1975</v>
      </c>
      <c r="B2036" s="138">
        <f>'Cap Outlay Deprec 26'!H13</f>
        <v>544345</v>
      </c>
      <c r="D2036" s="2" t="str">
        <f t="shared" si="30"/>
        <v>Error?</v>
      </c>
    </row>
    <row r="2037" spans="1:4" x14ac:dyDescent="0.2">
      <c r="A2037" s="5">
        <v>1976</v>
      </c>
      <c r="B2037" s="138">
        <f>'Cap Outlay Deprec 26'!H16</f>
        <v>35254363</v>
      </c>
      <c r="C2037" s="2" t="s">
        <v>573</v>
      </c>
      <c r="D2037" s="2" t="str">
        <f t="shared" si="30"/>
        <v>Error?</v>
      </c>
    </row>
    <row r="2038" spans="1:4" x14ac:dyDescent="0.2">
      <c r="A2038" s="10">
        <v>1977</v>
      </c>
      <c r="D2038" s="2" t="str">
        <f t="shared" si="30"/>
        <v>OK</v>
      </c>
    </row>
    <row r="2039" spans="1:4" x14ac:dyDescent="0.2">
      <c r="A2039" s="5">
        <v>1978</v>
      </c>
      <c r="B2039" s="138">
        <f>'Cap Outlay Deprec 26'!I8</f>
        <v>1374536</v>
      </c>
      <c r="D2039" s="2" t="str">
        <f t="shared" si="30"/>
        <v>Error?</v>
      </c>
    </row>
    <row r="2040" spans="1:4" x14ac:dyDescent="0.2">
      <c r="A2040" s="5">
        <v>1979</v>
      </c>
      <c r="B2040" s="138">
        <f>'Cap Outlay Deprec 26'!I10</f>
        <v>126125</v>
      </c>
      <c r="D2040" s="2" t="str">
        <f t="shared" si="30"/>
        <v>Error?</v>
      </c>
    </row>
    <row r="2041" spans="1:4" x14ac:dyDescent="0.2">
      <c r="A2041" s="5">
        <v>1980</v>
      </c>
      <c r="B2041" s="138">
        <f>'Cap Outlay Deprec 26'!I12</f>
        <v>122923</v>
      </c>
      <c r="D2041" s="2" t="str">
        <f t="shared" si="30"/>
        <v>Error?</v>
      </c>
    </row>
    <row r="2042" spans="1:4" x14ac:dyDescent="0.2">
      <c r="A2042" s="5">
        <v>1981</v>
      </c>
      <c r="B2042" s="138">
        <f>'Cap Outlay Deprec 26'!I13</f>
        <v>37848</v>
      </c>
      <c r="D2042" s="2" t="str">
        <f t="shared" si="30"/>
        <v>Error?</v>
      </c>
    </row>
    <row r="2043" spans="1:4" x14ac:dyDescent="0.2">
      <c r="A2043" s="5">
        <v>1982</v>
      </c>
      <c r="B2043" s="138">
        <f>'Cap Outlay Deprec 26'!I16</f>
        <v>1664667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31248788</v>
      </c>
      <c r="C2051" s="2" t="s">
        <v>573</v>
      </c>
      <c r="D2051" s="2" t="str">
        <f t="shared" si="31"/>
        <v>Error?</v>
      </c>
    </row>
    <row r="2052" spans="1:4" x14ac:dyDescent="0.2">
      <c r="A2052" s="5">
        <v>1991</v>
      </c>
      <c r="B2052" s="138">
        <f>'Cap Outlay Deprec 26'!K10</f>
        <v>2369596</v>
      </c>
      <c r="C2052" s="2" t="s">
        <v>573</v>
      </c>
      <c r="D2052" s="2" t="str">
        <f t="shared" si="31"/>
        <v>Error?</v>
      </c>
    </row>
    <row r="2053" spans="1:4" x14ac:dyDescent="0.2">
      <c r="A2053" s="5">
        <v>1992</v>
      </c>
      <c r="B2053" s="138">
        <f>'Cap Outlay Deprec 26'!K12</f>
        <v>2320316</v>
      </c>
      <c r="C2053" s="2" t="s">
        <v>573</v>
      </c>
      <c r="D2053" s="2" t="str">
        <f t="shared" si="31"/>
        <v>Error?</v>
      </c>
    </row>
    <row r="2054" spans="1:4" x14ac:dyDescent="0.2">
      <c r="A2054" s="5">
        <v>1993</v>
      </c>
      <c r="B2054" s="138">
        <f>'Cap Outlay Deprec 26'!K13</f>
        <v>582193</v>
      </c>
      <c r="C2054" s="2" t="s">
        <v>573</v>
      </c>
      <c r="D2054" s="2" t="str">
        <f t="shared" si="31"/>
        <v>Error?</v>
      </c>
    </row>
    <row r="2055" spans="1:4" x14ac:dyDescent="0.2">
      <c r="A2055" s="5">
        <v>1994</v>
      </c>
      <c r="B2055" s="138">
        <f>'Cap Outlay Deprec 26'!K16</f>
        <v>36919030</v>
      </c>
      <c r="C2055" s="2" t="s">
        <v>573</v>
      </c>
      <c r="D2055" s="2" t="str">
        <f t="shared" si="31"/>
        <v>Error?</v>
      </c>
    </row>
    <row r="2056" spans="1:4" x14ac:dyDescent="0.2">
      <c r="A2056" s="5">
        <v>1995</v>
      </c>
      <c r="B2056" s="138">
        <f>'Cap Outlay Deprec 26'!L5</f>
        <v>2439266</v>
      </c>
      <c r="C2056" s="2" t="s">
        <v>573</v>
      </c>
      <c r="D2056" s="2" t="str">
        <f t="shared" si="31"/>
        <v>Error?</v>
      </c>
    </row>
    <row r="2057" spans="1:4" x14ac:dyDescent="0.2">
      <c r="A2057" s="5">
        <v>1996</v>
      </c>
      <c r="B2057" s="138">
        <f>'Cap Outlay Deprec 26'!L8</f>
        <v>47806785</v>
      </c>
      <c r="C2057" s="2" t="s">
        <v>573</v>
      </c>
      <c r="D2057" s="2" t="str">
        <f t="shared" si="31"/>
        <v>Error?</v>
      </c>
    </row>
    <row r="2058" spans="1:4" x14ac:dyDescent="0.2">
      <c r="A2058" s="5">
        <v>1997</v>
      </c>
      <c r="B2058" s="138">
        <f>'Cap Outlay Deprec 26'!L10</f>
        <v>1083006</v>
      </c>
      <c r="C2058" s="2" t="s">
        <v>573</v>
      </c>
      <c r="D2058" s="2" t="str">
        <f t="shared" si="31"/>
        <v>Error?</v>
      </c>
    </row>
    <row r="2059" spans="1:4" x14ac:dyDescent="0.2">
      <c r="A2059" s="5">
        <v>1998</v>
      </c>
      <c r="B2059" s="138">
        <f>'Cap Outlay Deprec 26'!L12</f>
        <v>844453</v>
      </c>
      <c r="C2059" s="2" t="s">
        <v>573</v>
      </c>
      <c r="D2059" s="2" t="str">
        <f t="shared" si="31"/>
        <v>Error?</v>
      </c>
    </row>
    <row r="2060" spans="1:4" x14ac:dyDescent="0.2">
      <c r="A2060" s="5">
        <v>1999</v>
      </c>
      <c r="B2060" s="138">
        <f>'Cap Outlay Deprec 26'!L13</f>
        <v>44416</v>
      </c>
      <c r="C2060" s="2" t="s">
        <v>573</v>
      </c>
      <c r="D2060" s="2" t="str">
        <f t="shared" si="31"/>
        <v>Error?</v>
      </c>
    </row>
    <row r="2061" spans="1:4" x14ac:dyDescent="0.2">
      <c r="A2061" s="5">
        <v>2000</v>
      </c>
      <c r="B2061" s="138">
        <f>'Cap Outlay Deprec 26'!L16</f>
        <v>53140274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2094682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2103892</v>
      </c>
      <c r="C2088" s="2" t="s">
        <v>573</v>
      </c>
      <c r="D2088" s="2" t="str">
        <f t="shared" si="31"/>
        <v>Error?</v>
      </c>
    </row>
    <row r="2089" spans="1:4" x14ac:dyDescent="0.2">
      <c r="A2089" s="5">
        <v>2028</v>
      </c>
      <c r="B2089" s="138">
        <f>'Expenditures 15-22'!K92</f>
        <v>25900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318673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1981200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25880637</v>
      </c>
      <c r="C2551" s="2" t="s">
        <v>573</v>
      </c>
      <c r="D2551" s="2" t="str">
        <f t="shared" si="38"/>
        <v>Error?</v>
      </c>
    </row>
    <row r="2552" spans="1:4" x14ac:dyDescent="0.2">
      <c r="A2552" s="10">
        <v>2491</v>
      </c>
      <c r="D2552" s="2" t="str">
        <f t="shared" si="38"/>
        <v>OK</v>
      </c>
    </row>
    <row r="2553" spans="1:4" x14ac:dyDescent="0.2">
      <c r="A2553" s="5">
        <v>2492</v>
      </c>
      <c r="B2553" s="138">
        <f>'Acct Summary 7-8'!C6</f>
        <v>28758866</v>
      </c>
      <c r="C2553" s="2" t="s">
        <v>573</v>
      </c>
      <c r="D2553" s="2" t="str">
        <f t="shared" si="38"/>
        <v>Error?</v>
      </c>
    </row>
    <row r="2554" spans="1:4" x14ac:dyDescent="0.2">
      <c r="A2554" s="5">
        <v>2493</v>
      </c>
      <c r="B2554" s="138">
        <f>'Acct Summary 7-8'!C7</f>
        <v>12184202</v>
      </c>
      <c r="C2554" s="2" t="s">
        <v>573</v>
      </c>
      <c r="D2554" s="2" t="str">
        <f t="shared" si="38"/>
        <v>Error?</v>
      </c>
    </row>
    <row r="2555" spans="1:4" x14ac:dyDescent="0.2">
      <c r="A2555" s="5">
        <v>2494</v>
      </c>
      <c r="B2555" s="138">
        <f>'Acct Summary 7-8'!C8</f>
        <v>66823705</v>
      </c>
      <c r="C2555" s="2" t="s">
        <v>573</v>
      </c>
      <c r="D2555" s="2" t="str">
        <f t="shared" si="38"/>
        <v>Error?</v>
      </c>
    </row>
    <row r="2556" spans="1:4" x14ac:dyDescent="0.2">
      <c r="A2556" s="5">
        <v>2495</v>
      </c>
      <c r="B2556" s="138">
        <f>'Acct Summary 7-8'!C12</f>
        <v>42884779</v>
      </c>
      <c r="C2556" s="2" t="s">
        <v>573</v>
      </c>
      <c r="D2556" s="2" t="str">
        <f t="shared" si="38"/>
        <v>Error?</v>
      </c>
    </row>
    <row r="2557" spans="1:4" x14ac:dyDescent="0.2">
      <c r="A2557" s="5">
        <v>2496</v>
      </c>
      <c r="B2557" s="138">
        <f>'Acct Summary 7-8'!C13</f>
        <v>17445640</v>
      </c>
      <c r="C2557" s="2" t="s">
        <v>573</v>
      </c>
      <c r="D2557" s="2" t="str">
        <f t="shared" si="38"/>
        <v>Error?</v>
      </c>
    </row>
    <row r="2558" spans="1:4" x14ac:dyDescent="0.2">
      <c r="A2558" s="5">
        <v>2497</v>
      </c>
      <c r="B2558" s="138">
        <f>'Acct Summary 7-8'!C14</f>
        <v>3460531</v>
      </c>
      <c r="C2558" s="2" t="s">
        <v>573</v>
      </c>
      <c r="D2558" s="2" t="str">
        <f t="shared" si="38"/>
        <v>Error?</v>
      </c>
    </row>
    <row r="2559" spans="1:4" x14ac:dyDescent="0.2">
      <c r="A2559" s="5">
        <v>2498</v>
      </c>
      <c r="B2559" s="138">
        <f>'Acct Summary 7-8'!C15</f>
        <v>2129792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65920742</v>
      </c>
      <c r="C2561" s="2" t="s">
        <v>573</v>
      </c>
      <c r="D2561" s="2" t="str">
        <f t="shared" si="39"/>
        <v>Error?</v>
      </c>
    </row>
    <row r="2562" spans="1:4" x14ac:dyDescent="0.2">
      <c r="A2562" s="5">
        <v>2501</v>
      </c>
      <c r="B2562" s="138">
        <f>'Acct Summary 7-8'!C20</f>
        <v>902963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4317656</v>
      </c>
      <c r="C2564" s="2" t="s">
        <v>573</v>
      </c>
      <c r="D2564" s="2" t="str">
        <f t="shared" si="39"/>
        <v>Error?</v>
      </c>
    </row>
    <row r="2565" spans="1:4" x14ac:dyDescent="0.2">
      <c r="A2565" s="10">
        <v>2504</v>
      </c>
      <c r="D2565" s="2" t="str">
        <f t="shared" si="39"/>
        <v>OK</v>
      </c>
    </row>
    <row r="2566" spans="1:4" x14ac:dyDescent="0.2">
      <c r="A2566" s="5">
        <v>2505</v>
      </c>
      <c r="B2566" s="138">
        <f>'Acct Summary 7-8'!D6</f>
        <v>1200000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5517656</v>
      </c>
      <c r="C2568" s="2" t="s">
        <v>573</v>
      </c>
      <c r="D2568" s="2" t="str">
        <f t="shared" si="39"/>
        <v>Error?</v>
      </c>
    </row>
    <row r="2569" spans="1:4" x14ac:dyDescent="0.2">
      <c r="A2569" s="5">
        <v>2508</v>
      </c>
      <c r="B2569" s="138">
        <f>'Acct Summary 7-8'!D13</f>
        <v>5341418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5341418</v>
      </c>
      <c r="C2573" s="2" t="s">
        <v>573</v>
      </c>
      <c r="D2573" s="2" t="str">
        <f t="shared" si="39"/>
        <v>Error?</v>
      </c>
    </row>
    <row r="2574" spans="1:4" x14ac:dyDescent="0.2">
      <c r="A2574" s="5">
        <v>2513</v>
      </c>
      <c r="B2574" s="138">
        <f>'Acct Summary 7-8'!D20</f>
        <v>176238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1145670</v>
      </c>
      <c r="C2591" s="2" t="s">
        <v>573</v>
      </c>
      <c r="D2591" s="2" t="str">
        <f t="shared" si="39"/>
        <v>Error?</v>
      </c>
    </row>
    <row r="2592" spans="1:4" x14ac:dyDescent="0.2">
      <c r="A2592" s="10">
        <v>2531</v>
      </c>
      <c r="D2592" s="2" t="str">
        <f t="shared" si="39"/>
        <v>OK</v>
      </c>
    </row>
    <row r="2593" spans="1:4" x14ac:dyDescent="0.2">
      <c r="A2593" s="5">
        <v>2532</v>
      </c>
      <c r="B2593" s="138">
        <f>'Acct Summary 7-8'!F6</f>
        <v>965330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2111000</v>
      </c>
      <c r="C2595" s="2" t="s">
        <v>573</v>
      </c>
      <c r="D2595" s="2" t="str">
        <f t="shared" si="39"/>
        <v>Error?</v>
      </c>
    </row>
    <row r="2596" spans="1:4" x14ac:dyDescent="0.2">
      <c r="A2596" s="5">
        <v>2535</v>
      </c>
      <c r="B2596" s="138">
        <f>'Acct Summary 7-8'!F13</f>
        <v>1617732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1617732</v>
      </c>
      <c r="C2600" s="2" t="s">
        <v>573</v>
      </c>
      <c r="D2600" s="2" t="str">
        <f t="shared" si="39"/>
        <v>Error?</v>
      </c>
    </row>
    <row r="2601" spans="1:4" x14ac:dyDescent="0.2">
      <c r="A2601" s="5">
        <v>2540</v>
      </c>
      <c r="B2601" s="138">
        <f>'Acct Summary 7-8'!F20</f>
        <v>493268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2355129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2355129</v>
      </c>
      <c r="C2606" s="2" t="s">
        <v>573</v>
      </c>
      <c r="D2606" s="2" t="str">
        <f t="shared" si="39"/>
        <v>Error?</v>
      </c>
    </row>
    <row r="2607" spans="1:4" x14ac:dyDescent="0.2">
      <c r="A2607" s="5">
        <v>2546</v>
      </c>
      <c r="B2607" s="138">
        <f>'Acct Summary 7-8'!G12</f>
        <v>873178</v>
      </c>
      <c r="C2607" s="2" t="s">
        <v>573</v>
      </c>
      <c r="D2607" s="2" t="str">
        <f t="shared" si="39"/>
        <v>Error?</v>
      </c>
    </row>
    <row r="2608" spans="1:4" x14ac:dyDescent="0.2">
      <c r="A2608" s="5">
        <v>2547</v>
      </c>
      <c r="B2608" s="138">
        <f>'Acct Summary 7-8'!G13</f>
        <v>1214651</v>
      </c>
      <c r="C2608" s="2" t="s">
        <v>573</v>
      </c>
      <c r="D2608" s="2" t="str">
        <f t="shared" si="39"/>
        <v>Error?</v>
      </c>
    </row>
    <row r="2609" spans="1:4" x14ac:dyDescent="0.2">
      <c r="A2609" s="5">
        <v>2548</v>
      </c>
      <c r="B2609" s="138">
        <f>'Acct Summary 7-8'!G14</f>
        <v>9035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2096864</v>
      </c>
      <c r="C2612" s="2" t="s">
        <v>573</v>
      </c>
      <c r="D2612" s="2" t="str">
        <f t="shared" si="39"/>
        <v>Error?</v>
      </c>
    </row>
    <row r="2613" spans="1:4" x14ac:dyDescent="0.2">
      <c r="A2613" s="5">
        <v>2552</v>
      </c>
      <c r="B2613" s="138">
        <f>'Acct Summary 7-8'!G20</f>
        <v>258265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3176594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3176594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3532225</v>
      </c>
      <c r="C2634" s="2" t="s">
        <v>573</v>
      </c>
      <c r="D2634" s="2" t="str">
        <f t="shared" si="40"/>
        <v>Error?</v>
      </c>
    </row>
    <row r="2635" spans="1:4" x14ac:dyDescent="0.2">
      <c r="A2635" s="5">
        <v>2574</v>
      </c>
      <c r="B2635" s="138">
        <f>'Acct Summary 7-8'!E17</f>
        <v>3532225</v>
      </c>
      <c r="C2635" s="2" t="s">
        <v>573</v>
      </c>
      <c r="D2635" s="2" t="str">
        <f t="shared" si="40"/>
        <v>Error?</v>
      </c>
    </row>
    <row r="2636" spans="1:4" x14ac:dyDescent="0.2">
      <c r="A2636" s="5">
        <v>2575</v>
      </c>
      <c r="B2636" s="138">
        <f>'Acct Summary 7-8'!E20</f>
        <v>-355631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3406965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3406965</v>
      </c>
      <c r="C2658" s="2" t="s">
        <v>573</v>
      </c>
      <c r="D2658" s="2" t="str">
        <f t="shared" si="40"/>
        <v>Error?</v>
      </c>
    </row>
    <row r="2659" spans="1:4" x14ac:dyDescent="0.2">
      <c r="A2659" s="5">
        <v>2598</v>
      </c>
      <c r="B2659" s="138">
        <f>'Acct Summary 7-8'!H13</f>
        <v>2092353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2092353</v>
      </c>
      <c r="C2661" s="2" t="s">
        <v>573</v>
      </c>
      <c r="D2661" s="2" t="str">
        <f t="shared" si="40"/>
        <v>Error?</v>
      </c>
    </row>
    <row r="2662" spans="1:4" x14ac:dyDescent="0.2">
      <c r="A2662" s="5">
        <v>2601</v>
      </c>
      <c r="B2662" s="138">
        <f>'Acct Summary 7-8'!H20</f>
        <v>1314612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119609</v>
      </c>
      <c r="D2718" s="2" t="str">
        <f t="shared" si="41"/>
        <v>Error?</v>
      </c>
    </row>
    <row r="2719" spans="1:4" x14ac:dyDescent="0.2">
      <c r="A2719" s="5">
        <v>2658</v>
      </c>
      <c r="B2719" s="138">
        <f>'Expenditures 15-22'!D51</f>
        <v>34560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154169</v>
      </c>
      <c r="C2724" s="2" t="s">
        <v>573</v>
      </c>
      <c r="D2724" s="2" t="str">
        <f t="shared" si="41"/>
        <v>Error?</v>
      </c>
    </row>
    <row r="2725" spans="1:4" x14ac:dyDescent="0.2">
      <c r="A2725" s="5">
        <v>2664</v>
      </c>
      <c r="B2725" s="138">
        <f>'Expenditures 15-22'!D247</f>
        <v>295</v>
      </c>
      <c r="D2725" s="2" t="str">
        <f t="shared" si="41"/>
        <v>Error?</v>
      </c>
    </row>
    <row r="2726" spans="1:4" x14ac:dyDescent="0.2">
      <c r="A2726" s="5">
        <v>2665</v>
      </c>
      <c r="B2726" s="138">
        <f>'Expenditures 15-22'!K247</f>
        <v>295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9210</v>
      </c>
      <c r="C2789" s="2" t="s">
        <v>573</v>
      </c>
      <c r="D2789" s="2" t="str">
        <f t="shared" si="42"/>
        <v>Error?</v>
      </c>
    </row>
    <row r="2790" spans="1:4" x14ac:dyDescent="0.2">
      <c r="A2790" s="5">
        <v>2729</v>
      </c>
      <c r="B2790" s="138">
        <f>'Expenditures 15-22'!E102</f>
        <v>9210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915878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327208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4722875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853052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263424</v>
      </c>
      <c r="D2908" s="2" t="str">
        <f t="shared" si="44"/>
        <v>Error?</v>
      </c>
    </row>
    <row r="2909" spans="1:4" x14ac:dyDescent="0.2">
      <c r="A2909" s="10">
        <v>2848</v>
      </c>
      <c r="D2909" s="2" t="str">
        <f t="shared" si="44"/>
        <v>OK</v>
      </c>
    </row>
    <row r="2910" spans="1:4" x14ac:dyDescent="0.2">
      <c r="A2910" s="5">
        <v>2849</v>
      </c>
      <c r="B2910" s="138">
        <f>'Assets-Liab 5-6'!I34</f>
        <v>263424</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4459451</v>
      </c>
      <c r="D2912" s="2" t="str">
        <f t="shared" si="44"/>
        <v>Error?</v>
      </c>
    </row>
    <row r="2913" spans="1:4" x14ac:dyDescent="0.2">
      <c r="A2913" s="5">
        <v>2852</v>
      </c>
      <c r="B2913" s="138">
        <f>'Assets-Liab 5-6'!I41</f>
        <v>4722875</v>
      </c>
      <c r="C2913" s="2" t="s">
        <v>573</v>
      </c>
      <c r="D2913" s="2" t="str">
        <f t="shared" si="44"/>
        <v>Error?</v>
      </c>
    </row>
    <row r="2914" spans="1:4" x14ac:dyDescent="0.2">
      <c r="A2914" s="5">
        <v>2853</v>
      </c>
      <c r="B2914" s="138">
        <f>'Assets-Liab 5-6'!L33</f>
        <v>853052</v>
      </c>
      <c r="D2914" s="2" t="str">
        <f t="shared" si="44"/>
        <v>Error?</v>
      </c>
    </row>
    <row r="2915" spans="1:4" x14ac:dyDescent="0.2">
      <c r="A2915" s="10">
        <v>2854</v>
      </c>
      <c r="D2915" s="2" t="str">
        <f t="shared" si="44"/>
        <v>OK</v>
      </c>
    </row>
    <row r="2916" spans="1:4" x14ac:dyDescent="0.2">
      <c r="A2916" s="5">
        <v>2855</v>
      </c>
      <c r="B2916" s="138">
        <f>'Assets-Liab 5-6'!L34</f>
        <v>853052</v>
      </c>
      <c r="C2916" s="2" t="s">
        <v>573</v>
      </c>
      <c r="D2916" s="2" t="str">
        <f t="shared" si="44"/>
        <v>Error?</v>
      </c>
    </row>
    <row r="2917" spans="1:4" x14ac:dyDescent="0.2">
      <c r="A2917" s="5">
        <v>2856</v>
      </c>
      <c r="B2917" s="138">
        <f>'Assets-Liab 5-6'!L41</f>
        <v>853052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9210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2094682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2094682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9210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518033</v>
      </c>
      <c r="D3055" s="2" t="str">
        <f t="shared" si="46"/>
        <v>Error?</v>
      </c>
    </row>
    <row r="3056" spans="1:4" x14ac:dyDescent="0.2">
      <c r="A3056" s="5">
        <v>2995</v>
      </c>
      <c r="B3056" s="138">
        <f>'Expenditures 15-22'!D10</f>
        <v>180196</v>
      </c>
      <c r="D3056" s="2" t="str">
        <f t="shared" si="46"/>
        <v>Error?</v>
      </c>
    </row>
    <row r="3057" spans="1:4" x14ac:dyDescent="0.2">
      <c r="A3057" s="5">
        <v>2996</v>
      </c>
      <c r="B3057" s="138">
        <f>'Expenditures 15-22'!E10</f>
        <v>128682</v>
      </c>
      <c r="D3057" s="2" t="str">
        <f t="shared" si="46"/>
        <v>Error?</v>
      </c>
    </row>
    <row r="3058" spans="1:4" x14ac:dyDescent="0.2">
      <c r="A3058" s="5">
        <v>2997</v>
      </c>
      <c r="B3058" s="138">
        <f>'Expenditures 15-22'!F10</f>
        <v>1080019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1974503</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278091</v>
      </c>
      <c r="C3225" s="2" t="s">
        <v>573</v>
      </c>
      <c r="D3225" s="2" t="str">
        <f t="shared" si="49"/>
        <v>Error?</v>
      </c>
    </row>
    <row r="3226" spans="1:4" x14ac:dyDescent="0.2">
      <c r="A3226" s="5">
        <v>3165</v>
      </c>
      <c r="B3226" s="138">
        <f>'Acct Summary 7-8'!I8</f>
        <v>278091</v>
      </c>
      <c r="C3226" s="2" t="s">
        <v>573</v>
      </c>
      <c r="D3226" s="2" t="str">
        <f t="shared" si="49"/>
        <v>Error?</v>
      </c>
    </row>
    <row r="3227" spans="1:4" x14ac:dyDescent="0.2">
      <c r="A3227" s="5">
        <v>3166</v>
      </c>
      <c r="B3227" s="138">
        <f>'Acct Summary 7-8'!I20</f>
        <v>278091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902963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176238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493268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258265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-355631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1314612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278091</v>
      </c>
      <c r="C3320" s="2" t="s">
        <v>573</v>
      </c>
      <c r="D3320" s="2" t="str">
        <f t="shared" si="50"/>
        <v>Error?</v>
      </c>
    </row>
    <row r="3321" spans="1:4" x14ac:dyDescent="0.2">
      <c r="A3321" s="5">
        <v>3260</v>
      </c>
      <c r="B3321" s="138">
        <f>'Acct Summary 7-8'!I79</f>
        <v>4181360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4459451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6918207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1603216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18636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17114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8604192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261095</v>
      </c>
      <c r="D3387" s="2" t="str">
        <f t="shared" si="51"/>
        <v>Error?</v>
      </c>
    </row>
    <row r="3388" spans="1:4" x14ac:dyDescent="0.2">
      <c r="A3388" s="5">
        <v>3327</v>
      </c>
      <c r="B3388" s="138">
        <f>'Expenditures 15-22'!D217</f>
        <v>404994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261095</v>
      </c>
      <c r="C3390" s="2" t="s">
        <v>573</v>
      </c>
      <c r="D3390" s="2" t="str">
        <f t="shared" si="51"/>
        <v>Error?</v>
      </c>
    </row>
    <row r="3391" spans="1:4" x14ac:dyDescent="0.2">
      <c r="A3391" s="5">
        <v>3330</v>
      </c>
      <c r="B3391" s="138">
        <f>'Expenditures 15-22'!K217</f>
        <v>404994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275133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5488111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1082952</v>
      </c>
      <c r="D3417" s="2" t="str">
        <f t="shared" si="52"/>
        <v>Error?</v>
      </c>
    </row>
    <row r="3418" spans="1:4" x14ac:dyDescent="0.2">
      <c r="A3418" s="10">
        <v>3357</v>
      </c>
      <c r="D3418" s="2" t="str">
        <f t="shared" si="52"/>
        <v>OK</v>
      </c>
    </row>
    <row r="3419" spans="1:4" x14ac:dyDescent="0.2">
      <c r="A3419" s="5">
        <v>3358</v>
      </c>
      <c r="B3419" s="138">
        <f>'Assets-Liab 5-6'!F4</f>
        <v>2558443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718217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1946029</v>
      </c>
      <c r="D3425" s="2" t="str">
        <f t="shared" si="52"/>
        <v>Error?</v>
      </c>
    </row>
    <row r="3426" spans="1:4" x14ac:dyDescent="0.2">
      <c r="A3426" s="10">
        <v>3365</v>
      </c>
      <c r="D3426" s="2" t="str">
        <f t="shared" si="52"/>
        <v>OK</v>
      </c>
    </row>
    <row r="3427" spans="1:4" x14ac:dyDescent="0.2">
      <c r="A3427" s="5">
        <v>3366</v>
      </c>
      <c r="B3427" s="138">
        <f>'Assets-Liab 5-6'!I4</f>
        <v>4395667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853052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1225531</v>
      </c>
      <c r="C3446" s="2" t="s">
        <v>573</v>
      </c>
      <c r="D3446" s="2" t="str">
        <f t="shared" si="52"/>
        <v>Error?</v>
      </c>
    </row>
    <row r="3447" spans="1:4" x14ac:dyDescent="0.2">
      <c r="A3447" s="5">
        <v>3386</v>
      </c>
      <c r="B3447" s="138">
        <f>'Tax Sched 23'!D16</f>
        <v>938758</v>
      </c>
      <c r="C3447" s="2" t="s">
        <v>573</v>
      </c>
      <c r="D3447" s="2" t="str">
        <f t="shared" si="52"/>
        <v>Error?</v>
      </c>
    </row>
    <row r="3448" spans="1:4" x14ac:dyDescent="0.2">
      <c r="A3448" s="5">
        <v>3387</v>
      </c>
      <c r="B3448" s="138">
        <f>'Tax Sched 23'!C16</f>
        <v>286773</v>
      </c>
      <c r="D3448" s="2" t="str">
        <f t="shared" si="52"/>
        <v>Error?</v>
      </c>
    </row>
    <row r="3449" spans="1:4" x14ac:dyDescent="0.2">
      <c r="A3449" s="5">
        <v>3388</v>
      </c>
      <c r="B3449" s="138">
        <f>'Tax Sched 23'!F16</f>
        <v>957278</v>
      </c>
      <c r="C3449" s="2" t="s">
        <v>573</v>
      </c>
      <c r="D3449" s="2" t="str">
        <f t="shared" si="52"/>
        <v>Error?</v>
      </c>
    </row>
    <row r="3450" spans="1:4" x14ac:dyDescent="0.2">
      <c r="A3450" s="5">
        <v>3389</v>
      </c>
      <c r="B3450" s="138">
        <f>'Tax Sched 23'!E16</f>
        <v>1244051</v>
      </c>
      <c r="D3450" s="2" t="str">
        <f t="shared" si="52"/>
        <v>Error?</v>
      </c>
    </row>
    <row r="3451" spans="1:4" x14ac:dyDescent="0.2">
      <c r="A3451" s="5">
        <v>3390</v>
      </c>
      <c r="B3451" s="138">
        <f>'Cap Outlay Deprec 26'!C15</f>
        <v>1362747</v>
      </c>
      <c r="D3451" s="2" t="str">
        <f t="shared" si="52"/>
        <v>Error?</v>
      </c>
    </row>
    <row r="3452" spans="1:4" x14ac:dyDescent="0.2">
      <c r="A3452" s="5">
        <v>3391</v>
      </c>
      <c r="B3452" s="138">
        <f>'Cap Outlay Deprec 26'!D15</f>
        <v>889812</v>
      </c>
      <c r="D3452" s="2" t="str">
        <f t="shared" si="52"/>
        <v>Error?</v>
      </c>
    </row>
    <row r="3453" spans="1:4" x14ac:dyDescent="0.2">
      <c r="A3453" s="5">
        <v>3392</v>
      </c>
      <c r="B3453" s="138">
        <f>'Cap Outlay Deprec 26'!E15</f>
        <v>1336681</v>
      </c>
      <c r="D3453" s="2" t="str">
        <f t="shared" si="52"/>
        <v>Error?</v>
      </c>
    </row>
    <row r="3454" spans="1:4" x14ac:dyDescent="0.2">
      <c r="A3454" s="5">
        <v>3393</v>
      </c>
      <c r="B3454" s="138">
        <f>'Cap Outlay Deprec 26'!F15</f>
        <v>915878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915878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177003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177003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177003</v>
      </c>
      <c r="D3567" s="2" t="str">
        <f t="shared" si="54"/>
        <v>Error?</v>
      </c>
    </row>
    <row r="3568" spans="1:4" x14ac:dyDescent="0.2">
      <c r="A3568" s="5">
        <v>3507</v>
      </c>
      <c r="B3568" s="138">
        <f>'Assets-Liab 5-6'!K41</f>
        <v>177003</v>
      </c>
      <c r="C3568" s="2" t="s">
        <v>573</v>
      </c>
      <c r="D3568" s="2" t="str">
        <f t="shared" si="54"/>
        <v>Error?</v>
      </c>
    </row>
    <row r="3569" spans="1:4" x14ac:dyDescent="0.2">
      <c r="A3569" s="5">
        <v>3508</v>
      </c>
      <c r="B3569" s="138">
        <f>'Acct Summary 7-8'!K4</f>
        <v>3733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3733</v>
      </c>
      <c r="C3571" s="2" t="s">
        <v>573</v>
      </c>
      <c r="D3571" s="2" t="str">
        <f t="shared" si="54"/>
        <v>Error?</v>
      </c>
    </row>
    <row r="3572" spans="1:4" x14ac:dyDescent="0.2">
      <c r="A3572" s="5">
        <v>3511</v>
      </c>
      <c r="B3572" s="138">
        <f>'Acct Summary 7-8'!K13</f>
        <v>35316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35316</v>
      </c>
      <c r="C3575" s="2" t="s">
        <v>573</v>
      </c>
      <c r="D3575" s="2" t="str">
        <f t="shared" si="54"/>
        <v>Error?</v>
      </c>
    </row>
    <row r="3576" spans="1:4" x14ac:dyDescent="0.2">
      <c r="A3576" s="5">
        <v>3515</v>
      </c>
      <c r="B3576" s="138">
        <f>'Acct Summary 7-8'!K20</f>
        <v>-31583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-31583</v>
      </c>
      <c r="C3588" s="2" t="s">
        <v>573</v>
      </c>
      <c r="D3588" s="2" t="str">
        <f t="shared" si="55"/>
        <v>Error?</v>
      </c>
    </row>
    <row r="3589" spans="1:4" x14ac:dyDescent="0.2">
      <c r="A3589" s="5">
        <v>3528</v>
      </c>
      <c r="B3589" s="138">
        <f>'Acct Summary 7-8'!K79</f>
        <v>208586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177003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35316</v>
      </c>
      <c r="D3646" s="2" t="str">
        <f t="shared" si="55"/>
        <v>Error?</v>
      </c>
    </row>
    <row r="3647" spans="1:4" x14ac:dyDescent="0.2">
      <c r="A3647" s="5">
        <v>3586</v>
      </c>
      <c r="B3647" s="138">
        <f>'Expenditures 15-22'!G350</f>
        <v>35316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35316</v>
      </c>
      <c r="C3649" s="2" t="s">
        <v>573</v>
      </c>
      <c r="D3649" s="2" t="str">
        <f t="shared" si="56"/>
        <v>Error?</v>
      </c>
    </row>
    <row r="3650" spans="1:4" x14ac:dyDescent="0.2">
      <c r="A3650" s="5">
        <v>3589</v>
      </c>
      <c r="B3650" s="138">
        <f>'Expenditures 15-22'!G367</f>
        <v>35316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35316</v>
      </c>
      <c r="C3669" s="2" t="s">
        <v>573</v>
      </c>
      <c r="D3669" s="2" t="str">
        <f t="shared" si="56"/>
        <v>Error?</v>
      </c>
    </row>
    <row r="3670" spans="1:4" x14ac:dyDescent="0.2">
      <c r="A3670" s="5">
        <v>3609</v>
      </c>
      <c r="B3670" s="138">
        <f>'Expenditures 15-22'!K350</f>
        <v>35316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35316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35316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-31583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27761176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94584881</v>
      </c>
      <c r="C4122" s="2" t="s">
        <v>573</v>
      </c>
      <c r="D4122" s="2" t="str">
        <f t="shared" si="63"/>
        <v>Error?</v>
      </c>
    </row>
    <row r="4123" spans="1:4" x14ac:dyDescent="0.2">
      <c r="A4123" s="5">
        <v>4062</v>
      </c>
      <c r="B4123" s="138">
        <f>'Acct Summary 7-8'!D10</f>
        <v>5517656</v>
      </c>
      <c r="C4123" s="2" t="s">
        <v>573</v>
      </c>
      <c r="D4123" s="2" t="str">
        <f t="shared" si="63"/>
        <v>Error?</v>
      </c>
    </row>
    <row r="4124" spans="1:4" x14ac:dyDescent="0.2">
      <c r="A4124" s="5">
        <v>4063</v>
      </c>
      <c r="B4124" s="138">
        <f>'Acct Summary 7-8'!E10</f>
        <v>3176594</v>
      </c>
      <c r="C4124" s="2" t="s">
        <v>573</v>
      </c>
      <c r="D4124" s="2" t="str">
        <f t="shared" si="63"/>
        <v>Error?</v>
      </c>
    </row>
    <row r="4125" spans="1:4" x14ac:dyDescent="0.2">
      <c r="A4125" s="5">
        <v>4064</v>
      </c>
      <c r="B4125" s="138">
        <f>'Acct Summary 7-8'!F10</f>
        <v>2111000</v>
      </c>
      <c r="C4125" s="2" t="s">
        <v>573</v>
      </c>
      <c r="D4125" s="2" t="str">
        <f t="shared" si="63"/>
        <v>Error?</v>
      </c>
    </row>
    <row r="4126" spans="1:4" x14ac:dyDescent="0.2">
      <c r="A4126" s="5">
        <v>4065</v>
      </c>
      <c r="B4126" s="138">
        <f>'Acct Summary 7-8'!G10</f>
        <v>2355129</v>
      </c>
      <c r="C4126" s="2" t="s">
        <v>573</v>
      </c>
      <c r="D4126" s="2" t="str">
        <f t="shared" si="63"/>
        <v>Error?</v>
      </c>
    </row>
    <row r="4127" spans="1:4" x14ac:dyDescent="0.2">
      <c r="A4127" s="5">
        <v>4066</v>
      </c>
      <c r="B4127" s="138">
        <f>'Acct Summary 7-8'!H10</f>
        <v>3406965</v>
      </c>
      <c r="C4127" s="2" t="s">
        <v>573</v>
      </c>
      <c r="D4127" s="2" t="str">
        <f t="shared" si="63"/>
        <v>Error?</v>
      </c>
    </row>
    <row r="4128" spans="1:4" x14ac:dyDescent="0.2">
      <c r="A4128" s="5">
        <v>4067</v>
      </c>
      <c r="B4128" s="138">
        <f>'Acct Summary 7-8'!I10</f>
        <v>278091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3733</v>
      </c>
      <c r="C4130" s="2" t="s">
        <v>573</v>
      </c>
      <c r="D4130" s="2" t="str">
        <f t="shared" si="63"/>
        <v>Error?</v>
      </c>
    </row>
    <row r="4131" spans="1:4" x14ac:dyDescent="0.2">
      <c r="A4131" s="5">
        <v>4070</v>
      </c>
      <c r="B4131" s="138">
        <f>'Acct Summary 7-8'!C18</f>
        <v>27761176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93681918</v>
      </c>
      <c r="C4136" s="2" t="s">
        <v>573</v>
      </c>
      <c r="D4136" s="2" t="str">
        <f t="shared" si="63"/>
        <v>Error?</v>
      </c>
    </row>
    <row r="4137" spans="1:4" x14ac:dyDescent="0.2">
      <c r="A4137" s="5">
        <v>4076</v>
      </c>
      <c r="B4137" s="138">
        <f>'Acct Summary 7-8'!D19</f>
        <v>5341418</v>
      </c>
      <c r="C4137" s="2" t="s">
        <v>573</v>
      </c>
      <c r="D4137" s="2" t="str">
        <f t="shared" si="63"/>
        <v>Error?</v>
      </c>
    </row>
    <row r="4138" spans="1:4" x14ac:dyDescent="0.2">
      <c r="A4138" s="5">
        <v>4077</v>
      </c>
      <c r="B4138" s="138">
        <f>'Acct Summary 7-8'!E19</f>
        <v>3532225</v>
      </c>
      <c r="C4138" s="2" t="s">
        <v>573</v>
      </c>
      <c r="D4138" s="2" t="str">
        <f t="shared" si="63"/>
        <v>Error?</v>
      </c>
    </row>
    <row r="4139" spans="1:4" x14ac:dyDescent="0.2">
      <c r="A4139" s="5">
        <v>4078</v>
      </c>
      <c r="B4139" s="138">
        <f>'Acct Summary 7-8'!F19</f>
        <v>1617732</v>
      </c>
      <c r="C4139" s="2" t="s">
        <v>573</v>
      </c>
      <c r="D4139" s="2" t="str">
        <f t="shared" si="63"/>
        <v>Error?</v>
      </c>
    </row>
    <row r="4140" spans="1:4" x14ac:dyDescent="0.2">
      <c r="A4140" s="5">
        <v>4079</v>
      </c>
      <c r="B4140" s="138">
        <f>'Acct Summary 7-8'!G19</f>
        <v>2096864</v>
      </c>
      <c r="C4140" s="2" t="s">
        <v>573</v>
      </c>
      <c r="D4140" s="2" t="str">
        <f t="shared" si="63"/>
        <v>Error?</v>
      </c>
    </row>
    <row r="4141" spans="1:4" x14ac:dyDescent="0.2">
      <c r="A4141" s="5">
        <v>4080</v>
      </c>
      <c r="B4141" s="138">
        <f>'Acct Summary 7-8'!H19</f>
        <v>2092353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35316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25620000</v>
      </c>
      <c r="C4171" s="2" t="s">
        <v>573</v>
      </c>
      <c r="D4171" s="2" t="str">
        <f t="shared" si="64"/>
        <v>Error?</v>
      </c>
    </row>
    <row r="4172" spans="1:4" x14ac:dyDescent="0.2">
      <c r="A4172" s="5">
        <v>4111</v>
      </c>
      <c r="B4172" s="138">
        <f>'Short-Term Long-Term Debt 24'!J49</f>
        <v>23824392</v>
      </c>
      <c r="C4172" s="2" t="s">
        <v>573</v>
      </c>
      <c r="D4172" s="2" t="str">
        <f t="shared" si="64"/>
        <v>Error?</v>
      </c>
    </row>
    <row r="4173" spans="1:4" x14ac:dyDescent="0.2">
      <c r="A4173" s="5">
        <v>4112</v>
      </c>
      <c r="B4173" s="138">
        <f>'Short-Term Long-Term Debt 24'!H49</f>
        <v>2110000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3200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194</v>
      </c>
      <c r="C4267" s="2" t="s">
        <v>573</v>
      </c>
      <c r="D4267" s="2" t="str">
        <f t="shared" si="65"/>
        <v>Error?</v>
      </c>
      <c r="E4267" s="128"/>
    </row>
    <row r="4268" spans="1:5" x14ac:dyDescent="0.2">
      <c r="A4268" s="12">
        <v>4207</v>
      </c>
      <c r="B4268" s="138">
        <f>('FP Info 3'!J10)*100000</f>
        <v>4144</v>
      </c>
      <c r="C4268" s="2" t="s">
        <v>573</v>
      </c>
      <c r="D4268" s="2" t="str">
        <f t="shared" si="65"/>
        <v>Error?</v>
      </c>
    </row>
    <row r="4269" spans="1:5" x14ac:dyDescent="0.2">
      <c r="A4269" s="12">
        <v>4208</v>
      </c>
      <c r="B4269" s="138">
        <f>'FP Info 3'!J16</f>
        <v>38917358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24624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253487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413729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244336</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318400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65426</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480378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119750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135193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640455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553403354</v>
      </c>
      <c r="D4995" s="2" t="str">
        <f t="shared" si="77"/>
        <v>Error?</v>
      </c>
    </row>
    <row r="4996" spans="1:4" x14ac:dyDescent="0.2">
      <c r="A4996" s="12">
        <v>4935</v>
      </c>
      <c r="B4996" s="138">
        <f>'FP Info 3'!H31</f>
        <v>76369662.852000013</v>
      </c>
      <c r="D4996" s="2" t="str">
        <f t="shared" si="77"/>
        <v>Error?</v>
      </c>
    </row>
    <row r="4997" spans="1:4" x14ac:dyDescent="0.2">
      <c r="A4997" s="12">
        <v>4936</v>
      </c>
      <c r="B4997" s="138">
        <f>'FP Info 3'!H37</f>
        <v>25620000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18774588</v>
      </c>
      <c r="D5061" s="2" t="str">
        <f t="shared" si="78"/>
        <v>Error?</v>
      </c>
    </row>
    <row r="5062" spans="1:4" x14ac:dyDescent="0.2">
      <c r="A5062" s="10">
        <v>5001</v>
      </c>
      <c r="D5062" s="2" t="str">
        <f t="shared" si="78"/>
        <v>OK</v>
      </c>
    </row>
    <row r="5063" spans="1:4" x14ac:dyDescent="0.2">
      <c r="A5063" s="5">
        <v>5002</v>
      </c>
      <c r="B5063" s="138">
        <f>'Revenues 9-14'!C7</f>
        <v>222289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18996877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4575152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4575152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463843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463843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965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1867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92055</v>
      </c>
      <c r="C5096" s="2" t="s">
        <v>573</v>
      </c>
      <c r="D5096" s="2" t="str">
        <f t="shared" si="78"/>
        <v>Error?</v>
      </c>
    </row>
    <row r="5097" spans="1:4" x14ac:dyDescent="0.2">
      <c r="A5097" s="5">
        <v>5036</v>
      </c>
      <c r="B5097" s="138">
        <f>'Revenues 9-14'!C77</f>
        <v>151281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13025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164306</v>
      </c>
      <c r="C5102" s="2" t="s">
        <v>573</v>
      </c>
      <c r="D5102" s="2" t="str">
        <f t="shared" si="78"/>
        <v>Error?</v>
      </c>
    </row>
    <row r="5103" spans="1:4" x14ac:dyDescent="0.2">
      <c r="A5103" s="5">
        <v>5042</v>
      </c>
      <c r="B5103" s="138">
        <f>'Revenues 9-14'!C84</f>
        <v>113413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113413</v>
      </c>
      <c r="C5112" s="2" t="s">
        <v>573</v>
      </c>
      <c r="D5112" s="2" t="str">
        <f t="shared" si="78"/>
        <v>Error?</v>
      </c>
    </row>
    <row r="5113" spans="1:4" x14ac:dyDescent="0.2">
      <c r="A5113" s="5">
        <v>5052</v>
      </c>
      <c r="B5113" s="138">
        <f>'Revenues 9-14'!C95</f>
        <v>273620</v>
      </c>
      <c r="D5113" s="2" t="str">
        <f t="shared" si="78"/>
        <v>Error?</v>
      </c>
    </row>
    <row r="5114" spans="1:4" x14ac:dyDescent="0.2">
      <c r="A5114" s="5">
        <v>5053</v>
      </c>
      <c r="B5114" s="138">
        <f>'Revenues 9-14'!C96</f>
        <v>3250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1078371</v>
      </c>
      <c r="D5119" s="2" t="str">
        <f t="shared" ref="D5119:D5182" si="79">IF(ISBLANK(B5119),"OK",IF(A5119-B5119=0,"OK","Error?"))</f>
        <v>Error?</v>
      </c>
    </row>
    <row r="5120" spans="1:4" x14ac:dyDescent="0.2">
      <c r="A5120" s="5">
        <v>5059</v>
      </c>
      <c r="B5120" s="138">
        <f>'Revenues 9-14'!C108</f>
        <v>1474991</v>
      </c>
      <c r="C5120" s="2" t="s">
        <v>573</v>
      </c>
      <c r="D5120" s="2" t="str">
        <f t="shared" si="79"/>
        <v>Error?</v>
      </c>
    </row>
    <row r="5121" spans="1:4" x14ac:dyDescent="0.2">
      <c r="A5121" s="5">
        <v>5060</v>
      </c>
      <c r="B5121" s="138">
        <f>'Revenues 9-14'!C109</f>
        <v>25880637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27755767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27755767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68880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68880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121588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121588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66835</v>
      </c>
      <c r="D5167" s="2" t="str">
        <f t="shared" si="79"/>
        <v>Error?</v>
      </c>
    </row>
    <row r="5168" spans="1:4" x14ac:dyDescent="0.2">
      <c r="A5168" s="5">
        <v>5107</v>
      </c>
      <c r="B5168" s="138">
        <f>'Revenues 9-14'!C148</f>
        <v>60055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550548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1003099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28758866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2446378</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2446378</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2725373</v>
      </c>
      <c r="D5239" s="2" t="str">
        <f t="shared" si="80"/>
        <v>Error?</v>
      </c>
    </row>
    <row r="5240" spans="1:4" x14ac:dyDescent="0.2">
      <c r="A5240" s="5">
        <v>5179</v>
      </c>
      <c r="B5240" s="138">
        <f>'Revenues 9-14'!C192</f>
        <v>1863</v>
      </c>
      <c r="D5240" s="2" t="str">
        <f t="shared" si="80"/>
        <v>Error?</v>
      </c>
    </row>
    <row r="5241" spans="1:4" x14ac:dyDescent="0.2">
      <c r="A5241" s="5">
        <v>5180</v>
      </c>
      <c r="B5241" s="138">
        <f>'Revenues 9-14'!C193</f>
        <v>827150</v>
      </c>
      <c r="D5241" s="2" t="str">
        <f t="shared" si="80"/>
        <v>Error?</v>
      </c>
    </row>
    <row r="5242" spans="1:4" x14ac:dyDescent="0.2">
      <c r="A5242" s="5">
        <v>5181</v>
      </c>
      <c r="B5242" s="138">
        <f>'Revenues 9-14'!C194</f>
        <v>24524</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3663197</v>
      </c>
      <c r="C5246" s="2" t="s">
        <v>573</v>
      </c>
      <c r="D5246" s="2" t="str">
        <f t="shared" si="80"/>
        <v>Error?</v>
      </c>
    </row>
    <row r="5247" spans="1:4" x14ac:dyDescent="0.2">
      <c r="A5247" s="5">
        <v>5186</v>
      </c>
      <c r="B5247" s="138">
        <f>'Revenues 9-14'!C200</f>
        <v>2485627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74064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2510251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1360663</v>
      </c>
      <c r="D5278" s="2" t="str">
        <f t="shared" si="81"/>
        <v>Error?</v>
      </c>
    </row>
    <row r="5279" spans="1:4" x14ac:dyDescent="0.2">
      <c r="A5279" s="5">
        <v>5218</v>
      </c>
      <c r="B5279" s="138">
        <f>'Revenues 9-14'!C214</f>
        <v>24106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1384769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7732</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9737824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12184202</v>
      </c>
      <c r="C5326" s="2" t="s">
        <v>573</v>
      </c>
      <c r="D5326" s="2" t="str">
        <f t="shared" si="82"/>
        <v>Error?</v>
      </c>
    </row>
    <row r="5327" spans="1:5" x14ac:dyDescent="0.2">
      <c r="A5327" s="5">
        <v>5266</v>
      </c>
      <c r="B5327" s="138">
        <f>'Revenues 9-14'!C268</f>
        <v>66823705</v>
      </c>
      <c r="C5327" s="2" t="s">
        <v>573</v>
      </c>
      <c r="D5327" s="2" t="str">
        <f t="shared" si="82"/>
        <v>Error?</v>
      </c>
    </row>
    <row r="5328" spans="1:5" x14ac:dyDescent="0.2">
      <c r="A5328" s="5">
        <v>5267</v>
      </c>
      <c r="B5328" s="138">
        <f>'Revenues 9-14'!D5</f>
        <v>4167915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4167915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103516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103516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45625</v>
      </c>
      <c r="D5354" s="2" t="str">
        <f t="shared" si="82"/>
        <v>Error?</v>
      </c>
    </row>
    <row r="5355" spans="1:4" x14ac:dyDescent="0.2">
      <c r="A5355" s="5">
        <v>5294</v>
      </c>
      <c r="B5355" s="138">
        <f>'Revenues 9-14'!D108</f>
        <v>46225</v>
      </c>
      <c r="C5355" s="2" t="s">
        <v>573</v>
      </c>
      <c r="D5355" s="2" t="str">
        <f t="shared" si="82"/>
        <v>Error?</v>
      </c>
    </row>
    <row r="5356" spans="1:4" x14ac:dyDescent="0.2">
      <c r="A5356" s="5">
        <v>5295</v>
      </c>
      <c r="B5356" s="138">
        <f>'Revenues 9-14'!D109</f>
        <v>4317656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1200000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1200000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5517656</v>
      </c>
      <c r="C5508" s="2" t="s">
        <v>573</v>
      </c>
      <c r="D5508" s="2" t="str">
        <f t="shared" si="85"/>
        <v>Error?</v>
      </c>
    </row>
    <row r="5509" spans="1:4" x14ac:dyDescent="0.2">
      <c r="A5509" s="5">
        <v>5448</v>
      </c>
      <c r="B5509" s="138">
        <f>'Revenues 9-14'!E5</f>
        <v>3142088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3142088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34506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34506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3176594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3176594</v>
      </c>
      <c r="C5552" s="2" t="s">
        <v>573</v>
      </c>
      <c r="D5552" s="2" t="str">
        <f t="shared" si="85"/>
        <v>Error?</v>
      </c>
    </row>
    <row r="5553" spans="1:4" x14ac:dyDescent="0.2">
      <c r="A5553" s="5">
        <v>5492</v>
      </c>
      <c r="B5553" s="138">
        <f>'Revenues 9-14'!F5</f>
        <v>1093248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1093248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52422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52422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1145670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965330</v>
      </c>
      <c r="D5617" s="2" t="str">
        <f t="shared" si="86"/>
        <v>Error?</v>
      </c>
    </row>
    <row r="5618" spans="1:5" x14ac:dyDescent="0.2">
      <c r="A5618" s="5">
        <v>5557</v>
      </c>
      <c r="B5618" s="138">
        <f>'Revenues 9-14'!F155</f>
        <v>965330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965330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965330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2111000</v>
      </c>
      <c r="C5720" s="2" t="s">
        <v>573</v>
      </c>
      <c r="D5720" s="2" t="str">
        <f t="shared" si="88"/>
        <v>Error?</v>
      </c>
    </row>
    <row r="5721" spans="1:4" x14ac:dyDescent="0.2">
      <c r="A5721" s="5">
        <v>5660</v>
      </c>
      <c r="B5721" s="138">
        <f>'Revenues 9-14'!G5</f>
        <v>1038600</v>
      </c>
      <c r="D5721" s="2" t="str">
        <f t="shared" si="88"/>
        <v>Error?</v>
      </c>
    </row>
    <row r="5722" spans="1:4" x14ac:dyDescent="0.2">
      <c r="A5722" s="5">
        <v>5661</v>
      </c>
      <c r="B5722" s="138">
        <f>'Revenues 9-14'!G7</f>
        <v>0</v>
      </c>
      <c r="D5722" s="2" t="str">
        <f t="shared" si="88"/>
        <v>Error?</v>
      </c>
    </row>
    <row r="5723" spans="1:4" x14ac:dyDescent="0.2">
      <c r="A5723" s="5">
        <v>5662</v>
      </c>
      <c r="B5723" s="138">
        <f>'Revenues 9-14'!G8</f>
        <v>1225531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2264131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75000</v>
      </c>
      <c r="C5730" s="2" t="s">
        <v>573</v>
      </c>
      <c r="D5730" s="2" t="str">
        <f t="shared" si="88"/>
        <v>Error?</v>
      </c>
    </row>
    <row r="5731" spans="1:4" x14ac:dyDescent="0.2">
      <c r="A5731" s="5">
        <v>5670</v>
      </c>
      <c r="B5731" s="138">
        <f>'Revenues 9-14'!G65</f>
        <v>15998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15998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2355129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35035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35035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3371930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3406965</v>
      </c>
      <c r="C5915" s="2" t="s">
        <v>573</v>
      </c>
      <c r="D5915" s="2" t="str">
        <f t="shared" si="91"/>
        <v>Error?</v>
      </c>
    </row>
    <row r="5916" spans="1:4" x14ac:dyDescent="0.2">
      <c r="A5916" s="5">
        <v>5855</v>
      </c>
      <c r="B5916" s="138">
        <f>'Revenues 9-14'!I5</f>
        <v>277861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277861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278091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3733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3733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3733</v>
      </c>
      <c r="C6023" s="2" t="s">
        <v>573</v>
      </c>
      <c r="D6023" s="2" t="str">
        <f t="shared" si="93"/>
        <v>Error?</v>
      </c>
    </row>
    <row r="6024" spans="1:5" x14ac:dyDescent="0.2">
      <c r="A6024" s="5">
        <v>5963</v>
      </c>
      <c r="B6024" s="138">
        <f>'Revenues 9-14'!G109</f>
        <v>2355129</v>
      </c>
      <c r="C6024" s="2" t="s">
        <v>573</v>
      </c>
      <c r="D6024" s="2" t="str">
        <f t="shared" si="93"/>
        <v>Error?</v>
      </c>
    </row>
    <row r="6025" spans="1:5" x14ac:dyDescent="0.2">
      <c r="A6025" s="5">
        <v>5964</v>
      </c>
      <c r="B6025" s="138">
        <f>'Revenues 9-14'!H109</f>
        <v>3406965</v>
      </c>
      <c r="C6025" s="2" t="s">
        <v>573</v>
      </c>
      <c r="D6025" s="2" t="str">
        <f t="shared" si="93"/>
        <v>Error?</v>
      </c>
    </row>
    <row r="6026" spans="1:5" x14ac:dyDescent="0.2">
      <c r="A6026" s="5">
        <v>5965</v>
      </c>
      <c r="B6026" s="138">
        <f>'Revenues 9-14'!I109</f>
        <v>278091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3733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89223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292630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5695.54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423473</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4183685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5810</v>
      </c>
      <c r="D6099" s="2" t="str">
        <f t="shared" si="94"/>
        <v>Error?</v>
      </c>
      <c r="E6099" s="2" t="s">
        <v>190</v>
      </c>
    </row>
    <row r="6100" spans="1:5" x14ac:dyDescent="0.2">
      <c r="A6100">
        <v>6039</v>
      </c>
      <c r="B6100" s="138">
        <f>'Assets-Liab 5-6'!D9</f>
        <v>15871</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894843</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882346</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56297</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1562423</v>
      </c>
      <c r="D6124" s="2" t="str">
        <f t="shared" si="94"/>
        <v>Error?</v>
      </c>
      <c r="E6124" s="2" t="s">
        <v>190</v>
      </c>
    </row>
    <row r="6125" spans="1:5" x14ac:dyDescent="0.2">
      <c r="A6125">
        <v>6064</v>
      </c>
      <c r="B6125" s="138">
        <f>'Assets-Liab 5-6'!C25</f>
        <v>423473</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502529</v>
      </c>
      <c r="D6142" s="2" t="str">
        <f t="shared" si="94"/>
        <v>Error?</v>
      </c>
      <c r="E6142" s="2" t="s">
        <v>190</v>
      </c>
    </row>
    <row r="6143" spans="1:5" x14ac:dyDescent="0.2">
      <c r="A6143">
        <v>6082</v>
      </c>
      <c r="B6143" s="138">
        <f>'Assets-Liab 5-6'!D27</f>
        <v>299818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43135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15234</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550156</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3060458</v>
      </c>
      <c r="D6169" s="2" t="str">
        <f t="shared" si="95"/>
        <v>Error?</v>
      </c>
      <c r="E6169" s="2" t="s">
        <v>190</v>
      </c>
    </row>
    <row r="6170" spans="1:5" x14ac:dyDescent="0.2">
      <c r="A6170">
        <v>6109</v>
      </c>
      <c r="B6170" s="138">
        <f>'Assets-Liab 5-6'!D30</f>
        <v>35870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237368</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780789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796023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766400</v>
      </c>
      <c r="D6215" s="2" t="str">
        <f t="shared" si="96"/>
        <v>Error?</v>
      </c>
      <c r="E6215" s="2" t="s">
        <v>190</v>
      </c>
    </row>
    <row r="6216" spans="1:5" x14ac:dyDescent="0.2">
      <c r="A6216">
        <v>6155</v>
      </c>
      <c r="B6216" s="138">
        <f>'Assets-Liab 5-6'!J41</f>
        <v>1562423</v>
      </c>
      <c r="D6216" s="2" t="str">
        <f t="shared" si="96"/>
        <v>Error?</v>
      </c>
      <c r="E6216" s="2" t="s">
        <v>190</v>
      </c>
    </row>
    <row r="6217" spans="1:5" x14ac:dyDescent="0.2">
      <c r="A6217">
        <v>6156</v>
      </c>
      <c r="B6217" s="138">
        <f>'Assets-Liab 5-6'!J4</f>
        <v>536281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969845</v>
      </c>
      <c r="D6219" s="2" t="str">
        <f t="shared" si="96"/>
        <v>Error?</v>
      </c>
      <c r="E6219" s="2" t="s">
        <v>190</v>
      </c>
    </row>
    <row r="6220" spans="1:5" x14ac:dyDescent="0.2">
      <c r="A6220">
        <v>6159</v>
      </c>
      <c r="B6220" s="138">
        <f>'Acct Summary 7-8'!J4</f>
        <v>837336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837336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837336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821036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821036</v>
      </c>
      <c r="D6229" s="2" t="str">
        <f t="shared" si="96"/>
        <v>Error?</v>
      </c>
      <c r="E6229" s="2" t="s">
        <v>190</v>
      </c>
    </row>
    <row r="6230" spans="1:5" x14ac:dyDescent="0.2">
      <c r="A6230">
        <v>6169</v>
      </c>
      <c r="B6230" s="138">
        <f>'Acct Summary 7-8'!J20</f>
        <v>16300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16300</v>
      </c>
      <c r="D6263" s="2" t="str">
        <f t="shared" si="96"/>
        <v>Error?</v>
      </c>
      <c r="E6263" s="2" t="s">
        <v>190</v>
      </c>
    </row>
    <row r="6264" spans="1:5" x14ac:dyDescent="0.2">
      <c r="A6264">
        <v>6203</v>
      </c>
      <c r="B6264" s="138">
        <f>'Acct Summary 7-8'!J79</f>
        <v>750100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766400</v>
      </c>
      <c r="D6266" s="2" t="str">
        <f t="shared" si="96"/>
        <v>Error?</v>
      </c>
      <c r="E6266" s="2" t="s">
        <v>190</v>
      </c>
    </row>
    <row r="6267" spans="1:5" x14ac:dyDescent="0.2">
      <c r="A6267">
        <v>6206</v>
      </c>
      <c r="B6267" s="138">
        <f>'Acct Summary 7-8'!C82</f>
        <v>902963</v>
      </c>
      <c r="D6267" s="2" t="str">
        <f t="shared" si="96"/>
        <v>Error?</v>
      </c>
      <c r="E6267" s="2" t="s">
        <v>190</v>
      </c>
    </row>
    <row r="6268" spans="1:5" x14ac:dyDescent="0.2">
      <c r="A6268">
        <v>6207</v>
      </c>
      <c r="B6268" s="138">
        <f>'Acct Summary 7-8'!D82</f>
        <v>176238</v>
      </c>
      <c r="D6268" s="2" t="str">
        <f t="shared" si="96"/>
        <v>Error?</v>
      </c>
      <c r="E6268" s="2" t="s">
        <v>190</v>
      </c>
    </row>
    <row r="6269" spans="1:5" x14ac:dyDescent="0.2">
      <c r="A6269">
        <v>6208</v>
      </c>
      <c r="B6269" s="138">
        <f>'Acct Summary 7-8'!E82</f>
        <v>-355631</v>
      </c>
      <c r="D6269" s="2" t="str">
        <f t="shared" si="96"/>
        <v>Error?</v>
      </c>
      <c r="E6269" s="2" t="s">
        <v>190</v>
      </c>
    </row>
    <row r="6270" spans="1:5" x14ac:dyDescent="0.2">
      <c r="A6270">
        <v>6209</v>
      </c>
      <c r="B6270" s="138">
        <f>'Acct Summary 7-8'!F82</f>
        <v>493268</v>
      </c>
      <c r="D6270" s="2" t="str">
        <f t="shared" si="96"/>
        <v>Error?</v>
      </c>
      <c r="E6270" s="2" t="s">
        <v>190</v>
      </c>
    </row>
    <row r="6271" spans="1:5" x14ac:dyDescent="0.2">
      <c r="A6271">
        <v>6210</v>
      </c>
      <c r="B6271" s="138">
        <f>'Acct Summary 7-8'!G82</f>
        <v>258265</v>
      </c>
      <c r="D6271" s="2" t="str">
        <f t="shared" ref="D6271:D6334" si="97">IF(ISBLANK(B6271),"OK",IF(A6271-B6271=0,"OK","Error?"))</f>
        <v>Error?</v>
      </c>
      <c r="E6271" s="2" t="s">
        <v>190</v>
      </c>
    </row>
    <row r="6272" spans="1:5" x14ac:dyDescent="0.2">
      <c r="A6272">
        <v>6211</v>
      </c>
      <c r="B6272" s="138">
        <f>'Acct Summary 7-8'!H82</f>
        <v>1314612</v>
      </c>
      <c r="D6272" s="2" t="str">
        <f t="shared" si="97"/>
        <v>Error?</v>
      </c>
      <c r="E6272" s="2" t="s">
        <v>190</v>
      </c>
    </row>
    <row r="6273" spans="1:5" x14ac:dyDescent="0.2">
      <c r="A6273">
        <v>6212</v>
      </c>
      <c r="B6273" s="138">
        <f>'Acct Summary 7-8'!I82</f>
        <v>278091</v>
      </c>
      <c r="D6273" s="2" t="str">
        <f t="shared" si="97"/>
        <v>Error?</v>
      </c>
      <c r="E6273" s="2" t="s">
        <v>190</v>
      </c>
    </row>
    <row r="6274" spans="1:5" x14ac:dyDescent="0.2">
      <c r="A6274">
        <v>6213</v>
      </c>
      <c r="B6274" s="138">
        <f>'Acct Summary 7-8'!J82</f>
        <v>16300</v>
      </c>
      <c r="D6274" s="2" t="str">
        <f t="shared" si="97"/>
        <v>Error?</v>
      </c>
      <c r="E6274" s="2" t="s">
        <v>190</v>
      </c>
    </row>
    <row r="6275" spans="1:5" x14ac:dyDescent="0.2">
      <c r="A6275">
        <v>6214</v>
      </c>
      <c r="B6275" s="138">
        <f>'Acct Summary 7-8'!K82</f>
        <v>-31583</v>
      </c>
      <c r="D6275" s="2" t="str">
        <f t="shared" si="97"/>
        <v>Error?</v>
      </c>
      <c r="E6275" s="2" t="s">
        <v>190</v>
      </c>
    </row>
    <row r="6276" spans="1:5" x14ac:dyDescent="0.2">
      <c r="A6276">
        <v>6215</v>
      </c>
      <c r="B6276" s="138">
        <f>'Acct Summary 7-8'!C83</f>
        <v>3.55134196277931E-2</v>
      </c>
      <c r="D6276" s="2" t="str">
        <f t="shared" si="97"/>
        <v>Error?</v>
      </c>
      <c r="E6276" s="2" t="s">
        <v>190</v>
      </c>
    </row>
    <row r="6277" spans="1:5" x14ac:dyDescent="0.2">
      <c r="A6277">
        <v>6216</v>
      </c>
      <c r="B6277" s="138">
        <f>'Acct Summary 7-8'!D83</f>
        <v>2.8933181880044463E-2</v>
      </c>
      <c r="D6277" s="2" t="str">
        <f t="shared" si="97"/>
        <v>Error?</v>
      </c>
      <c r="E6277" s="2" t="s">
        <v>190</v>
      </c>
    </row>
    <row r="6278" spans="1:5" x14ac:dyDescent="0.2">
      <c r="A6278">
        <v>6217</v>
      </c>
      <c r="B6278" s="138">
        <f>'Acct Summary 7-8'!E83</f>
        <v>-0.19805603450196257</v>
      </c>
      <c r="D6278" s="2" t="str">
        <f t="shared" si="97"/>
        <v>Error?</v>
      </c>
      <c r="E6278" s="2" t="s">
        <v>190</v>
      </c>
    </row>
    <row r="6279" spans="1:5" x14ac:dyDescent="0.2">
      <c r="A6279">
        <v>6218</v>
      </c>
      <c r="B6279" s="138">
        <f>'Acct Summary 7-8'!F83</f>
        <v>0.16773635425713446</v>
      </c>
      <c r="D6279" s="2" t="str">
        <f t="shared" si="97"/>
        <v>Error?</v>
      </c>
      <c r="E6279" s="2" t="s">
        <v>190</v>
      </c>
    </row>
    <row r="6280" spans="1:5" x14ac:dyDescent="0.2">
      <c r="A6280">
        <v>6219</v>
      </c>
      <c r="B6280" s="138">
        <f>'Acct Summary 7-8'!G83</f>
        <v>0.18175605918041751</v>
      </c>
      <c r="D6280" s="2" t="str">
        <f t="shared" si="97"/>
        <v>Error?</v>
      </c>
      <c r="E6280" s="2" t="s">
        <v>190</v>
      </c>
    </row>
    <row r="6281" spans="1:5" x14ac:dyDescent="0.2">
      <c r="A6281">
        <v>6220</v>
      </c>
      <c r="B6281" s="138">
        <f>'Acct Summary 7-8'!H83</f>
        <v>0.66354330708661413</v>
      </c>
      <c r="D6281" s="2" t="str">
        <f t="shared" si="97"/>
        <v>Error?</v>
      </c>
      <c r="E6281" s="2" t="s">
        <v>190</v>
      </c>
    </row>
    <row r="6282" spans="1:5" x14ac:dyDescent="0.2">
      <c r="A6282">
        <v>6221</v>
      </c>
      <c r="B6282" s="138">
        <f>'Acct Summary 7-8'!I83</f>
        <v>6.2359918294875312E-2</v>
      </c>
      <c r="D6282" s="2" t="str">
        <f t="shared" si="97"/>
        <v>Error?</v>
      </c>
      <c r="E6282" s="2" t="s">
        <v>190</v>
      </c>
    </row>
    <row r="6283" spans="1:5" x14ac:dyDescent="0.2">
      <c r="A6283">
        <v>6222</v>
      </c>
      <c r="B6283" s="138">
        <f>'Acct Summary 7-8'!J83</f>
        <v>2.1268267223382046E-2</v>
      </c>
      <c r="D6283" s="2" t="str">
        <f t="shared" si="97"/>
        <v>Error?</v>
      </c>
      <c r="E6283" s="2" t="s">
        <v>190</v>
      </c>
    </row>
    <row r="6284" spans="1:5" x14ac:dyDescent="0.2">
      <c r="A6284">
        <v>6223</v>
      </c>
      <c r="B6284" s="138">
        <f>'Acct Summary 7-8'!K83</f>
        <v>-0.17843200397733372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825095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825095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12241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12241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837336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278666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52410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341924</v>
      </c>
      <c r="D6848" s="2" t="str">
        <f t="shared" si="106"/>
        <v>Error?</v>
      </c>
    </row>
    <row r="6849" spans="1:4" x14ac:dyDescent="0.2">
      <c r="A6849">
        <v>6788</v>
      </c>
      <c r="B6849" s="138">
        <f>'Expenditures 15-22'!I8</f>
        <v>47019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630581</v>
      </c>
      <c r="D6853" s="2" t="str">
        <f t="shared" si="106"/>
        <v>Error?</v>
      </c>
    </row>
    <row r="6854" spans="1:4" x14ac:dyDescent="0.2">
      <c r="A6854">
        <v>6793</v>
      </c>
      <c r="B6854" s="138">
        <f>'Expenditures 15-22'!I10</f>
        <v>67573</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4813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171815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1650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1650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8884</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8884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10489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10489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4079</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142694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146773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167796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11539</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25900</v>
      </c>
      <c r="D6987" s="2" t="str">
        <f t="shared" si="108"/>
        <v>Error?</v>
      </c>
    </row>
    <row r="6988" spans="1:4" x14ac:dyDescent="0.2">
      <c r="A6988">
        <v>6927</v>
      </c>
      <c r="B6988" s="138">
        <f>'Expenditures 15-22'!K88</f>
        <v>25900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25900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351150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10246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10246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10246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821036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10246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837336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72811</v>
      </c>
      <c r="D7073" s="2" t="str">
        <f t="shared" si="109"/>
        <v>Error?</v>
      </c>
    </row>
    <row r="7074" spans="1:4" x14ac:dyDescent="0.2">
      <c r="A7074">
        <v>7013</v>
      </c>
      <c r="B7074" s="138">
        <f>'Expenditures 15-22'!K216</f>
        <v>72811</v>
      </c>
      <c r="D7074" s="2" t="str">
        <f t="shared" si="109"/>
        <v>Error?</v>
      </c>
    </row>
    <row r="7075" spans="1:4" x14ac:dyDescent="0.2">
      <c r="A7075">
        <v>7014</v>
      </c>
      <c r="B7075" s="138">
        <f>'Expenditures 15-22'!D218</f>
        <v>34125</v>
      </c>
      <c r="D7075" s="2" t="str">
        <f t="shared" si="109"/>
        <v>Error?</v>
      </c>
    </row>
    <row r="7076" spans="1:4" x14ac:dyDescent="0.2">
      <c r="A7076">
        <v>7015</v>
      </c>
      <c r="B7076" s="138">
        <f>'Expenditures 15-22'!K218</f>
        <v>34125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26012</v>
      </c>
      <c r="D7079" s="2" t="str">
        <f t="shared" si="109"/>
        <v>Error?</v>
      </c>
    </row>
    <row r="7080" spans="1:4" x14ac:dyDescent="0.2">
      <c r="A7080">
        <v>7019</v>
      </c>
      <c r="B7080" s="138">
        <f>'Expenditures 15-22'!K226</f>
        <v>26012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501675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501675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10030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10030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244958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244958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3000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3000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4750</v>
      </c>
      <c r="D7174" s="2" t="str">
        <f t="shared" si="111"/>
        <v>Error?</v>
      </c>
    </row>
    <row r="7175" spans="1:4" x14ac:dyDescent="0.2">
      <c r="A7175">
        <v>7114</v>
      </c>
      <c r="B7175" s="138">
        <f>'Expenditures 15-22'!F325</f>
        <v>4046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8796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52577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52577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813990</v>
      </c>
      <c r="D7201" s="2" t="str">
        <f t="shared" si="111"/>
        <v>Error?</v>
      </c>
    </row>
    <row r="7202" spans="1:4" x14ac:dyDescent="0.2">
      <c r="A7202">
        <v>7141</v>
      </c>
      <c r="B7202" s="138">
        <f>'Expenditures 15-22'!F330</f>
        <v>4046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3000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821036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813990</v>
      </c>
      <c r="D7218" s="2" t="str">
        <f t="shared" si="111"/>
        <v>Error?</v>
      </c>
    </row>
    <row r="7219" spans="1:4" x14ac:dyDescent="0.2">
      <c r="A7219">
        <v>7158</v>
      </c>
      <c r="B7219" s="138">
        <f>'Expenditures 15-22'!F342</f>
        <v>4046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3000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821036</v>
      </c>
      <c r="D7224" s="2" t="str">
        <f t="shared" si="111"/>
        <v>Error?</v>
      </c>
    </row>
    <row r="7225" spans="1:4" x14ac:dyDescent="0.2">
      <c r="A7225">
        <v>7164</v>
      </c>
      <c r="B7225" s="138">
        <f>'Expenditures 15-22'!K343</f>
        <v>16300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50833</v>
      </c>
      <c r="D7246" s="2" t="str">
        <f t="shared" si="112"/>
        <v>Error?</v>
      </c>
    </row>
    <row r="7247" spans="1:4" x14ac:dyDescent="0.2">
      <c r="A7247">
        <f t="shared" si="113"/>
        <v>7186</v>
      </c>
      <c r="B7247" s="138">
        <f>'Expenditures 15-22'!E7</f>
        <v>6322</v>
      </c>
      <c r="D7247" s="2" t="str">
        <f t="shared" si="112"/>
        <v>Error?</v>
      </c>
    </row>
    <row r="7248" spans="1:4" x14ac:dyDescent="0.2">
      <c r="A7248">
        <f t="shared" si="113"/>
        <v>7187</v>
      </c>
      <c r="B7248" s="138">
        <f>'Expenditures 15-22'!F7</f>
        <v>6103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499298</v>
      </c>
      <c r="D7251" s="2" t="str">
        <f t="shared" si="112"/>
        <v>Error?</v>
      </c>
    </row>
    <row r="7252" spans="1:4" x14ac:dyDescent="0.2">
      <c r="A7252">
        <f t="shared" si="113"/>
        <v>7191</v>
      </c>
      <c r="B7252" s="138">
        <f>'Expenditures 15-22'!D9</f>
        <v>131283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394902</v>
      </c>
      <c r="D7615" s="2" t="str">
        <f t="shared" ref="D7615:D7678" si="124">IF(ISBLANK(B7615),"OK",IF(A7615-B7615=0,"OK","Error?"))</f>
        <v>Error?</v>
      </c>
      <c r="E7615" s="2" t="s">
        <v>19</v>
      </c>
    </row>
    <row r="7616" spans="1:5" x14ac:dyDescent="0.2">
      <c r="A7616">
        <f t="shared" si="123"/>
        <v>7555</v>
      </c>
      <c r="B7616" s="138">
        <f>'Cap Outlay Deprec 26'!D14</f>
        <v>9705</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404607</v>
      </c>
      <c r="D7618" s="2" t="str">
        <f t="shared" si="124"/>
        <v>Error?</v>
      </c>
      <c r="E7618" s="2" t="s">
        <v>19</v>
      </c>
    </row>
    <row r="7619" spans="1:5" x14ac:dyDescent="0.2">
      <c r="A7619">
        <f t="shared" si="123"/>
        <v>7558</v>
      </c>
      <c r="B7619" s="138">
        <f>'Cap Outlay Deprec 26'!H14</f>
        <v>394902</v>
      </c>
      <c r="D7619" s="2" t="str">
        <f t="shared" si="124"/>
        <v>Error?</v>
      </c>
      <c r="E7619" s="2" t="s">
        <v>19</v>
      </c>
    </row>
    <row r="7620" spans="1:5" x14ac:dyDescent="0.2">
      <c r="A7620">
        <f t="shared" si="123"/>
        <v>7559</v>
      </c>
      <c r="B7620" s="138">
        <f>'Cap Outlay Deprec 26'!I14</f>
        <v>3235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398137</v>
      </c>
      <c r="D7622" s="2" t="str">
        <f t="shared" si="124"/>
        <v>Error?</v>
      </c>
      <c r="E7622" s="2" t="s">
        <v>19</v>
      </c>
    </row>
    <row r="7623" spans="1:5" x14ac:dyDescent="0.2">
      <c r="A7623">
        <f t="shared" si="123"/>
        <v>7562</v>
      </c>
      <c r="B7623" s="138">
        <f>'Cap Outlay Deprec 26'!L14</f>
        <v>6470</v>
      </c>
      <c r="D7623" s="2" t="str">
        <f t="shared" si="124"/>
        <v>Error?</v>
      </c>
      <c r="E7623" s="2" t="s">
        <v>19</v>
      </c>
    </row>
    <row r="7624" spans="1:5" x14ac:dyDescent="0.2">
      <c r="A7624">
        <f t="shared" si="123"/>
        <v>7563</v>
      </c>
      <c r="B7624" s="138">
        <f>'Cap Outlay Deprec 26'!F17</f>
        <v>361396</v>
      </c>
      <c r="D7624" s="2" t="str">
        <f t="shared" si="124"/>
        <v>Error?</v>
      </c>
      <c r="E7624" s="2" t="s">
        <v>19</v>
      </c>
    </row>
    <row r="7625" spans="1:5" x14ac:dyDescent="0.2">
      <c r="A7625">
        <f t="shared" si="123"/>
        <v>7564</v>
      </c>
      <c r="B7625" s="138">
        <f>'Cap Outlay Deprec 26'!I17</f>
        <v>36139.599999999999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1700806.6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84287</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666588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35035</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3371930</v>
      </c>
      <c r="D7713" s="2" t="str">
        <f t="shared" si="126"/>
        <v>Error?</v>
      </c>
      <c r="E7713" s="2" t="s">
        <v>827</v>
      </c>
    </row>
    <row r="7714" spans="1:6" x14ac:dyDescent="0.2">
      <c r="A7714">
        <v>7653</v>
      </c>
      <c r="B7714" s="138">
        <f>'Rest Tax Levies-Tort Im 25'!K9</f>
        <v>60055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3406965</v>
      </c>
      <c r="D7718" s="2" t="str">
        <f t="shared" si="126"/>
        <v>Error?</v>
      </c>
      <c r="E7718" s="2" t="s">
        <v>827</v>
      </c>
    </row>
    <row r="7719" spans="1:6" x14ac:dyDescent="0.2">
      <c r="A7719">
        <v>7658</v>
      </c>
      <c r="B7719" s="138">
        <f>'Rest Tax Levies-Tort Im 25'!K12</f>
        <v>60055</v>
      </c>
      <c r="D7719" s="2" t="str">
        <f t="shared" si="126"/>
        <v>Error?</v>
      </c>
      <c r="E7719" s="2" t="s">
        <v>827</v>
      </c>
    </row>
    <row r="7720" spans="1:6" x14ac:dyDescent="0.2">
      <c r="A7720">
        <v>7659</v>
      </c>
      <c r="B7720" s="138">
        <f>'Rest Tax Levies-Tort Im 25'!H14</f>
        <v>222289</v>
      </c>
      <c r="D7720" s="2" t="str">
        <f t="shared" si="126"/>
        <v>Error?</v>
      </c>
      <c r="E7720" s="2" t="s">
        <v>827</v>
      </c>
    </row>
    <row r="7721" spans="1:6" x14ac:dyDescent="0.2">
      <c r="A7721">
        <v>7660</v>
      </c>
      <c r="B7721" s="138">
        <f>'Rest Tax Levies-Tort Im 25'!K14</f>
        <v>60055</v>
      </c>
      <c r="D7721" s="2" t="str">
        <f t="shared" si="126"/>
        <v>Error?</v>
      </c>
      <c r="E7721" s="2" t="s">
        <v>827</v>
      </c>
    </row>
    <row r="7722" spans="1:6" x14ac:dyDescent="0.2">
      <c r="A7722">
        <v>7661</v>
      </c>
      <c r="B7722" s="138">
        <f>'Rest Tax Levies-Tort Im 25'!J15</f>
        <v>2092353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2092353</v>
      </c>
      <c r="D7730" s="2" t="str">
        <f t="shared" si="126"/>
        <v>Error?</v>
      </c>
      <c r="E7730" s="2" t="s">
        <v>827</v>
      </c>
    </row>
    <row r="7731" spans="1:6" x14ac:dyDescent="0.2">
      <c r="A7731">
        <v>7670</v>
      </c>
      <c r="B7731" s="138">
        <f>'Revenues 9-14'!H103</f>
        <v>3371930</v>
      </c>
      <c r="D7731" s="2" t="str">
        <f t="shared" si="126"/>
        <v>Error?</v>
      </c>
      <c r="E7731" s="2" t="s">
        <v>827</v>
      </c>
    </row>
    <row r="7732" spans="1:6" x14ac:dyDescent="0.2">
      <c r="A7732">
        <v>7671</v>
      </c>
      <c r="B7732" s="138">
        <f>'Rest Tax Levies-Tort Im 25'!J24</f>
        <v>1981200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1981200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29'!D148</f>
        <v>3804715.16</v>
      </c>
      <c r="D7797" s="2" t="str">
        <f t="shared" si="127"/>
        <v>Error?</v>
      </c>
      <c r="E7797" s="4" t="s">
        <v>1900</v>
      </c>
    </row>
    <row r="7798" spans="1:5" x14ac:dyDescent="0.2">
      <c r="A7798">
        <v>7737</v>
      </c>
      <c r="B7798" s="138">
        <f>'Contracts Paid in CY 29'!F148</f>
        <v>1271988.1599999999</v>
      </c>
      <c r="D7798" s="2" t="str">
        <f t="shared" si="127"/>
        <v>Error?</v>
      </c>
      <c r="E7798" s="4" t="s">
        <v>1900</v>
      </c>
    </row>
    <row r="7799" spans="1:5" x14ac:dyDescent="0.2">
      <c r="A7799">
        <v>7738</v>
      </c>
      <c r="B7799" s="138">
        <f>'Contracts Paid in CY 29'!G148</f>
        <v>2532727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AC59"/>
  <sheetViews>
    <sheetView showGridLines="0" showZeros="0" topLeftCell="A28"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1984</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Rock Island SD 41</v>
      </c>
      <c r="B7" s="2387"/>
      <c r="C7" s="2387"/>
      <c r="D7" s="2424"/>
      <c r="E7" s="2425">
        <f>COVER!A13</f>
        <v>49081041025</v>
      </c>
      <c r="F7" s="2426"/>
      <c r="G7" s="2393">
        <f>COVER!T23</f>
        <v>66.004396999999997</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Bohnsack &amp; Frommelt LLP</v>
      </c>
      <c r="H9" s="2400"/>
      <c r="I9" s="2400"/>
      <c r="J9" s="2400"/>
      <c r="K9" s="2400"/>
      <c r="L9" s="2401"/>
    </row>
    <row r="10" spans="1:29" ht="13.5" customHeight="1" x14ac:dyDescent="0.2">
      <c r="A10" s="2383">
        <f>COVER!A38</f>
        <v>0</v>
      </c>
      <c r="B10" s="2384"/>
      <c r="C10" s="2384"/>
      <c r="D10" s="2384"/>
      <c r="E10" s="2384"/>
      <c r="F10" s="2385"/>
      <c r="G10" s="2399" t="str">
        <f>COVER!T17</f>
        <v>1500 River Drive, Suite 200</v>
      </c>
      <c r="H10" s="2412"/>
      <c r="I10" s="2412"/>
      <c r="J10" s="2412"/>
      <c r="K10" s="2412"/>
      <c r="L10" s="2413"/>
    </row>
    <row r="11" spans="1:29" ht="13.5" customHeight="1" x14ac:dyDescent="0.2">
      <c r="A11" s="1184" t="s">
        <v>1519</v>
      </c>
      <c r="B11" s="1185"/>
      <c r="C11" s="1186"/>
      <c r="D11" s="1191"/>
      <c r="E11" s="1186"/>
      <c r="F11" s="1190"/>
      <c r="G11" s="2399" t="str">
        <f>COVER!T19</f>
        <v>Moline</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Sarah@governmentalservice.com</v>
      </c>
      <c r="J13" s="2421"/>
      <c r="K13" s="2421"/>
      <c r="L13" s="2422"/>
    </row>
    <row r="14" spans="1:29" ht="13.5" customHeight="1" x14ac:dyDescent="0.2">
      <c r="A14" s="2399" t="str">
        <f>COVER!A19</f>
        <v>2101 Sixth Avenue</v>
      </c>
      <c r="B14" s="2412"/>
      <c r="C14" s="2412"/>
      <c r="D14" s="2412"/>
      <c r="E14" s="2412"/>
      <c r="F14" s="2413"/>
      <c r="G14" s="1195" t="s">
        <v>1185</v>
      </c>
      <c r="H14" s="1193"/>
      <c r="I14" s="1193"/>
      <c r="J14" s="1193"/>
      <c r="K14" s="1193"/>
      <c r="L14" s="1194"/>
    </row>
    <row r="15" spans="1:29" ht="13.5" customHeight="1" x14ac:dyDescent="0.2">
      <c r="A15" s="2399" t="str">
        <f>COVER!A21</f>
        <v>Rock Island</v>
      </c>
      <c r="B15" s="2412"/>
      <c r="C15" s="2412"/>
      <c r="D15" s="2412"/>
      <c r="E15" s="2412"/>
      <c r="F15" s="2413"/>
      <c r="G15" s="2409" t="str">
        <f>COVER!T15</f>
        <v>Sarah Bohnsack</v>
      </c>
      <c r="H15" s="2410"/>
      <c r="I15" s="2410"/>
      <c r="J15" s="2410"/>
      <c r="K15" s="2410"/>
      <c r="L15" s="2411"/>
    </row>
    <row r="16" spans="1:29" ht="12.2" customHeight="1" x14ac:dyDescent="0.2">
      <c r="A16" s="2389">
        <f>COVER!A25</f>
        <v>61201</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563.343.9595</v>
      </c>
      <c r="H18" s="2387"/>
      <c r="I18" s="2387"/>
      <c r="J18" s="2387"/>
      <c r="K18" s="2386">
        <f>COVER!X21</f>
        <v>0</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9"/>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K127"/>
  <sheetViews>
    <sheetView showGridLines="0" topLeftCell="A91"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Rock Island SD 41</v>
      </c>
      <c r="B1" s="2423"/>
      <c r="C1" s="2423"/>
      <c r="D1" s="2423"/>
    </row>
    <row r="2" spans="1:11" s="1212" customFormat="1" ht="12.75" x14ac:dyDescent="0.2">
      <c r="A2" s="2428">
        <f>'Single Audit Cover'!E7</f>
        <v>49081041025</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Rock Island SD 41</v>
      </c>
      <c r="B1" s="2431"/>
      <c r="C1" s="2431"/>
      <c r="D1" s="2431"/>
      <c r="E1" s="2431"/>
    </row>
    <row r="2" spans="1:5" x14ac:dyDescent="0.2">
      <c r="A2" s="2432">
        <f>'Single Audit Cover'!E7</f>
        <v>49081041025</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12184202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292630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-413729</v>
      </c>
    </row>
    <row r="19" spans="1:4" ht="13.5" thickBot="1" x14ac:dyDescent="0.25">
      <c r="A19" s="1262" t="s">
        <v>1235</v>
      </c>
      <c r="D19" s="1263">
        <f>SUM(D10:D17)</f>
        <v>12063103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12063103</v>
      </c>
    </row>
    <row r="33" spans="1:4" x14ac:dyDescent="0.2">
      <c r="D33" s="1266"/>
    </row>
    <row r="34" spans="1:4" x14ac:dyDescent="0.2">
      <c r="A34" s="317" t="s">
        <v>1232</v>
      </c>
    </row>
    <row r="35" spans="1:4" x14ac:dyDescent="0.2">
      <c r="A35" s="317" t="s">
        <v>1231</v>
      </c>
      <c r="B35" s="1255" t="s">
        <v>1230</v>
      </c>
      <c r="D35" s="1267">
        <f>+' SEFA (4)'!F18</f>
        <v>12063103</v>
      </c>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12063103</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B1:N152"/>
  <sheetViews>
    <sheetView showGridLines="0" zoomScaleNormal="100" workbookViewId="0">
      <selection activeCell="E25" sqref="E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Rock Island SD 41</v>
      </c>
      <c r="C1" s="2435"/>
      <c r="D1" s="2435"/>
      <c r="E1" s="2435"/>
      <c r="F1" s="2435"/>
      <c r="G1" s="2435"/>
      <c r="H1" s="2435"/>
      <c r="I1" s="2435"/>
      <c r="J1" s="2435"/>
      <c r="K1" s="2435"/>
      <c r="L1" s="2435"/>
      <c r="M1" s="2435"/>
    </row>
    <row r="2" spans="2:14" ht="15" x14ac:dyDescent="0.2">
      <c r="B2" s="2436">
        <f>'Single Audit Cover'!E7</f>
        <v>49081041025</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2077</v>
      </c>
      <c r="C11" s="1335"/>
      <c r="D11" s="1336"/>
      <c r="E11" s="1337"/>
      <c r="F11" s="1337"/>
      <c r="G11" s="1337"/>
      <c r="H11" s="1337"/>
      <c r="I11" s="1337"/>
      <c r="J11" s="1337"/>
      <c r="K11" s="1337"/>
      <c r="L11" s="1337">
        <f>+G11+I11+K11</f>
        <v>0</v>
      </c>
      <c r="M11" s="1337"/>
    </row>
    <row r="12" spans="2:14" ht="20.100000000000001" customHeight="1" x14ac:dyDescent="0.2">
      <c r="B12" s="1334" t="s">
        <v>2078</v>
      </c>
      <c r="C12" s="1338"/>
      <c r="D12" s="1339"/>
      <c r="E12" s="1340"/>
      <c r="F12" s="1340"/>
      <c r="G12" s="1340"/>
      <c r="H12" s="1340"/>
      <c r="I12" s="1340"/>
      <c r="J12" s="1340"/>
      <c r="K12" s="1340"/>
      <c r="L12" s="1337">
        <f t="shared" ref="L12:L26" si="0">+G12+I12+K12</f>
        <v>0</v>
      </c>
      <c r="M12" s="1340"/>
    </row>
    <row r="13" spans="2:14" ht="20.100000000000001" customHeight="1" x14ac:dyDescent="0.2">
      <c r="B13" s="1334" t="s">
        <v>2079</v>
      </c>
      <c r="C13" s="1338"/>
      <c r="D13" s="1339"/>
      <c r="E13" s="1340"/>
      <c r="F13" s="1340"/>
      <c r="G13" s="1340"/>
      <c r="H13" s="1340"/>
      <c r="I13" s="1340"/>
      <c r="J13" s="1340"/>
      <c r="K13" s="1340"/>
      <c r="L13" s="1337">
        <f t="shared" si="0"/>
        <v>0</v>
      </c>
      <c r="M13" s="1340"/>
    </row>
    <row r="14" spans="2:14" ht="20.100000000000001" customHeight="1" x14ac:dyDescent="0.2">
      <c r="B14" s="1334" t="s">
        <v>2083</v>
      </c>
      <c r="C14" s="1338">
        <v>10.553000000000001</v>
      </c>
      <c r="D14" s="1339" t="s">
        <v>2080</v>
      </c>
      <c r="E14" s="1340">
        <v>612924</v>
      </c>
      <c r="F14" s="1340">
        <v>188906</v>
      </c>
      <c r="G14" s="1340">
        <v>612924</v>
      </c>
      <c r="H14" s="1340">
        <v>0</v>
      </c>
      <c r="I14" s="1340">
        <v>188906</v>
      </c>
      <c r="J14" s="1340">
        <v>0</v>
      </c>
      <c r="K14" s="1340">
        <v>0</v>
      </c>
      <c r="L14" s="1337">
        <f t="shared" si="0"/>
        <v>801830</v>
      </c>
      <c r="M14" s="1340" t="s">
        <v>2081</v>
      </c>
    </row>
    <row r="15" spans="2:14" ht="20.100000000000001" customHeight="1" x14ac:dyDescent="0.2">
      <c r="B15" s="1334" t="s">
        <v>2083</v>
      </c>
      <c r="C15" s="1338">
        <v>10.553000000000001</v>
      </c>
      <c r="D15" s="1339" t="s">
        <v>2082</v>
      </c>
      <c r="E15" s="1340">
        <v>0</v>
      </c>
      <c r="F15" s="1340">
        <v>638244</v>
      </c>
      <c r="G15" s="1340">
        <v>0</v>
      </c>
      <c r="H15" s="1340">
        <v>0</v>
      </c>
      <c r="I15" s="1340">
        <v>638244</v>
      </c>
      <c r="J15" s="1340">
        <v>0</v>
      </c>
      <c r="K15" s="1340">
        <v>0</v>
      </c>
      <c r="L15" s="1337">
        <f t="shared" si="0"/>
        <v>638244</v>
      </c>
      <c r="M15" s="1340" t="s">
        <v>2081</v>
      </c>
    </row>
    <row r="16" spans="2:14" ht="20.100000000000001" customHeight="1" x14ac:dyDescent="0.2">
      <c r="B16" s="1334" t="s">
        <v>2084</v>
      </c>
      <c r="C16" s="1338">
        <v>10.555</v>
      </c>
      <c r="D16" s="1339" t="s">
        <v>2085</v>
      </c>
      <c r="E16" s="1340">
        <v>2070501</v>
      </c>
      <c r="F16" s="1340">
        <v>641174</v>
      </c>
      <c r="G16" s="1340">
        <v>2070501</v>
      </c>
      <c r="H16" s="1340">
        <v>0</v>
      </c>
      <c r="I16" s="1340">
        <v>641174</v>
      </c>
      <c r="J16" s="1340">
        <v>0</v>
      </c>
      <c r="K16" s="1340">
        <v>0</v>
      </c>
      <c r="L16" s="1337">
        <f t="shared" si="0"/>
        <v>2711675</v>
      </c>
      <c r="M16" s="1340" t="s">
        <v>2081</v>
      </c>
    </row>
    <row r="17" spans="2:14" ht="20.100000000000001" customHeight="1" x14ac:dyDescent="0.2">
      <c r="B17" s="1334" t="s">
        <v>2084</v>
      </c>
      <c r="C17" s="1338">
        <v>10.555</v>
      </c>
      <c r="D17" s="1339" t="s">
        <v>2086</v>
      </c>
      <c r="E17" s="1340">
        <v>0</v>
      </c>
      <c r="F17" s="1340">
        <v>2084199</v>
      </c>
      <c r="G17" s="1340">
        <v>0</v>
      </c>
      <c r="H17" s="1340">
        <v>0</v>
      </c>
      <c r="I17" s="1340">
        <v>2084199</v>
      </c>
      <c r="J17" s="1340">
        <v>0</v>
      </c>
      <c r="K17" s="1340">
        <v>0</v>
      </c>
      <c r="L17" s="1337">
        <f t="shared" si="0"/>
        <v>2084199</v>
      </c>
      <c r="M17" s="1340" t="s">
        <v>2081</v>
      </c>
    </row>
    <row r="18" spans="2:14" ht="20.100000000000001" customHeight="1" x14ac:dyDescent="0.2">
      <c r="B18" s="1334" t="s">
        <v>2087</v>
      </c>
      <c r="C18" s="1338">
        <v>10.555</v>
      </c>
      <c r="D18" s="1339" t="s">
        <v>2088</v>
      </c>
      <c r="E18" s="1340">
        <v>0</v>
      </c>
      <c r="F18" s="1340">
        <v>203264</v>
      </c>
      <c r="G18" s="1340">
        <v>0</v>
      </c>
      <c r="H18" s="1340">
        <v>0</v>
      </c>
      <c r="I18" s="1340">
        <v>203264</v>
      </c>
      <c r="J18" s="1340">
        <v>0</v>
      </c>
      <c r="K18" s="1340">
        <v>0</v>
      </c>
      <c r="L18" s="1337">
        <f t="shared" si="0"/>
        <v>203264</v>
      </c>
      <c r="M18" s="1340" t="s">
        <v>2081</v>
      </c>
    </row>
    <row r="19" spans="2:14" ht="20.100000000000001" customHeight="1" x14ac:dyDescent="0.2">
      <c r="B19" s="1334" t="s">
        <v>2089</v>
      </c>
      <c r="C19" s="1338">
        <v>10.555</v>
      </c>
      <c r="D19" s="1339" t="s">
        <v>2088</v>
      </c>
      <c r="E19" s="1340">
        <v>0</v>
      </c>
      <c r="F19" s="1340">
        <v>89366</v>
      </c>
      <c r="G19" s="1340">
        <v>0</v>
      </c>
      <c r="H19" s="1340">
        <v>0</v>
      </c>
      <c r="I19" s="1340">
        <v>89366</v>
      </c>
      <c r="J19" s="1340">
        <v>0</v>
      </c>
      <c r="K19" s="1340">
        <v>0</v>
      </c>
      <c r="L19" s="1337">
        <f t="shared" si="0"/>
        <v>89366</v>
      </c>
      <c r="M19" s="1340" t="s">
        <v>2081</v>
      </c>
    </row>
    <row r="20" spans="2:14" ht="20.100000000000001" customHeight="1" x14ac:dyDescent="0.2">
      <c r="B20" s="1334" t="s">
        <v>2090</v>
      </c>
      <c r="C20" s="1338">
        <v>10.555999999999999</v>
      </c>
      <c r="D20" s="1339" t="s">
        <v>2091</v>
      </c>
      <c r="E20" s="1340">
        <v>1528</v>
      </c>
      <c r="F20" s="1340">
        <v>381</v>
      </c>
      <c r="G20" s="1340">
        <v>1528</v>
      </c>
      <c r="H20" s="1340">
        <v>0</v>
      </c>
      <c r="I20" s="1340">
        <v>381</v>
      </c>
      <c r="J20" s="1340">
        <v>0</v>
      </c>
      <c r="K20" s="1340">
        <v>0</v>
      </c>
      <c r="L20" s="1337">
        <f t="shared" si="0"/>
        <v>1909</v>
      </c>
      <c r="M20" s="1340" t="s">
        <v>2081</v>
      </c>
    </row>
    <row r="21" spans="2:14" ht="20.100000000000001" customHeight="1" x14ac:dyDescent="0.2">
      <c r="B21" s="1334" t="s">
        <v>2090</v>
      </c>
      <c r="C21" s="1338">
        <v>10.555999999999999</v>
      </c>
      <c r="D21" s="1339" t="s">
        <v>2092</v>
      </c>
      <c r="E21" s="1340">
        <v>0</v>
      </c>
      <c r="F21" s="1340">
        <v>1482</v>
      </c>
      <c r="G21" s="1340">
        <v>0</v>
      </c>
      <c r="H21" s="1340">
        <v>0</v>
      </c>
      <c r="I21" s="1340">
        <v>1482</v>
      </c>
      <c r="J21" s="1340">
        <v>0</v>
      </c>
      <c r="K21" s="1340">
        <v>0</v>
      </c>
      <c r="L21" s="1337">
        <f t="shared" si="0"/>
        <v>1482</v>
      </c>
      <c r="M21" s="1340" t="s">
        <v>2081</v>
      </c>
    </row>
    <row r="22" spans="2:14" ht="20.100000000000001" customHeight="1" x14ac:dyDescent="0.2">
      <c r="B22" s="1334" t="s">
        <v>2093</v>
      </c>
      <c r="C22" s="1338">
        <v>10.558999999999999</v>
      </c>
      <c r="D22" s="1339" t="s">
        <v>2094</v>
      </c>
      <c r="E22" s="1340">
        <v>0</v>
      </c>
      <c r="F22" s="1340">
        <v>24524</v>
      </c>
      <c r="G22" s="1340">
        <v>0</v>
      </c>
      <c r="H22" s="1340">
        <v>0</v>
      </c>
      <c r="I22" s="1340">
        <v>24524</v>
      </c>
      <c r="J22" s="1340">
        <v>0</v>
      </c>
      <c r="K22" s="1340">
        <v>0</v>
      </c>
      <c r="L22" s="1337">
        <f t="shared" si="0"/>
        <v>24524</v>
      </c>
      <c r="M22" s="1340" t="s">
        <v>2081</v>
      </c>
    </row>
    <row r="23" spans="2:14" ht="20.100000000000001" customHeight="1" x14ac:dyDescent="0.2">
      <c r="B23" s="1334" t="s">
        <v>2095</v>
      </c>
      <c r="C23" s="1338"/>
      <c r="D23" s="1339"/>
      <c r="E23" s="1340">
        <f t="shared" ref="E23:K23" si="1">+E14+E15+E16+E17+E18+E19+E20+E21+E22</f>
        <v>2684953</v>
      </c>
      <c r="F23" s="1340">
        <f t="shared" si="1"/>
        <v>3871540</v>
      </c>
      <c r="G23" s="1340">
        <f t="shared" si="1"/>
        <v>2684953</v>
      </c>
      <c r="H23" s="1340">
        <f t="shared" si="1"/>
        <v>0</v>
      </c>
      <c r="I23" s="1340">
        <f t="shared" si="1"/>
        <v>3871540</v>
      </c>
      <c r="J23" s="1340">
        <f t="shared" si="1"/>
        <v>0</v>
      </c>
      <c r="K23" s="1340">
        <f t="shared" si="1"/>
        <v>0</v>
      </c>
      <c r="L23" s="1337">
        <f t="shared" si="0"/>
        <v>6556493</v>
      </c>
      <c r="M23" s="1340"/>
    </row>
    <row r="24" spans="2:14" ht="20.100000000000001" customHeight="1" x14ac:dyDescent="0.2">
      <c r="B24" s="1334" t="s">
        <v>2096</v>
      </c>
      <c r="C24" s="1338">
        <v>10.582000000000001</v>
      </c>
      <c r="D24" s="1339" t="s">
        <v>2098</v>
      </c>
      <c r="E24" s="1340">
        <v>0</v>
      </c>
      <c r="F24" s="1340">
        <v>21228</v>
      </c>
      <c r="G24" s="1340">
        <v>0</v>
      </c>
      <c r="H24" s="1340">
        <v>0</v>
      </c>
      <c r="I24" s="1340">
        <v>21228</v>
      </c>
      <c r="J24" s="1340">
        <v>0</v>
      </c>
      <c r="K24" s="1340">
        <v>0</v>
      </c>
      <c r="L24" s="1337">
        <f t="shared" si="0"/>
        <v>21228</v>
      </c>
      <c r="M24" s="1340" t="s">
        <v>2081</v>
      </c>
    </row>
    <row r="25" spans="2:14" ht="20.100000000000001" customHeight="1" x14ac:dyDescent="0.2">
      <c r="B25" s="1334" t="s">
        <v>2096</v>
      </c>
      <c r="C25" s="1338">
        <v>10.582000000000001</v>
      </c>
      <c r="D25" s="1339" t="s">
        <v>2097</v>
      </c>
      <c r="E25" s="1340">
        <v>0</v>
      </c>
      <c r="F25" s="1340">
        <v>63059</v>
      </c>
      <c r="G25" s="1340">
        <v>0</v>
      </c>
      <c r="H25" s="1340">
        <v>0</v>
      </c>
      <c r="I25" s="1340">
        <v>63059</v>
      </c>
      <c r="J25" s="1340">
        <v>0</v>
      </c>
      <c r="K25" s="1340">
        <v>0</v>
      </c>
      <c r="L25" s="1337">
        <f t="shared" si="0"/>
        <v>63059</v>
      </c>
      <c r="M25" s="1340" t="s">
        <v>2081</v>
      </c>
    </row>
    <row r="26" spans="2:14" ht="20.100000000000001" customHeight="1" x14ac:dyDescent="0.2">
      <c r="B26" s="1334" t="s">
        <v>2099</v>
      </c>
      <c r="C26" s="1338"/>
      <c r="D26" s="1339"/>
      <c r="E26" s="1340">
        <f t="shared" ref="E26:K26" si="2">+E24+E25</f>
        <v>0</v>
      </c>
      <c r="F26" s="1340">
        <f t="shared" si="2"/>
        <v>84287</v>
      </c>
      <c r="G26" s="1340">
        <f t="shared" si="2"/>
        <v>0</v>
      </c>
      <c r="H26" s="1340">
        <f t="shared" si="2"/>
        <v>0</v>
      </c>
      <c r="I26" s="1340">
        <f t="shared" si="2"/>
        <v>84287</v>
      </c>
      <c r="J26" s="1340">
        <f t="shared" si="2"/>
        <v>0</v>
      </c>
      <c r="K26" s="1340">
        <f t="shared" si="2"/>
        <v>0</v>
      </c>
      <c r="L26" s="1337">
        <f t="shared" si="0"/>
        <v>84287</v>
      </c>
      <c r="M26" s="1340"/>
    </row>
    <row r="27" spans="2:14" ht="20.100000000000001" customHeight="1" x14ac:dyDescent="0.2">
      <c r="B27" s="1334" t="s">
        <v>2100</v>
      </c>
      <c r="C27" s="1338"/>
      <c r="D27" s="1339"/>
      <c r="E27" s="1340">
        <f t="shared" ref="E27:K27" si="3">+E26+E23</f>
        <v>2684953</v>
      </c>
      <c r="F27" s="1340">
        <f t="shared" si="3"/>
        <v>3955827</v>
      </c>
      <c r="G27" s="1340">
        <f t="shared" si="3"/>
        <v>2684953</v>
      </c>
      <c r="H27" s="1340">
        <f t="shared" si="3"/>
        <v>0</v>
      </c>
      <c r="I27" s="1340">
        <f t="shared" si="3"/>
        <v>3955827</v>
      </c>
      <c r="J27" s="1340">
        <f t="shared" si="3"/>
        <v>0</v>
      </c>
      <c r="K27" s="1340">
        <f t="shared" si="3"/>
        <v>0</v>
      </c>
      <c r="L27" s="1337">
        <f>+L23+L26</f>
        <v>6640780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B1:N152"/>
  <sheetViews>
    <sheetView showGridLines="0" topLeftCell="A22" zoomScaleNormal="100" workbookViewId="0">
      <selection activeCell="E25" sqref="E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Rock Island SD 41</v>
      </c>
      <c r="C1" s="2435"/>
      <c r="D1" s="2435"/>
      <c r="E1" s="2435"/>
      <c r="F1" s="2435"/>
      <c r="G1" s="2435"/>
      <c r="H1" s="2435"/>
      <c r="I1" s="2435"/>
      <c r="J1" s="2435"/>
      <c r="K1" s="2435"/>
      <c r="L1" s="2435"/>
      <c r="M1" s="2435"/>
    </row>
    <row r="2" spans="2:14" ht="15" x14ac:dyDescent="0.2">
      <c r="B2" s="2436">
        <f>'Single Audit Cover'!E7</f>
        <v>49081041025</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2101</v>
      </c>
      <c r="C11" s="1335"/>
      <c r="D11" s="1336"/>
      <c r="E11" s="1337"/>
      <c r="F11" s="1337"/>
      <c r="G11" s="1337"/>
      <c r="H11" s="1337"/>
      <c r="I11" s="1337"/>
      <c r="J11" s="1337"/>
      <c r="K11" s="1337"/>
      <c r="L11" s="1337">
        <f>+G11+I11+K11</f>
        <v>0</v>
      </c>
      <c r="M11" s="1337"/>
    </row>
    <row r="12" spans="2:14" ht="20.100000000000001" customHeight="1" x14ac:dyDescent="0.2">
      <c r="B12" s="1334" t="s">
        <v>2078</v>
      </c>
      <c r="C12" s="1338"/>
      <c r="D12" s="1339"/>
      <c r="E12" s="1340"/>
      <c r="F12" s="1340"/>
      <c r="G12" s="1340"/>
      <c r="H12" s="1340"/>
      <c r="I12" s="1340"/>
      <c r="J12" s="1340"/>
      <c r="K12" s="1340"/>
      <c r="L12" s="1337">
        <f t="shared" ref="L12:L27" si="0">+G12+I12+K12</f>
        <v>0</v>
      </c>
      <c r="M12" s="1340"/>
    </row>
    <row r="13" spans="2:14" ht="20.100000000000001" customHeight="1" x14ac:dyDescent="0.2">
      <c r="B13" s="1334" t="s">
        <v>2102</v>
      </c>
      <c r="C13" s="1338" t="s">
        <v>2103</v>
      </c>
      <c r="D13" s="1339" t="s">
        <v>2104</v>
      </c>
      <c r="E13" s="1340">
        <v>1921494</v>
      </c>
      <c r="F13" s="1340">
        <v>43724</v>
      </c>
      <c r="G13" s="1340">
        <v>1948168</v>
      </c>
      <c r="H13" s="1340">
        <v>0</v>
      </c>
      <c r="I13" s="1340">
        <v>17050</v>
      </c>
      <c r="J13" s="1340">
        <v>0</v>
      </c>
      <c r="K13" s="1340">
        <v>0</v>
      </c>
      <c r="L13" s="1337">
        <f t="shared" si="0"/>
        <v>1965218</v>
      </c>
      <c r="M13" s="1340">
        <v>2762834</v>
      </c>
    </row>
    <row r="14" spans="2:14" ht="20.100000000000001" customHeight="1" x14ac:dyDescent="0.2">
      <c r="B14" s="1334" t="s">
        <v>2102</v>
      </c>
      <c r="C14" s="1338" t="s">
        <v>2103</v>
      </c>
      <c r="D14" s="1339" t="s">
        <v>2105</v>
      </c>
      <c r="E14" s="1340">
        <v>0</v>
      </c>
      <c r="F14" s="1340">
        <v>2441903</v>
      </c>
      <c r="G14" s="1340">
        <v>0</v>
      </c>
      <c r="H14" s="1340">
        <v>0</v>
      </c>
      <c r="I14" s="1340">
        <v>2655776</v>
      </c>
      <c r="J14" s="1340">
        <v>0</v>
      </c>
      <c r="K14" s="1340">
        <v>0</v>
      </c>
      <c r="L14" s="1337">
        <f t="shared" si="0"/>
        <v>2655776</v>
      </c>
      <c r="M14" s="1340">
        <v>3981465</v>
      </c>
    </row>
    <row r="15" spans="2:14" ht="20.100000000000001" customHeight="1" x14ac:dyDescent="0.2">
      <c r="B15" s="1334" t="s">
        <v>2107</v>
      </c>
      <c r="C15" s="1338" t="s">
        <v>2103</v>
      </c>
      <c r="D15" s="1339" t="s">
        <v>2108</v>
      </c>
      <c r="E15" s="1340">
        <v>0</v>
      </c>
      <c r="F15" s="1340">
        <v>24624</v>
      </c>
      <c r="G15" s="1340">
        <v>0</v>
      </c>
      <c r="H15" s="1340">
        <f>+H13+H14</f>
        <v>0</v>
      </c>
      <c r="I15" s="1340">
        <v>32407</v>
      </c>
      <c r="J15" s="1340">
        <f>+J13+J14</f>
        <v>0</v>
      </c>
      <c r="K15" s="1340">
        <f>+K13+K14</f>
        <v>0</v>
      </c>
      <c r="L15" s="1337">
        <f t="shared" si="0"/>
        <v>32407</v>
      </c>
      <c r="M15" s="1340">
        <v>197712</v>
      </c>
    </row>
    <row r="16" spans="2:14" ht="20.100000000000001" customHeight="1" x14ac:dyDescent="0.2">
      <c r="B16" s="1334" t="s">
        <v>2106</v>
      </c>
      <c r="C16" s="1338"/>
      <c r="D16" s="1339"/>
      <c r="E16" s="1340">
        <f>+E13+E14+E15</f>
        <v>1921494</v>
      </c>
      <c r="F16" s="1340">
        <f>+F13+F14+F15</f>
        <v>2510251</v>
      </c>
      <c r="G16" s="1340">
        <f>+G13+G14+G15</f>
        <v>1948168</v>
      </c>
      <c r="H16" s="1340">
        <f>+H13+H14+H15</f>
        <v>0</v>
      </c>
      <c r="I16" s="1340">
        <f>+I13+I14+I15</f>
        <v>2705233</v>
      </c>
      <c r="J16" s="1340">
        <f>+J14+J13+J15</f>
        <v>0</v>
      </c>
      <c r="K16" s="1340">
        <f>+K13+K14+K15</f>
        <v>0</v>
      </c>
      <c r="L16" s="1337">
        <f t="shared" si="0"/>
        <v>4653401</v>
      </c>
      <c r="M16" s="1340"/>
    </row>
    <row r="17" spans="2:14" ht="20.100000000000001" customHeight="1" x14ac:dyDescent="0.2">
      <c r="B17" s="1334" t="s">
        <v>2109</v>
      </c>
      <c r="C17" s="1338" t="s">
        <v>2110</v>
      </c>
      <c r="D17" s="1339" t="s">
        <v>2111</v>
      </c>
      <c r="E17" s="1340">
        <v>0</v>
      </c>
      <c r="F17" s="1340">
        <v>7732</v>
      </c>
      <c r="G17" s="1340">
        <v>0</v>
      </c>
      <c r="H17" s="1340">
        <v>0</v>
      </c>
      <c r="I17" s="1340">
        <v>7732</v>
      </c>
      <c r="J17" s="1340">
        <v>0</v>
      </c>
      <c r="K17" s="1340">
        <v>0</v>
      </c>
      <c r="L17" s="1337">
        <f t="shared" si="0"/>
        <v>7732</v>
      </c>
      <c r="M17" s="1340">
        <v>23250</v>
      </c>
    </row>
    <row r="18" spans="2:14" ht="20.100000000000001" customHeight="1" x14ac:dyDescent="0.2">
      <c r="B18" s="1334" t="s">
        <v>2113</v>
      </c>
      <c r="C18" s="1338" t="s">
        <v>2110</v>
      </c>
      <c r="D18" s="1339" t="s">
        <v>2112</v>
      </c>
      <c r="E18" s="1340">
        <v>67129</v>
      </c>
      <c r="F18" s="1340">
        <v>4700</v>
      </c>
      <c r="G18" s="1340">
        <v>67129</v>
      </c>
      <c r="H18" s="1340">
        <v>0</v>
      </c>
      <c r="I18" s="1340">
        <v>4700</v>
      </c>
      <c r="J18" s="1340">
        <v>0</v>
      </c>
      <c r="K18" s="1340">
        <v>0</v>
      </c>
      <c r="L18" s="1337">
        <f t="shared" si="0"/>
        <v>71829</v>
      </c>
      <c r="M18" s="1340">
        <v>74649</v>
      </c>
    </row>
    <row r="19" spans="2:14" ht="20.100000000000001" customHeight="1" x14ac:dyDescent="0.2">
      <c r="B19" s="1334" t="s">
        <v>2113</v>
      </c>
      <c r="C19" s="1338" t="s">
        <v>2110</v>
      </c>
      <c r="D19" s="1339" t="s">
        <v>2114</v>
      </c>
      <c r="E19" s="1340">
        <v>0</v>
      </c>
      <c r="F19" s="1340">
        <v>60726</v>
      </c>
      <c r="G19" s="1340">
        <v>0</v>
      </c>
      <c r="H19" s="1340">
        <v>0</v>
      </c>
      <c r="I19" s="1340">
        <v>60726</v>
      </c>
      <c r="J19" s="1340">
        <v>0</v>
      </c>
      <c r="K19" s="1340">
        <v>0</v>
      </c>
      <c r="L19" s="1337">
        <f t="shared" si="0"/>
        <v>60726</v>
      </c>
      <c r="M19" s="1340">
        <v>89580</v>
      </c>
    </row>
    <row r="20" spans="2:14" ht="20.100000000000001" customHeight="1" x14ac:dyDescent="0.2">
      <c r="B20" s="1334" t="s">
        <v>2115</v>
      </c>
      <c r="C20" s="1338"/>
      <c r="D20" s="1339"/>
      <c r="E20" s="1340">
        <f t="shared" ref="E20:K20" si="1">+E17+E18+E19</f>
        <v>67129</v>
      </c>
      <c r="F20" s="1340">
        <f t="shared" si="1"/>
        <v>73158</v>
      </c>
      <c r="G20" s="1340">
        <f t="shared" si="1"/>
        <v>67129</v>
      </c>
      <c r="H20" s="1340">
        <f t="shared" si="1"/>
        <v>0</v>
      </c>
      <c r="I20" s="1340">
        <f t="shared" si="1"/>
        <v>73158</v>
      </c>
      <c r="J20" s="1340">
        <f t="shared" si="1"/>
        <v>0</v>
      </c>
      <c r="K20" s="1340">
        <f t="shared" si="1"/>
        <v>0</v>
      </c>
      <c r="L20" s="1337">
        <f t="shared" si="0"/>
        <v>140287</v>
      </c>
      <c r="M20" s="1340"/>
    </row>
    <row r="21" spans="2:14" ht="20.100000000000001" customHeight="1" x14ac:dyDescent="0.2">
      <c r="B21" s="1334" t="s">
        <v>2116</v>
      </c>
      <c r="C21" s="1338" t="s">
        <v>2117</v>
      </c>
      <c r="D21" s="1339" t="s">
        <v>2118</v>
      </c>
      <c r="E21" s="1340">
        <v>240356</v>
      </c>
      <c r="F21" s="1340">
        <v>21863</v>
      </c>
      <c r="G21" s="1340">
        <v>254689</v>
      </c>
      <c r="H21" s="1340">
        <v>0</v>
      </c>
      <c r="I21" s="1340">
        <v>7530</v>
      </c>
      <c r="J21" s="1340">
        <v>0</v>
      </c>
      <c r="K21" s="1340">
        <v>0</v>
      </c>
      <c r="L21" s="1337">
        <f t="shared" si="0"/>
        <v>262219</v>
      </c>
      <c r="M21" s="1340">
        <v>660741</v>
      </c>
    </row>
    <row r="22" spans="2:14" ht="20.100000000000001" customHeight="1" x14ac:dyDescent="0.2">
      <c r="B22" s="1334" t="s">
        <v>2116</v>
      </c>
      <c r="C22" s="1338" t="s">
        <v>2117</v>
      </c>
      <c r="D22" s="1339" t="s">
        <v>2119</v>
      </c>
      <c r="E22" s="1340">
        <v>0</v>
      </c>
      <c r="F22" s="1340">
        <v>458515</v>
      </c>
      <c r="G22" s="1340">
        <v>0</v>
      </c>
      <c r="H22" s="1340">
        <v>0</v>
      </c>
      <c r="I22" s="1340">
        <v>511304</v>
      </c>
      <c r="J22" s="1340">
        <v>0</v>
      </c>
      <c r="K22" s="1340">
        <v>0</v>
      </c>
      <c r="L22" s="1337">
        <f t="shared" si="0"/>
        <v>511304</v>
      </c>
      <c r="M22" s="1340">
        <v>774039</v>
      </c>
    </row>
    <row r="23" spans="2:14" ht="20.100000000000001" customHeight="1" x14ac:dyDescent="0.2">
      <c r="B23" s="1334" t="s">
        <v>2120</v>
      </c>
      <c r="C23" s="1338"/>
      <c r="D23" s="1339"/>
      <c r="E23" s="1340">
        <f t="shared" ref="E23:K23" si="2">+E21+E22</f>
        <v>240356</v>
      </c>
      <c r="F23" s="1340">
        <f t="shared" si="2"/>
        <v>480378</v>
      </c>
      <c r="G23" s="1340">
        <f t="shared" si="2"/>
        <v>254689</v>
      </c>
      <c r="H23" s="1340">
        <f t="shared" si="2"/>
        <v>0</v>
      </c>
      <c r="I23" s="1340">
        <f t="shared" si="2"/>
        <v>518834</v>
      </c>
      <c r="J23" s="1340">
        <f t="shared" si="2"/>
        <v>0</v>
      </c>
      <c r="K23" s="1340">
        <f t="shared" si="2"/>
        <v>0</v>
      </c>
      <c r="L23" s="1337">
        <f t="shared" si="0"/>
        <v>773523</v>
      </c>
      <c r="M23" s="1340"/>
    </row>
    <row r="24" spans="2:14" ht="20.100000000000001" customHeight="1" x14ac:dyDescent="0.2">
      <c r="B24" s="1334" t="s">
        <v>2121</v>
      </c>
      <c r="C24" s="1338"/>
      <c r="D24" s="1339"/>
      <c r="E24" s="1340"/>
      <c r="F24" s="1340"/>
      <c r="G24" s="1340"/>
      <c r="H24" s="1340"/>
      <c r="I24" s="1340"/>
      <c r="J24" s="1340"/>
      <c r="K24" s="1340"/>
      <c r="L24" s="1337">
        <f t="shared" si="0"/>
        <v>0</v>
      </c>
      <c r="M24" s="1340"/>
    </row>
    <row r="25" spans="2:14" ht="20.100000000000001" customHeight="1" x14ac:dyDescent="0.2">
      <c r="B25" s="1334" t="s">
        <v>2123</v>
      </c>
      <c r="C25" s="1338">
        <v>84.027000000000001</v>
      </c>
      <c r="D25" s="1339" t="s">
        <v>2122</v>
      </c>
      <c r="E25" s="1340">
        <v>0</v>
      </c>
      <c r="F25" s="1340">
        <v>24106</v>
      </c>
      <c r="G25" s="1340">
        <v>0</v>
      </c>
      <c r="H25" s="1340">
        <v>0</v>
      </c>
      <c r="I25" s="1340">
        <v>24106</v>
      </c>
      <c r="J25" s="1340">
        <v>0</v>
      </c>
      <c r="K25" s="1340">
        <v>0</v>
      </c>
      <c r="L25" s="1337">
        <f t="shared" si="0"/>
        <v>24106</v>
      </c>
      <c r="M25" s="1340" t="s">
        <v>2081</v>
      </c>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B1:N152"/>
  <sheetViews>
    <sheetView showGridLines="0" topLeftCell="A11" zoomScaleNormal="100" workbookViewId="0">
      <selection activeCell="E25" sqref="E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Rock Island SD 41</v>
      </c>
      <c r="C1" s="2435"/>
      <c r="D1" s="2435"/>
      <c r="E1" s="2435"/>
      <c r="F1" s="2435"/>
      <c r="G1" s="2435"/>
      <c r="H1" s="2435"/>
      <c r="I1" s="2435"/>
      <c r="J1" s="2435"/>
      <c r="K1" s="2435"/>
      <c r="L1" s="2435"/>
      <c r="M1" s="2435"/>
    </row>
    <row r="2" spans="2:14" ht="15" x14ac:dyDescent="0.2">
      <c r="B2" s="2436">
        <f>'Single Audit Cover'!E7</f>
        <v>49081041025</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2124</v>
      </c>
      <c r="C11" s="1335" t="s">
        <v>2125</v>
      </c>
      <c r="D11" s="1336" t="s">
        <v>2126</v>
      </c>
      <c r="E11" s="1337">
        <v>771062</v>
      </c>
      <c r="F11" s="1337">
        <v>28687</v>
      </c>
      <c r="G11" s="1337">
        <v>783966</v>
      </c>
      <c r="H11" s="1337">
        <v>0</v>
      </c>
      <c r="I11" s="1337">
        <v>14583</v>
      </c>
      <c r="J11" s="1337">
        <v>0</v>
      </c>
      <c r="K11" s="1337">
        <v>0</v>
      </c>
      <c r="L11" s="1337">
        <f>+G11+I11+K11</f>
        <v>798549</v>
      </c>
      <c r="M11" s="1337">
        <v>2073830</v>
      </c>
    </row>
    <row r="12" spans="2:14" ht="20.100000000000001" customHeight="1" x14ac:dyDescent="0.2">
      <c r="B12" s="1334" t="s">
        <v>2124</v>
      </c>
      <c r="C12" s="1338" t="s">
        <v>2125</v>
      </c>
      <c r="D12" s="1339" t="s">
        <v>2127</v>
      </c>
      <c r="E12" s="1340">
        <v>0</v>
      </c>
      <c r="F12" s="1340">
        <v>611768</v>
      </c>
      <c r="G12" s="1340">
        <v>0</v>
      </c>
      <c r="H12" s="1340">
        <v>0</v>
      </c>
      <c r="I12" s="1340">
        <v>612968</v>
      </c>
      <c r="J12" s="1340">
        <v>0</v>
      </c>
      <c r="K12" s="1340">
        <v>0</v>
      </c>
      <c r="L12" s="1337">
        <f t="shared" ref="L12:L27" si="0">+G12+I12+K12</f>
        <v>612968</v>
      </c>
      <c r="M12" s="1340">
        <v>778460</v>
      </c>
    </row>
    <row r="13" spans="2:14" ht="20.100000000000001" customHeight="1" x14ac:dyDescent="0.2">
      <c r="B13" s="1334" t="s">
        <v>2128</v>
      </c>
      <c r="C13" s="1338"/>
      <c r="D13" s="1339"/>
      <c r="E13" s="1340">
        <f>+E11+E12</f>
        <v>771062</v>
      </c>
      <c r="F13" s="1340">
        <f>+F11+F12</f>
        <v>640455</v>
      </c>
      <c r="G13" s="1340">
        <f>+G11+G12</f>
        <v>783966</v>
      </c>
      <c r="H13" s="1340">
        <v>0</v>
      </c>
      <c r="I13" s="1340">
        <f>+I11+I12</f>
        <v>627551</v>
      </c>
      <c r="J13" s="1340">
        <f>+J11+J12</f>
        <v>0</v>
      </c>
      <c r="K13" s="1340">
        <f>+K11+K12</f>
        <v>0</v>
      </c>
      <c r="L13" s="1337">
        <f t="shared" si="0"/>
        <v>1411517</v>
      </c>
      <c r="M13" s="1340"/>
    </row>
    <row r="14" spans="2:14" ht="20.100000000000001" customHeight="1" x14ac:dyDescent="0.2">
      <c r="B14" s="1334" t="s">
        <v>2131</v>
      </c>
      <c r="C14" s="1338" t="s">
        <v>2129</v>
      </c>
      <c r="D14" s="1339" t="s">
        <v>2130</v>
      </c>
      <c r="E14" s="1340">
        <v>187893</v>
      </c>
      <c r="F14" s="1340">
        <v>505</v>
      </c>
      <c r="G14" s="1340">
        <v>188397</v>
      </c>
      <c r="H14" s="1340">
        <v>0</v>
      </c>
      <c r="I14" s="1340">
        <v>1</v>
      </c>
      <c r="J14" s="1340">
        <v>0</v>
      </c>
      <c r="K14" s="1340">
        <v>0</v>
      </c>
      <c r="L14" s="1337">
        <f t="shared" si="0"/>
        <v>188398</v>
      </c>
      <c r="M14" s="1340">
        <v>229500</v>
      </c>
    </row>
    <row r="15" spans="2:14" ht="20.100000000000001" customHeight="1" x14ac:dyDescent="0.2">
      <c r="B15" s="1334" t="s">
        <v>2131</v>
      </c>
      <c r="C15" s="1338" t="s">
        <v>2129</v>
      </c>
      <c r="D15" s="1339" t="s">
        <v>2132</v>
      </c>
      <c r="E15" s="1340">
        <v>0</v>
      </c>
      <c r="F15" s="1340">
        <v>173048</v>
      </c>
      <c r="G15" s="1340">
        <v>0</v>
      </c>
      <c r="H15" s="1340">
        <v>0</v>
      </c>
      <c r="I15" s="1340">
        <v>174432</v>
      </c>
      <c r="J15" s="1340">
        <v>0</v>
      </c>
      <c r="K15" s="1340">
        <v>0</v>
      </c>
      <c r="L15" s="1337">
        <f t="shared" si="0"/>
        <v>174432</v>
      </c>
      <c r="M15" s="1340">
        <v>229500</v>
      </c>
    </row>
    <row r="16" spans="2:14" ht="20.100000000000001" customHeight="1" x14ac:dyDescent="0.2">
      <c r="B16" s="1334" t="s">
        <v>889</v>
      </c>
      <c r="C16" s="1338"/>
      <c r="D16" s="1339"/>
      <c r="E16" s="1340">
        <f t="shared" ref="E16:K16" si="1">+E14+E15</f>
        <v>187893</v>
      </c>
      <c r="F16" s="1340">
        <f t="shared" si="1"/>
        <v>173553</v>
      </c>
      <c r="G16" s="1340">
        <f t="shared" si="1"/>
        <v>188397</v>
      </c>
      <c r="H16" s="1340">
        <f t="shared" si="1"/>
        <v>0</v>
      </c>
      <c r="I16" s="1340">
        <f t="shared" si="1"/>
        <v>174433</v>
      </c>
      <c r="J16" s="1340">
        <f t="shared" si="1"/>
        <v>0</v>
      </c>
      <c r="K16" s="1340">
        <f t="shared" si="1"/>
        <v>0</v>
      </c>
      <c r="L16" s="1337">
        <f t="shared" si="0"/>
        <v>362830</v>
      </c>
      <c r="M16" s="1340"/>
    </row>
    <row r="17" spans="2:14" ht="20.100000000000001" customHeight="1" x14ac:dyDescent="0.2">
      <c r="B17" s="1334" t="s">
        <v>2133</v>
      </c>
      <c r="C17" s="1338">
        <v>84.424000000000007</v>
      </c>
      <c r="D17" s="1339" t="s">
        <v>2134</v>
      </c>
      <c r="E17" s="1340">
        <v>0</v>
      </c>
      <c r="F17" s="1340">
        <v>74064</v>
      </c>
      <c r="G17" s="1340">
        <v>0</v>
      </c>
      <c r="H17" s="1340">
        <v>0</v>
      </c>
      <c r="I17" s="1340">
        <v>91597</v>
      </c>
      <c r="J17" s="1340">
        <v>0</v>
      </c>
      <c r="K17" s="1340">
        <v>0</v>
      </c>
      <c r="L17" s="1337">
        <f t="shared" si="0"/>
        <v>91597</v>
      </c>
      <c r="M17" s="1340">
        <v>202500</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2135</v>
      </c>
      <c r="C19" s="1338"/>
      <c r="D19" s="1339"/>
      <c r="E19" s="1340"/>
      <c r="F19" s="1340"/>
      <c r="G19" s="1340"/>
      <c r="H19" s="1340"/>
      <c r="I19" s="1340"/>
      <c r="J19" s="1340"/>
      <c r="K19" s="1340"/>
      <c r="L19" s="1337">
        <f t="shared" si="0"/>
        <v>0</v>
      </c>
      <c r="M19" s="1340"/>
    </row>
    <row r="20" spans="2:14" ht="20.100000000000001" customHeight="1" x14ac:dyDescent="0.2">
      <c r="B20" s="1334" t="s">
        <v>2136</v>
      </c>
      <c r="C20" s="1338">
        <v>84.027000000000001</v>
      </c>
      <c r="D20" s="1339" t="s">
        <v>2137</v>
      </c>
      <c r="E20" s="1340">
        <v>0</v>
      </c>
      <c r="F20" s="1340">
        <v>1360663</v>
      </c>
      <c r="G20" s="1340">
        <v>0</v>
      </c>
      <c r="H20" s="1340">
        <v>0</v>
      </c>
      <c r="I20" s="1340">
        <v>1364342</v>
      </c>
      <c r="J20" s="1340">
        <v>0</v>
      </c>
      <c r="K20" s="1340">
        <v>0</v>
      </c>
      <c r="L20" s="1337">
        <f t="shared" si="0"/>
        <v>1364342</v>
      </c>
      <c r="M20" s="1340">
        <v>1388852</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t="s">
        <v>2138</v>
      </c>
      <c r="C22" s="1338"/>
      <c r="D22" s="1339"/>
      <c r="E22" s="1340"/>
      <c r="F22" s="1340"/>
      <c r="G22" s="1340"/>
      <c r="H22" s="1340"/>
      <c r="I22" s="1340"/>
      <c r="J22" s="1340"/>
      <c r="K22" s="1340"/>
      <c r="L22" s="1337">
        <f t="shared" si="0"/>
        <v>0</v>
      </c>
      <c r="M22" s="1340"/>
    </row>
    <row r="23" spans="2:14" ht="20.100000000000001" customHeight="1" x14ac:dyDescent="0.2">
      <c r="B23" s="1334" t="s">
        <v>2131</v>
      </c>
      <c r="C23" s="1338" t="s">
        <v>2129</v>
      </c>
      <c r="D23" s="1339" t="s">
        <v>2139</v>
      </c>
      <c r="E23" s="1340">
        <v>92043</v>
      </c>
      <c r="F23" s="1340">
        <v>16628</v>
      </c>
      <c r="G23" s="1340">
        <v>102713</v>
      </c>
      <c r="H23" s="1340">
        <v>0</v>
      </c>
      <c r="I23" s="1340">
        <v>4250</v>
      </c>
      <c r="J23" s="1340">
        <v>0</v>
      </c>
      <c r="K23" s="1340">
        <v>0</v>
      </c>
      <c r="L23" s="1337">
        <f t="shared" si="0"/>
        <v>106963</v>
      </c>
      <c r="M23" s="1340">
        <v>106963</v>
      </c>
    </row>
    <row r="24" spans="2:14" ht="20.100000000000001" customHeight="1" x14ac:dyDescent="0.2">
      <c r="B24" s="1334" t="s">
        <v>2131</v>
      </c>
      <c r="C24" s="1338" t="s">
        <v>2129</v>
      </c>
      <c r="D24" s="1339" t="s">
        <v>2140</v>
      </c>
      <c r="E24" s="1340">
        <v>0</v>
      </c>
      <c r="F24" s="1340">
        <v>54155</v>
      </c>
      <c r="G24" s="1340">
        <v>0</v>
      </c>
      <c r="H24" s="1340">
        <v>0</v>
      </c>
      <c r="I24" s="1340">
        <v>105198</v>
      </c>
      <c r="J24" s="1340">
        <v>0</v>
      </c>
      <c r="K24" s="1340">
        <v>0</v>
      </c>
      <c r="L24" s="1337">
        <f t="shared" si="0"/>
        <v>105198</v>
      </c>
      <c r="M24" s="1340">
        <v>105198</v>
      </c>
    </row>
    <row r="25" spans="2:14" ht="20.100000000000001" customHeight="1" x14ac:dyDescent="0.2">
      <c r="B25" s="1334" t="s">
        <v>2141</v>
      </c>
      <c r="C25" s="1338"/>
      <c r="D25" s="1339"/>
      <c r="E25" s="1340">
        <f t="shared" ref="E25:K25" si="2">+E23+E24</f>
        <v>92043</v>
      </c>
      <c r="F25" s="1340">
        <f t="shared" si="2"/>
        <v>70783</v>
      </c>
      <c r="G25" s="1340">
        <f t="shared" si="2"/>
        <v>102713</v>
      </c>
      <c r="H25" s="1340">
        <f t="shared" si="2"/>
        <v>0</v>
      </c>
      <c r="I25" s="1340">
        <f t="shared" si="2"/>
        <v>109448</v>
      </c>
      <c r="J25" s="1340">
        <f t="shared" si="2"/>
        <v>0</v>
      </c>
      <c r="K25" s="1340">
        <f t="shared" si="2"/>
        <v>0</v>
      </c>
      <c r="L25" s="1337">
        <f t="shared" si="0"/>
        <v>212161</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2142</v>
      </c>
      <c r="C27" s="1338"/>
      <c r="D27" s="1339"/>
      <c r="E27" s="1340">
        <f>+E25+E20+E17+E16+' SEFA (2)'!E25+' SEFA (2)'!E23+' SEFA (2)'!E20+' SEFA (2)'!E16</f>
        <v>2508915</v>
      </c>
      <c r="F27" s="1340">
        <f>+' SEFA (2)'!F16+' SEFA (2)'!F20+' SEFA (2)'!F23+' SEFA (2)'!F25+' SEFA (3)'!F13+' SEFA (3)'!F16+' SEFA (3)'!F17+' SEFA (3)'!F20+' SEFA (3)'!F25</f>
        <v>5407411</v>
      </c>
      <c r="G27" s="1340">
        <f>+G25+G20+G17+G16+' SEFA (2)'!G25+' SEFA (2)'!G23+' SEFA (2)'!G20+' SEFA (2)'!G16</f>
        <v>2561096</v>
      </c>
      <c r="H27" s="1340">
        <f>+H25+H20+H17+H16+' SEFA (2)'!H25+' SEFA (2)'!H23+' SEFA (2)'!H20+' SEFA (2)'!H16</f>
        <v>0</v>
      </c>
      <c r="I27" s="1340">
        <f>+' SEFA (2)'!I16+' SEFA (2)'!I20+' SEFA (2)'!I23+' SEFA (2)'!I25+' SEFA (3)'!I13+' SEFA (3)'!I16+' SEFA (3)'!I17+' SEFA (3)'!I20+' SEFA (3)'!I25</f>
        <v>5688702</v>
      </c>
      <c r="J27" s="1340">
        <f>+J25+J20+J17+J16+' SEFA (2)'!J25+' SEFA (2)'!J23+' SEFA (2)'!J20+' SEFA (2)'!J16</f>
        <v>0</v>
      </c>
      <c r="K27" s="1340">
        <f>+K25+K20+K17+K16+' SEFA (2)'!K25+' SEFA (2)'!K23+' SEFA (2)'!K20+' SEFA (2)'!K16</f>
        <v>0</v>
      </c>
      <c r="L27" s="1337">
        <f t="shared" si="0"/>
        <v>8249798</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E13:G13 E16:K16 I13:K13 L13 L16 L11:L12 L17:L27 L14:L15 E25:K25 E27:K2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B1:N152"/>
  <sheetViews>
    <sheetView showGridLines="0" topLeftCell="A4" zoomScaleNormal="100" workbookViewId="0">
      <selection activeCell="E25" sqref="E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Rock Island SD 41</v>
      </c>
      <c r="C1" s="2435"/>
      <c r="D1" s="2435"/>
      <c r="E1" s="2435"/>
      <c r="F1" s="2435"/>
      <c r="G1" s="2435"/>
      <c r="H1" s="2435"/>
      <c r="I1" s="2435"/>
      <c r="J1" s="2435"/>
      <c r="K1" s="2435"/>
      <c r="L1" s="2435"/>
      <c r="M1" s="2435"/>
    </row>
    <row r="2" spans="2:14" ht="15" x14ac:dyDescent="0.2">
      <c r="B2" s="2436">
        <f>'Single Audit Cover'!E7</f>
        <v>49081041025</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2143</v>
      </c>
      <c r="C11" s="1335"/>
      <c r="D11" s="1336"/>
      <c r="E11" s="1337"/>
      <c r="F11" s="1337"/>
      <c r="G11" s="1337"/>
      <c r="H11" s="1337"/>
      <c r="I11" s="1337"/>
      <c r="J11" s="1337"/>
      <c r="K11" s="1337"/>
      <c r="L11" s="1337">
        <f>+G11+I11+K11</f>
        <v>0</v>
      </c>
      <c r="M11" s="1337"/>
    </row>
    <row r="12" spans="2:14" ht="20.100000000000001" customHeight="1" x14ac:dyDescent="0.2">
      <c r="B12" s="1334" t="s">
        <v>2144</v>
      </c>
      <c r="C12" s="1338">
        <v>93.6</v>
      </c>
      <c r="D12" s="1339" t="s">
        <v>2145</v>
      </c>
      <c r="E12" s="1340">
        <v>0</v>
      </c>
      <c r="F12" s="1340">
        <v>2446378</v>
      </c>
      <c r="G12" s="1340">
        <v>0</v>
      </c>
      <c r="H12" s="1340">
        <v>0</v>
      </c>
      <c r="I12" s="1340">
        <v>2466695</v>
      </c>
      <c r="J12" s="1340">
        <v>0</v>
      </c>
      <c r="K12" s="1340">
        <v>0</v>
      </c>
      <c r="L12" s="1337">
        <f t="shared" ref="L12:L27" si="0">+G12+I12+K12</f>
        <v>2466695</v>
      </c>
      <c r="M12" s="1340">
        <v>2480637</v>
      </c>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2146</v>
      </c>
      <c r="C14" s="1338"/>
      <c r="D14" s="1339"/>
      <c r="E14" s="1340"/>
      <c r="F14" s="1340"/>
      <c r="G14" s="1340"/>
      <c r="H14" s="1340"/>
      <c r="I14" s="1340"/>
      <c r="J14" s="1340"/>
      <c r="K14" s="1340"/>
      <c r="L14" s="1337">
        <f t="shared" si="0"/>
        <v>0</v>
      </c>
      <c r="M14" s="1340"/>
    </row>
    <row r="15" spans="2:14" ht="20.100000000000001" customHeight="1" x14ac:dyDescent="0.2">
      <c r="B15" s="1334" t="s">
        <v>2147</v>
      </c>
      <c r="C15" s="1338">
        <v>93.778000000000006</v>
      </c>
      <c r="D15" s="1339" t="s">
        <v>2148</v>
      </c>
      <c r="E15" s="1340">
        <v>0</v>
      </c>
      <c r="F15" s="1340">
        <v>253487</v>
      </c>
      <c r="G15" s="1340">
        <v>0</v>
      </c>
      <c r="H15" s="1340">
        <v>0</v>
      </c>
      <c r="I15" s="1340">
        <v>253487</v>
      </c>
      <c r="J15" s="1340">
        <v>0</v>
      </c>
      <c r="K15" s="1340">
        <v>0</v>
      </c>
      <c r="L15" s="1337">
        <f t="shared" si="0"/>
        <v>253487</v>
      </c>
      <c r="M15" s="1340" t="s">
        <v>2081</v>
      </c>
    </row>
    <row r="16" spans="2:14" ht="20.100000000000001" customHeight="1" x14ac:dyDescent="0.2">
      <c r="B16" s="1334" t="s">
        <v>2149</v>
      </c>
      <c r="C16" s="1338"/>
      <c r="D16" s="1339"/>
      <c r="E16" s="1340">
        <f t="shared" ref="E16:K16" si="1">+E12+E15</f>
        <v>0</v>
      </c>
      <c r="F16" s="1340">
        <f t="shared" si="1"/>
        <v>2699865</v>
      </c>
      <c r="G16" s="1340">
        <f t="shared" si="1"/>
        <v>0</v>
      </c>
      <c r="H16" s="1340">
        <f t="shared" si="1"/>
        <v>0</v>
      </c>
      <c r="I16" s="1340">
        <f t="shared" si="1"/>
        <v>2720182</v>
      </c>
      <c r="J16" s="1340">
        <f t="shared" si="1"/>
        <v>0</v>
      </c>
      <c r="K16" s="1340">
        <f t="shared" si="1"/>
        <v>0</v>
      </c>
      <c r="L16" s="1337">
        <f t="shared" si="0"/>
        <v>2720182</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2150</v>
      </c>
      <c r="C18" s="1338"/>
      <c r="D18" s="1339"/>
      <c r="E18" s="1340">
        <f>+E16+' SEFA (3)'!E27+' SEFA'!E27</f>
        <v>5193868</v>
      </c>
      <c r="F18" s="1340">
        <f>+' SEFA'!F27+' SEFA (3)'!F27+' SEFA (4)'!F16</f>
        <v>12063103</v>
      </c>
      <c r="G18" s="1340">
        <f>+G16+' SEFA (3)'!G27+' SEFA'!G27</f>
        <v>5246049</v>
      </c>
      <c r="H18" s="1340">
        <f>+H16+' SEFA (3)'!H27+' SEFA'!H27</f>
        <v>0</v>
      </c>
      <c r="I18" s="1340">
        <f>+' SEFA'!I27+' SEFA (3)'!I27+' SEFA (4)'!I16</f>
        <v>12364711</v>
      </c>
      <c r="J18" s="1340">
        <f>+J16+' SEFA (3)'!J27+' SEFA'!J27</f>
        <v>0</v>
      </c>
      <c r="K18" s="1340">
        <f>+K16+' SEFA (3)'!K27+' SEFA'!K27</f>
        <v>0</v>
      </c>
      <c r="L18" s="1337">
        <f t="shared" si="0"/>
        <v>17610760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2151</v>
      </c>
      <c r="C20" s="1338"/>
      <c r="D20" s="1339"/>
      <c r="E20" s="1340"/>
      <c r="F20" s="1340"/>
      <c r="G20" s="1340"/>
      <c r="H20" s="1340"/>
      <c r="I20" s="1340"/>
      <c r="J20" s="1340"/>
      <c r="K20" s="1340"/>
      <c r="L20" s="1337">
        <f t="shared" si="0"/>
        <v>0</v>
      </c>
      <c r="M20" s="1340"/>
    </row>
    <row r="21" spans="2:14" ht="20.100000000000001" customHeight="1" x14ac:dyDescent="0.2">
      <c r="B21" s="1334" t="s">
        <v>2152</v>
      </c>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G52"/>
  <sheetViews>
    <sheetView showGridLines="0" topLeftCell="A31" zoomScale="120" zoomScaleNormal="120" workbookViewId="0">
      <selection activeCell="G44" sqref="G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Rock Island SD 41</v>
      </c>
      <c r="B1" s="2440"/>
      <c r="C1" s="2440"/>
      <c r="D1" s="2440"/>
      <c r="E1" s="2440"/>
      <c r="F1" s="2440"/>
    </row>
    <row r="2" spans="1:7" ht="13.5" customHeight="1" x14ac:dyDescent="0.2">
      <c r="A2" s="2436">
        <f>'Single Audit Cover'!E7</f>
        <v>49081041025</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2154</v>
      </c>
      <c r="B7" s="2439"/>
      <c r="C7" s="2439"/>
      <c r="D7" s="2439"/>
      <c r="E7" s="2439"/>
      <c r="F7" s="243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98"/>
      <c r="D11" s="1277"/>
      <c r="E11" s="1898"/>
      <c r="F11" s="1277"/>
      <c r="G11" s="1275"/>
    </row>
    <row r="12" spans="1:7" x14ac:dyDescent="0.2">
      <c r="A12" s="1273" t="s">
        <v>1587</v>
      </c>
      <c r="C12" s="1257"/>
      <c r="D12" s="1257"/>
    </row>
    <row r="13" spans="1:7" ht="24" customHeight="1" x14ac:dyDescent="0.2">
      <c r="A13" s="2439" t="s">
        <v>2169</v>
      </c>
      <c r="B13" s="2439"/>
      <c r="C13" s="2439"/>
      <c r="D13" s="2439"/>
      <c r="E13" s="2439"/>
      <c r="F13" s="2439"/>
    </row>
    <row r="14" spans="1:7" ht="9.75" customHeight="1" x14ac:dyDescent="0.2">
      <c r="C14" s="1257"/>
      <c r="D14" s="1257"/>
    </row>
    <row r="15" spans="1:7" ht="13.5" customHeight="1" x14ac:dyDescent="0.2">
      <c r="C15" s="1842" t="s">
        <v>1270</v>
      </c>
      <c r="D15" s="2444" t="s">
        <v>1269</v>
      </c>
      <c r="E15" s="2444"/>
      <c r="F15" s="2444"/>
    </row>
    <row r="16" spans="1:7" ht="13.5" customHeight="1" x14ac:dyDescent="0.2">
      <c r="A16" s="1279"/>
      <c r="B16" s="1273" t="s">
        <v>1268</v>
      </c>
      <c r="C16" s="1842" t="s">
        <v>1267</v>
      </c>
      <c r="D16" s="2445" t="s">
        <v>1588</v>
      </c>
      <c r="E16" s="2445"/>
      <c r="F16" s="2445"/>
    </row>
    <row r="17" spans="1:6" ht="20.45" customHeight="1" x14ac:dyDescent="0.2">
      <c r="A17" s="1280"/>
      <c r="B17" s="1281" t="s">
        <v>2153</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899"/>
      <c r="E30" s="1283"/>
    </row>
    <row r="31" spans="1:6" ht="12" customHeight="1" x14ac:dyDescent="0.2">
      <c r="A31" s="1284" t="s">
        <v>1549</v>
      </c>
      <c r="B31" s="328"/>
      <c r="C31" s="1462"/>
      <c r="D31" s="1899"/>
      <c r="E31" s="1283"/>
    </row>
    <row r="32" spans="1:6" ht="30" customHeight="1" x14ac:dyDescent="0.2">
      <c r="A32" s="2447" t="s">
        <v>2168</v>
      </c>
      <c r="B32" s="2447"/>
      <c r="C32" s="2447"/>
      <c r="D32" s="2447"/>
      <c r="E32" s="2447"/>
      <c r="F32" s="2447"/>
    </row>
    <row r="33" spans="1:6" ht="13.5" customHeight="1" x14ac:dyDescent="0.2">
      <c r="A33" s="328" t="s">
        <v>1434</v>
      </c>
      <c r="B33" s="328"/>
      <c r="C33" s="1285">
        <f>+' SEFA'!I18</f>
        <v>203264</v>
      </c>
      <c r="D33" s="1899"/>
      <c r="E33" s="1283"/>
    </row>
    <row r="34" spans="1:6" ht="13.5" customHeight="1" x14ac:dyDescent="0.2">
      <c r="A34" s="328" t="s">
        <v>1835</v>
      </c>
      <c r="B34" s="328"/>
      <c r="C34" s="1286">
        <f>+' SEFA'!I19</f>
        <v>89366</v>
      </c>
      <c r="D34" s="1899" t="s">
        <v>1589</v>
      </c>
      <c r="E34" s="2448">
        <f>+C33+C34</f>
        <v>292630</v>
      </c>
      <c r="F34" s="2449"/>
    </row>
    <row r="35" spans="1:6" ht="12" customHeight="1" x14ac:dyDescent="0.2">
      <c r="A35" s="328"/>
      <c r="B35" s="328"/>
      <c r="C35" s="1900"/>
      <c r="D35" s="1899"/>
      <c r="E35" s="1287"/>
      <c r="F35" s="1288"/>
    </row>
    <row r="36" spans="1:6" ht="13.5" customHeight="1" x14ac:dyDescent="0.2">
      <c r="A36" s="1284" t="s">
        <v>1550</v>
      </c>
      <c r="B36" s="328"/>
      <c r="C36" s="1462"/>
      <c r="D36" s="1899"/>
      <c r="E36" s="1283"/>
    </row>
    <row r="37" spans="1:6" ht="14.25" customHeight="1" x14ac:dyDescent="0.2">
      <c r="A37" s="328" t="s">
        <v>1484</v>
      </c>
      <c r="B37" s="328"/>
      <c r="C37" s="1901"/>
      <c r="D37" s="1899"/>
      <c r="E37" s="1283"/>
    </row>
    <row r="38" spans="1:6" ht="14.25" customHeight="1" x14ac:dyDescent="0.2">
      <c r="A38" s="328"/>
      <c r="B38" s="328" t="s">
        <v>1435</v>
      </c>
      <c r="C38" s="1289">
        <v>0</v>
      </c>
      <c r="D38" s="1899"/>
      <c r="E38" s="1283"/>
    </row>
    <row r="39" spans="1:6" ht="14.25" customHeight="1" x14ac:dyDescent="0.2">
      <c r="A39" s="328"/>
      <c r="B39" s="328" t="s">
        <v>1436</v>
      </c>
      <c r="C39" s="1289">
        <v>0</v>
      </c>
      <c r="D39" s="1899"/>
      <c r="E39" s="1283"/>
    </row>
    <row r="40" spans="1:6" ht="14.25" customHeight="1" x14ac:dyDescent="0.2">
      <c r="A40" s="328"/>
      <c r="B40" s="328" t="s">
        <v>1437</v>
      </c>
      <c r="C40" s="1289">
        <v>0</v>
      </c>
      <c r="D40" s="1899"/>
      <c r="E40" s="1283"/>
    </row>
    <row r="41" spans="1:6" ht="14.25" customHeight="1" x14ac:dyDescent="0.2">
      <c r="A41" s="328"/>
      <c r="B41" s="328" t="s">
        <v>1438</v>
      </c>
      <c r="C41" s="1289">
        <v>0</v>
      </c>
      <c r="D41" s="1899"/>
      <c r="E41" s="1283"/>
    </row>
    <row r="42" spans="1:6" ht="14.25" customHeight="1" x14ac:dyDescent="0.2">
      <c r="A42" s="328" t="s">
        <v>1439</v>
      </c>
      <c r="B42" s="328"/>
      <c r="C42" s="1897">
        <v>0</v>
      </c>
      <c r="D42" s="1899"/>
      <c r="E42" s="1283"/>
    </row>
    <row r="43" spans="1:6" ht="14.25" customHeight="1" x14ac:dyDescent="0.2">
      <c r="A43" s="328" t="s">
        <v>1440</v>
      </c>
      <c r="B43" s="328"/>
      <c r="C43" s="1290" t="s">
        <v>572</v>
      </c>
      <c r="D43" s="1899"/>
      <c r="E43" s="1283"/>
    </row>
    <row r="44" spans="1:6" ht="14.25" customHeight="1" x14ac:dyDescent="0.2">
      <c r="A44" s="328"/>
      <c r="B44" s="328"/>
      <c r="C44" s="1901" t="s">
        <v>1441</v>
      </c>
      <c r="D44" s="1899"/>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1"/>
      <c r="C50" s="1841"/>
      <c r="D50" s="1841"/>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4" firstPageNumber="39" orientation="portrait" useFirstPageNumber="1" r:id="rId1"/>
  <headerFooter alignWithMargins="0">
    <oddHeader>&amp;L&amp;8Page 41&amp;R&amp;8Page 41</oddHeader>
  </headerFooter>
  <ignoredErrors>
    <ignoredError sqref="C33:C34 E34"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pageSetUpPr fitToPage="1"/>
  </sheetPr>
  <dimension ref="A1:J64"/>
  <sheetViews>
    <sheetView showGridLines="0" topLeftCell="A46" zoomScale="110" zoomScaleNormal="110" workbookViewId="0">
      <selection activeCell="D70" sqref="D7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Rock Island SD 41</v>
      </c>
      <c r="C1" s="2456"/>
      <c r="D1" s="2456"/>
      <c r="E1" s="2456"/>
      <c r="F1" s="2456"/>
      <c r="G1" s="2456"/>
      <c r="H1" s="2456"/>
      <c r="I1" s="2456"/>
      <c r="J1" s="1406"/>
    </row>
    <row r="2" spans="2:10" s="317" customFormat="1" ht="12.75" customHeight="1" x14ac:dyDescent="0.2">
      <c r="B2" s="2457">
        <f>'Single Audit Cover'!E7</f>
        <v>49081041025</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t="s">
        <v>2155</v>
      </c>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25.1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t="s">
        <v>2155</v>
      </c>
      <c r="E29" s="2462"/>
      <c r="F29" s="2462"/>
      <c r="G29" s="2462"/>
      <c r="H29" s="2462"/>
      <c r="I29" s="2462"/>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3" t="s">
        <v>1748</v>
      </c>
      <c r="D37" s="2464"/>
      <c r="E37" s="2464"/>
      <c r="F37" s="2465"/>
      <c r="G37" s="2463" t="s">
        <v>1592</v>
      </c>
      <c r="H37" s="2464"/>
      <c r="I37" s="2465"/>
    </row>
    <row r="38" spans="2:9" ht="16.5" customHeight="1" x14ac:dyDescent="0.2">
      <c r="B38" s="1428" t="s">
        <v>2156</v>
      </c>
      <c r="C38" s="2451" t="s">
        <v>2156</v>
      </c>
      <c r="D38" s="2452"/>
      <c r="E38" s="2452"/>
      <c r="F38" s="2453"/>
      <c r="G38" s="2466"/>
      <c r="H38" s="2467"/>
      <c r="I38" s="2468"/>
    </row>
    <row r="39" spans="2:9" ht="16.5" customHeight="1" x14ac:dyDescent="0.2">
      <c r="B39" s="1428">
        <v>10.553000000000001</v>
      </c>
      <c r="C39" s="2451" t="s">
        <v>1059</v>
      </c>
      <c r="D39" s="2452"/>
      <c r="E39" s="2452"/>
      <c r="F39" s="2453"/>
      <c r="G39" s="2454">
        <v>827150</v>
      </c>
      <c r="H39" s="2454"/>
      <c r="I39" s="2454"/>
    </row>
    <row r="40" spans="2:9" ht="16.5" customHeight="1" x14ac:dyDescent="0.2">
      <c r="B40" s="1428">
        <v>10.555</v>
      </c>
      <c r="C40" s="2451" t="s">
        <v>1058</v>
      </c>
      <c r="D40" s="2452"/>
      <c r="E40" s="2452"/>
      <c r="F40" s="2453"/>
      <c r="G40" s="2454">
        <v>2725373</v>
      </c>
      <c r="H40" s="2454"/>
      <c r="I40" s="2454"/>
    </row>
    <row r="41" spans="2:9" ht="16.5" customHeight="1" x14ac:dyDescent="0.2">
      <c r="B41" s="1428">
        <v>10.555</v>
      </c>
      <c r="C41" s="2451" t="s">
        <v>2157</v>
      </c>
      <c r="D41" s="2452"/>
      <c r="E41" s="2452"/>
      <c r="F41" s="2453"/>
      <c r="G41" s="2454">
        <v>292630</v>
      </c>
      <c r="H41" s="2454"/>
      <c r="I41" s="2454"/>
    </row>
    <row r="42" spans="2:9" ht="16.5" customHeight="1" x14ac:dyDescent="0.2">
      <c r="B42" s="1428">
        <v>10.555999999999999</v>
      </c>
      <c r="C42" s="2451" t="s">
        <v>2158</v>
      </c>
      <c r="D42" s="2452"/>
      <c r="E42" s="2452"/>
      <c r="F42" s="2453"/>
      <c r="G42" s="2454">
        <v>1863</v>
      </c>
      <c r="H42" s="2454"/>
      <c r="I42" s="2454"/>
    </row>
    <row r="43" spans="2:9" ht="16.5" customHeight="1" x14ac:dyDescent="0.2">
      <c r="B43" s="1428">
        <v>10.558999999999999</v>
      </c>
      <c r="C43" s="1934" t="s">
        <v>1451</v>
      </c>
      <c r="D43" s="1935"/>
      <c r="E43" s="1935"/>
      <c r="F43" s="1936"/>
      <c r="G43" s="2466">
        <v>24524</v>
      </c>
      <c r="H43" s="2467"/>
      <c r="I43" s="2468"/>
    </row>
    <row r="44" spans="2:9" ht="16.5" customHeight="1" x14ac:dyDescent="0.2">
      <c r="B44" s="1428"/>
      <c r="C44" s="2469" t="s">
        <v>1593</v>
      </c>
      <c r="D44" s="2470"/>
      <c r="E44" s="2470"/>
      <c r="F44" s="2471"/>
      <c r="G44" s="2472">
        <f>SUM(G38:I43)</f>
        <v>3871540</v>
      </c>
      <c r="H44" s="2472"/>
      <c r="I44" s="2472"/>
    </row>
    <row r="45" spans="2:9" ht="12.75" customHeight="1" x14ac:dyDescent="0.2"/>
    <row r="46" spans="2:9" ht="12.75" customHeight="1" x14ac:dyDescent="0.2">
      <c r="B46" s="1419" t="s">
        <v>2059</v>
      </c>
      <c r="D46" s="2473">
        <f>+' SEFA (4)'!I18</f>
        <v>12364711</v>
      </c>
      <c r="E46" s="2474"/>
    </row>
    <row r="47" spans="2:9" ht="5.25" customHeight="1" x14ac:dyDescent="0.2">
      <c r="B47" s="1429"/>
      <c r="D47" s="1430"/>
      <c r="E47" s="1431"/>
    </row>
    <row r="48" spans="2:9" ht="12.75" customHeight="1" x14ac:dyDescent="0.2">
      <c r="B48" s="1297" t="s">
        <v>1594</v>
      </c>
      <c r="C48" s="1297"/>
      <c r="D48" s="1432">
        <f>+G44/D46</f>
        <v>0.31311204928283404</v>
      </c>
      <c r="E48" s="1433"/>
      <c r="F48" s="1434"/>
      <c r="I48" s="1435"/>
    </row>
    <row r="49" spans="1:9" ht="9.9499999999999993" customHeight="1" x14ac:dyDescent="0.2"/>
    <row r="50" spans="1:9" x14ac:dyDescent="0.2">
      <c r="B50" s="1365" t="s">
        <v>1273</v>
      </c>
      <c r="C50" s="1279"/>
      <c r="D50" s="1279"/>
      <c r="E50" s="2475">
        <v>750000</v>
      </c>
      <c r="F50" s="2475"/>
      <c r="G50" s="2475"/>
      <c r="H50" s="322"/>
    </row>
    <row r="52" spans="1:9" ht="13.5" customHeight="1" x14ac:dyDescent="0.2">
      <c r="B52" s="1365" t="s">
        <v>1272</v>
      </c>
      <c r="C52" s="1279"/>
      <c r="E52" s="1422" t="s">
        <v>2062</v>
      </c>
      <c r="F52" s="1297" t="s">
        <v>885</v>
      </c>
      <c r="G52" s="1422"/>
      <c r="H52" s="1297" t="s">
        <v>99</v>
      </c>
    </row>
    <row r="53" spans="1:9" x14ac:dyDescent="0.2">
      <c r="B53" s="1357"/>
      <c r="C53" s="1294"/>
      <c r="D53" s="1436"/>
      <c r="E53" s="1437"/>
      <c r="F53" s="1438"/>
      <c r="G53" s="1438"/>
      <c r="H53" s="1438"/>
      <c r="I53" s="1438"/>
    </row>
    <row r="54" spans="1:9" ht="6" customHeight="1" x14ac:dyDescent="0.2">
      <c r="B54" s="1413"/>
      <c r="C54" s="322"/>
      <c r="D54" s="1439"/>
      <c r="E54" s="1440"/>
      <c r="F54" s="1441"/>
      <c r="G54" s="1441"/>
      <c r="H54" s="1441"/>
      <c r="I54" s="1441"/>
    </row>
    <row r="55" spans="1:9" s="1445" customFormat="1" ht="14.25" x14ac:dyDescent="0.2">
      <c r="A55" s="1442"/>
      <c r="B55" s="1443" t="s">
        <v>1749</v>
      </c>
      <c r="C55" s="1444"/>
      <c r="D55" s="1444"/>
    </row>
    <row r="56" spans="1:9" s="1445" customFormat="1" ht="12.75" customHeight="1" x14ac:dyDescent="0.2">
      <c r="A56" s="1442"/>
      <c r="B56" s="1446" t="s">
        <v>1595</v>
      </c>
      <c r="C56" s="1442"/>
      <c r="D56" s="1442"/>
    </row>
    <row r="57" spans="1:9" s="1445" customFormat="1" ht="12.75" customHeight="1" x14ac:dyDescent="0.2">
      <c r="A57" s="1442"/>
      <c r="B57" s="1446" t="s">
        <v>1596</v>
      </c>
      <c r="C57" s="1442"/>
      <c r="D57" s="1442"/>
    </row>
    <row r="58" spans="1:9" s="1445" customFormat="1" ht="3.95" customHeight="1" x14ac:dyDescent="0.2">
      <c r="A58" s="1442"/>
      <c r="B58" s="1446"/>
      <c r="C58" s="1442"/>
      <c r="D58" s="1442"/>
    </row>
    <row r="59" spans="1:9" s="1445" customFormat="1" ht="13.5" customHeight="1" x14ac:dyDescent="0.2">
      <c r="A59" s="1442"/>
      <c r="B59" s="1447" t="s">
        <v>1750</v>
      </c>
      <c r="C59" s="1448"/>
      <c r="D59" s="1448"/>
    </row>
    <row r="60" spans="1:9" s="1445" customFormat="1" ht="3.95" customHeight="1" x14ac:dyDescent="0.2">
      <c r="A60" s="1442"/>
      <c r="B60" s="1447"/>
      <c r="C60" s="1448"/>
      <c r="D60" s="1448"/>
    </row>
    <row r="61" spans="1:9" s="1445" customFormat="1" ht="13.5" customHeight="1" x14ac:dyDescent="0.2">
      <c r="A61" s="1442"/>
      <c r="B61" s="1447" t="s">
        <v>1751</v>
      </c>
      <c r="C61" s="1448"/>
      <c r="D61" s="1448"/>
    </row>
    <row r="62" spans="1:9" s="1445" customFormat="1" ht="3.95" customHeight="1" x14ac:dyDescent="0.2">
      <c r="A62" s="1442"/>
      <c r="B62" s="1447"/>
      <c r="C62" s="1448"/>
      <c r="D62" s="1448"/>
    </row>
    <row r="63" spans="1:9" s="1445" customFormat="1" ht="12.75" customHeight="1" x14ac:dyDescent="0.2">
      <c r="A63" s="1442"/>
      <c r="B63" s="1447" t="s">
        <v>1752</v>
      </c>
      <c r="C63" s="1448"/>
      <c r="D63" s="1448"/>
    </row>
    <row r="64" spans="1:9" s="1445" customFormat="1" ht="13.5" customHeight="1" x14ac:dyDescent="0.2">
      <c r="A64" s="1442"/>
      <c r="B64" s="1446" t="s">
        <v>1597</v>
      </c>
      <c r="C64" s="1442"/>
      <c r="D64" s="1442"/>
    </row>
  </sheetData>
  <mergeCells count="24">
    <mergeCell ref="C44:F44"/>
    <mergeCell ref="G44:I44"/>
    <mergeCell ref="D46:E46"/>
    <mergeCell ref="E50:G50"/>
    <mergeCell ref="C40:F40"/>
    <mergeCell ref="G40:I40"/>
    <mergeCell ref="C41:F41"/>
    <mergeCell ref="G41:I41"/>
    <mergeCell ref="C42:F42"/>
    <mergeCell ref="G42:I42"/>
    <mergeCell ref="G43:I43"/>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6"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Rock Island SD 41</v>
      </c>
      <c r="C1" s="2455"/>
      <c r="D1" s="2455"/>
      <c r="E1" s="2455"/>
      <c r="F1" s="2455"/>
      <c r="G1" s="2455"/>
      <c r="H1" s="2455"/>
      <c r="I1" s="2455"/>
      <c r="J1" s="2455"/>
      <c r="K1" s="2455"/>
      <c r="L1" s="1371"/>
      <c r="M1" s="1371"/>
    </row>
    <row r="2" spans="1:13" ht="12" customHeight="1" x14ac:dyDescent="0.2">
      <c r="B2" s="2457">
        <f>'Single Audit Cover'!E7</f>
        <v>49081041025</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2170</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L48"/>
  <sheetViews>
    <sheetView showGridLines="0" zoomScale="110" zoomScaleNormal="110" workbookViewId="0">
      <selection activeCell="D16" sqref="D16:K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Rock Island SD 41</v>
      </c>
      <c r="C1" s="2482"/>
      <c r="D1" s="2482"/>
      <c r="E1" s="2482"/>
      <c r="F1" s="2482"/>
      <c r="G1" s="2482"/>
      <c r="H1" s="2482"/>
      <c r="I1" s="2482"/>
      <c r="J1" s="2482"/>
      <c r="K1" s="2482"/>
      <c r="L1" s="1449"/>
    </row>
    <row r="2" spans="1:12" ht="12.75" customHeight="1" x14ac:dyDescent="0.2">
      <c r="B2" s="2483">
        <f>'Single Audit Cover'!E7</f>
        <v>49081041025</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2170</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B1:E73"/>
  <sheetViews>
    <sheetView showGridLines="0" zoomScale="110" zoomScaleNormal="110" workbookViewId="0">
      <selection activeCell="C14" sqref="C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Rock Island SD 41</v>
      </c>
      <c r="C1" s="2455"/>
      <c r="D1" s="2455"/>
      <c r="E1" s="1469"/>
    </row>
    <row r="2" spans="2:5" s="1279" customFormat="1" ht="12.75" customHeight="1" x14ac:dyDescent="0.2">
      <c r="B2" s="2457">
        <f>'Single Audit Cover'!E7</f>
        <v>49081041025</v>
      </c>
      <c r="C2" s="2457"/>
      <c r="D2" s="2457"/>
      <c r="E2" s="1470"/>
    </row>
    <row r="3" spans="2:5" ht="12.75" customHeight="1" x14ac:dyDescent="0.2">
      <c r="B3" s="2478" t="s">
        <v>1763</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2170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schemas.microsoft.com/office/2006/documentManagement/types"/>
    <ds:schemaRef ds:uri="d21dc803-237d-4c68-8692-8d731fd29118"/>
    <ds:schemaRef ds:uri="http://schemas.microsoft.com/sharepoint/v3"/>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http://purl.org/dc/dcmityp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2019-10-09T19:05:13Z</cp:lastPrinted>
  <dcterms:created xsi:type="dcterms:W3CDTF">2003-10-29T19:06:34Z</dcterms:created>
  <dcterms:modified xsi:type="dcterms:W3CDTF">2019-11-25T17:35:34Z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